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AEBB" lockStructure="1"/>
  <bookViews>
    <workbookView xWindow="-15" yWindow="-15" windowWidth="14520" windowHeight="12840" firstSheet="2" activeTab="27"/>
  </bookViews>
  <sheets>
    <sheet name="Data" sheetId="6" state="hidden" r:id="rId1"/>
    <sheet name="Template" sheetId="1" state="hidden" r:id="rId2"/>
    <sheet name="Introduction" sheetId="4" r:id="rId3"/>
    <sheet name="1415TRU_Index_P13" sheetId="7" r:id="rId4"/>
    <sheet name="1415TRU01_CNE_P13" sheetId="8" r:id="rId5"/>
    <sheet name="1415TRU02_SFP_P13" sheetId="9" r:id="rId6"/>
    <sheet name="1415TRU03_STE_P13" sheetId="10" r:id="rId7"/>
    <sheet name="1415TRU04_CF_P13" sheetId="11" r:id="rId8"/>
    <sheet name="1415TRU05_REV_P13" sheetId="12" r:id="rId9"/>
    <sheet name="1415TRU06_EXP_P13" sheetId="13" r:id="rId10"/>
    <sheet name="1415TRU08_OPL_P13" sheetId="14" r:id="rId11"/>
    <sheet name="1415TRU09_EMP_P13" sheetId="15" r:id="rId12"/>
    <sheet name="1415TRU10_EXT_P13" sheetId="16" r:id="rId13"/>
    <sheet name="1415TRU11_IGF_P13" sheetId="17" r:id="rId14"/>
    <sheet name="1415TRU12_PPE_P13" sheetId="18" r:id="rId15"/>
    <sheet name="1415TRU13_INT_P13" sheetId="19" r:id="rId16"/>
    <sheet name="1415TRU14_IMP_P13" sheetId="20" r:id="rId17"/>
    <sheet name="1415TRU15_ICG_P13" sheetId="21" r:id="rId18"/>
    <sheet name="1415TRU16_AST_P13" sheetId="22" r:id="rId19"/>
    <sheet name="1415TRU17_LIA_P13" sheetId="23" r:id="rId20"/>
    <sheet name="1415TRU18_FL_P13" sheetId="24" r:id="rId21"/>
    <sheet name="1415TRU19_PRV_P13" sheetId="25" r:id="rId22"/>
    <sheet name="1415TRU20_PFI_P13" sheetId="26" r:id="rId23"/>
    <sheet name="1415TRU21_FAL_P13" sheetId="28" r:id="rId24"/>
    <sheet name="1415TRU22_LSP_P13" sheetId="29" r:id="rId25"/>
    <sheet name="1415TRU23_CHF_P13" sheetId="30" r:id="rId26"/>
    <sheet name="1415TRU24_CFN_P13" sheetId="31" r:id="rId27"/>
    <sheet name="2014-15 NHS Trust example profo" sheetId="32" r:id="rId28"/>
    <sheet name="1314TRU01_CNE_MI_P16" sheetId="64" state="hidden" r:id="rId29"/>
    <sheet name="1314TRU01_CNE_P16" sheetId="65" state="hidden" r:id="rId30"/>
    <sheet name="1314TRU02_SFP_MI_P16" sheetId="66" state="hidden" r:id="rId31"/>
    <sheet name="1314TRU03_STE_P16" sheetId="67" state="hidden" r:id="rId32"/>
    <sheet name="1314TRU03_STE_P49" sheetId="68" state="hidden" r:id="rId33"/>
    <sheet name="1314TRU04_CF_P16" sheetId="69" state="hidden" r:id="rId34"/>
    <sheet name="1314TRU05_REV_P16" sheetId="70" state="hidden" r:id="rId35"/>
    <sheet name="1314TRU06_EXP_P16" sheetId="71" state="hidden" r:id="rId36"/>
    <sheet name="1314TRU08_OPL_P16" sheetId="72" state="hidden" r:id="rId37"/>
    <sheet name="1314TRU09_EMP_P16" sheetId="73" state="hidden" r:id="rId38"/>
    <sheet name="1314TRU10_EXT_P16" sheetId="74" state="hidden" r:id="rId39"/>
    <sheet name="1314TRU11_IGF_P16" sheetId="75" state="hidden" r:id="rId40"/>
    <sheet name="1314TRU12_PPE_P16" sheetId="76" state="hidden" r:id="rId41"/>
    <sheet name="1314TRU12_PPE_P49" sheetId="77" state="hidden" r:id="rId42"/>
    <sheet name="1314TRU13_INT_P16" sheetId="78" state="hidden" r:id="rId43"/>
    <sheet name="1314TRU13_INT_P49" sheetId="79" state="hidden" r:id="rId44"/>
    <sheet name="1314TRU15_ICG_P16" sheetId="80" state="hidden" r:id="rId45"/>
    <sheet name="1314TRU15_ICG_P49" sheetId="81" state="hidden" r:id="rId46"/>
    <sheet name="1314TRU16_AST_P16" sheetId="82" state="hidden" r:id="rId47"/>
    <sheet name="1314TRU16_AST_P49" sheetId="83" state="hidden" r:id="rId48"/>
    <sheet name="1314TRU17_LIA_P16" sheetId="84" state="hidden" r:id="rId49"/>
    <sheet name="1314TRU17_LIA_P49" sheetId="85" state="hidden" r:id="rId50"/>
    <sheet name="1314TRU18_FL_P16" sheetId="86" state="hidden" r:id="rId51"/>
    <sheet name="1314TRU19_PRV_P16" sheetId="87" state="hidden" r:id="rId52"/>
    <sheet name="1314TRU19_PRV_P49" sheetId="88" state="hidden" r:id="rId53"/>
    <sheet name="1314TRU20_PFI_P16" sheetId="89" state="hidden" r:id="rId54"/>
    <sheet name="1314TRU21_FAL_P16" sheetId="90" state="hidden" r:id="rId55"/>
    <sheet name="1314TRU25_BVN_P16" sheetId="91" state="hidden" r:id="rId56"/>
    <sheet name="1314TRU54_MI_P16" sheetId="92" state="hidden" r:id="rId57"/>
    <sheet name="1314TRU64_MI_P16" sheetId="93" state="hidden" r:id="rId58"/>
    <sheet name="1314TRU65_MI_P16" sheetId="94" state="hidden" r:id="rId59"/>
    <sheet name="1314TRU_Key Data_P16" sheetId="95" state="hidden" r:id="rId60"/>
    <sheet name="1415TRU01_CNE_P15" sheetId="96" state="hidden" r:id="rId61"/>
    <sheet name="1415TRU01_SCI_MI_P11" sheetId="97" state="hidden" r:id="rId62"/>
    <sheet name="1415TRU02_SFP_P15" sheetId="98" state="hidden" r:id="rId63"/>
    <sheet name="1415TRU04_CF_MI_P09" sheetId="99" state="hidden" r:id="rId64"/>
    <sheet name="1415TRU04_CF_P15" sheetId="100" state="hidden" r:id="rId65"/>
    <sheet name="1415TRU05_REV_P15" sheetId="101" state="hidden" r:id="rId66"/>
    <sheet name="1415TRU06_EXP_P15" sheetId="102" state="hidden" r:id="rId67"/>
    <sheet name="1415TRU14_IMP_P15" sheetId="103" state="hidden" r:id="rId68"/>
    <sheet name="1415TRU19_PRV_P15" sheetId="104" state="hidden" r:id="rId69"/>
    <sheet name="1415TRU20_PFI_MI_P11" sheetId="105" state="hidden" r:id="rId70"/>
    <sheet name="1415TRU20_PFI_P15" sheetId="106" state="hidden" r:id="rId71"/>
    <sheet name="1415TRU55_MI_P11" sheetId="107" state="hidden" r:id="rId72"/>
    <sheet name="1415TRU55_MI_P15" sheetId="108" state="hidden" r:id="rId73"/>
    <sheet name="1415TRU56_MI_P15" sheetId="109" state="hidden" r:id="rId74"/>
    <sheet name="1415TRU57_MI_P11" sheetId="110" state="hidden" r:id="rId75"/>
    <sheet name="1415TRU63_MI_P15" sheetId="111" state="hidden" r:id="rId76"/>
    <sheet name="1415TRU64_MI_P09" sheetId="112" state="hidden" r:id="rId77"/>
    <sheet name="1415TRU64_MI_P15" sheetId="113" state="hidden" r:id="rId78"/>
    <sheet name="1415TRU65_MI_P15" sheetId="114" state="hidden" r:id="rId79"/>
    <sheet name="1415TRU67_MI_P15" sheetId="115" state="hidden" r:id="rId80"/>
    <sheet name="1415TRU_Key Data_P11" sheetId="116" state="hidden" r:id="rId81"/>
    <sheet name="1415TRUb_Metrics_P11" sheetId="117" state="hidden" r:id="rId82"/>
    <sheet name="Sheet1" sheetId="118" state="hidden" r:id="rId83"/>
  </sheets>
  <definedNames>
    <definedName name="C_Contact_List">Data!$B$1:$C$10</definedName>
    <definedName name="CollectionID">Introduction!$F$5</definedName>
    <definedName name="CollectionName">Introduction!$F$6</definedName>
    <definedName name="CollectionPeriodID">Introduction!$F$8</definedName>
    <definedName name="Contact_FirstName">Introduction!$F$22</definedName>
    <definedName name="Contact_Surname">Introduction!$F$23</definedName>
    <definedName name="Contact_Title">Introduction!$F$21</definedName>
    <definedName name="ContactEmail">Introduction!$F$28</definedName>
    <definedName name="ContactFax">Introduction!$F$25</definedName>
    <definedName name="ContactID">Introduction!$D$21</definedName>
    <definedName name="ContactTelephone">Introduction!$F$24</definedName>
    <definedName name="Ctitle">Introduction!$D$22</definedName>
    <definedName name="DistributionName">Introduction!$F$7</definedName>
    <definedName name="HACode">Introduction!$F$10</definedName>
    <definedName name="ListofForms">Introduction!$F$48</definedName>
    <definedName name="MandatoryErrors">Introduction!$F$31</definedName>
    <definedName name="OptionalErrors">Introduction!$F$32</definedName>
    <definedName name="Orgcode">Introduction!$F$17</definedName>
    <definedName name="OrgName">Introduction!$F$18</definedName>
    <definedName name="Period">Introduction!$F$9</definedName>
    <definedName name="_xlnm.Print_Area" localSheetId="3">'1415TRU_Index_P13'!$A$1:$E$132</definedName>
    <definedName name="_xlnm.Print_Area" localSheetId="4">'1415TRU01_CNE_P13'!$A$1:$BB$81</definedName>
    <definedName name="_xlnm.Print_Area" localSheetId="5">'1415TRU02_SFP_P13'!$A$1:$Q$82</definedName>
    <definedName name="_xlnm.Print_Area" localSheetId="6">'1415TRU03_STE_P13'!$A$1:$J$89</definedName>
    <definedName name="_xlnm.Print_Area" localSheetId="7">'1415TRU04_CF_P13'!$A$1:$BB$180</definedName>
    <definedName name="_xlnm.Print_Area" localSheetId="8">'1415TRU05_REV_P13'!$A$1:$BB$107</definedName>
    <definedName name="_xlnm.Print_Area" localSheetId="9">'1415TRU06_EXP_P13'!$A$1:$BB$213</definedName>
    <definedName name="_xlnm.Print_Area" localSheetId="10">'1415TRU08_OPL_P13'!$A$1:$BB$50</definedName>
    <definedName name="_xlnm.Print_Area" localSheetId="11">'1415TRU09_EMP_P13'!$A$1:$BB$134</definedName>
    <definedName name="_xlnm.Print_Area" localSheetId="12">'1415TRU10_EXT_P13'!$A$1:$K$48</definedName>
    <definedName name="_xlnm.Print_Area" localSheetId="13">'1415TRU11_IGF_P13'!$A$1:$BB$92</definedName>
    <definedName name="_xlnm.Print_Area" localSheetId="14">'1415TRU12_PPE_P13'!$A$1:$AT$195</definedName>
    <definedName name="_xlnm.Print_Area" localSheetId="15">'1415TRU13_INT_P13'!$A$1:$AW$133</definedName>
    <definedName name="_xlnm.Print_Area" localSheetId="16">'1415TRU14_IMP_P13'!$A$1:$BB$112</definedName>
    <definedName name="_xlnm.Print_Area" localSheetId="17">'1415TRU15_ICG_P13'!$A$1:$BB$266</definedName>
    <definedName name="_xlnm.Print_Area" localSheetId="18">'1415TRU16_AST_P13'!$A$1:$BB$282</definedName>
    <definedName name="_xlnm.Print_Area" localSheetId="19">'1415TRU17_LIA_P13'!$A$1:$BB$271</definedName>
    <definedName name="_xlnm.Print_Area" localSheetId="20">'1415TRU18_FL_P13'!$A$1:$L$139</definedName>
    <definedName name="_xlnm.Print_Area" localSheetId="21">'1415TRU19_PRV_P13'!$A$1:$AZ$115</definedName>
    <definedName name="_xlnm.Print_Area" localSheetId="22">'1415TRU20_PFI_P13'!$A$1:$BB$214</definedName>
    <definedName name="_xlnm.Print_Area" localSheetId="23">'1415TRU21_FAL_P13'!$A$1:$H$69</definedName>
    <definedName name="_xlnm.Print_Area" localSheetId="24">'1415TRU22_LSP_P13'!$A$1:$G$56</definedName>
    <definedName name="_xlnm.Print_Area" localSheetId="25">'1415TRU23_CHF_P13'!$A$1:$H$104</definedName>
    <definedName name="_xlnm.Print_Area" localSheetId="26">'1415TRU24_CFN_P13'!$A$1:$E$78</definedName>
    <definedName name="_xlnm.Print_Area" localSheetId="27">'2014-15 NHS Trust example profo'!$A$1:$BB$81</definedName>
    <definedName name="_xlnm.Print_Area" localSheetId="2">Introduction!$B$74:$I$109</definedName>
    <definedName name="_xlnm.Print_Titles" localSheetId="3">'1415TRU_Index_P13'!$8:$8</definedName>
    <definedName name="QHAddr1">Introduction!$F$38</definedName>
    <definedName name="QHAddr2">Introduction!$F$39</definedName>
    <definedName name="QHAddr3">Introduction!$F$40</definedName>
    <definedName name="QHAddr4">Introduction!$F$41</definedName>
    <definedName name="QHContact">Introduction!$F$34</definedName>
    <definedName name="QHEmailAddress">Introduction!$F$35</definedName>
    <definedName name="QHPostcode">Introduction!$F$43</definedName>
    <definedName name="QHTelephone">Introduction!$F$45</definedName>
    <definedName name="ROCode">Introduction!$F$19</definedName>
    <definedName name="V_Contact_List">Data!$A$1:$B$11</definedName>
  </definedNames>
  <calcPr calcId="145621"/>
</workbook>
</file>

<file path=xl/calcChain.xml><?xml version="1.0" encoding="utf-8"?>
<calcChain xmlns="http://schemas.openxmlformats.org/spreadsheetml/2006/main">
  <c r="F81" i="32" l="1"/>
  <c r="F79" i="32"/>
  <c r="F47" i="32"/>
  <c r="F48" i="32" s="1"/>
  <c r="G63" i="28"/>
  <c r="G68" i="28"/>
  <c r="G67" i="28"/>
  <c r="G66" i="28"/>
  <c r="G65" i="28"/>
  <c r="G64" i="28"/>
  <c r="F69" i="28"/>
  <c r="E69" i="28"/>
  <c r="H22" i="28"/>
  <c r="H21" i="28"/>
  <c r="H20" i="28"/>
  <c r="H19" i="28"/>
  <c r="H18" i="28"/>
  <c r="G23" i="28"/>
  <c r="F23" i="28"/>
  <c r="E23" i="28"/>
  <c r="H23" i="28" s="1"/>
  <c r="H11" i="28"/>
  <c r="H12" i="28"/>
  <c r="H13" i="28"/>
  <c r="H14" i="28"/>
  <c r="H15" i="28"/>
  <c r="G155" i="26"/>
  <c r="F133" i="26"/>
  <c r="F116" i="26"/>
  <c r="F104" i="26"/>
  <c r="F106" i="26" s="1"/>
  <c r="F83" i="26"/>
  <c r="F77" i="26"/>
  <c r="F61" i="26"/>
  <c r="F43" i="26"/>
  <c r="F32" i="26"/>
  <c r="F34" i="26" s="1"/>
  <c r="F17" i="26"/>
  <c r="F12" i="26"/>
  <c r="M105" i="25"/>
  <c r="M94" i="25"/>
  <c r="F69" i="25"/>
  <c r="F57" i="25"/>
  <c r="F100" i="24"/>
  <c r="V134" i="23"/>
  <c r="V102" i="23"/>
  <c r="V92" i="23"/>
  <c r="V103" i="23" s="1"/>
  <c r="V36" i="23"/>
  <c r="V25" i="23"/>
  <c r="F194" i="22"/>
  <c r="F97" i="22"/>
  <c r="F78" i="22"/>
  <c r="V58" i="22"/>
  <c r="V43" i="22"/>
  <c r="O229" i="21"/>
  <c r="L92" i="21"/>
  <c r="H61" i="21"/>
  <c r="G61" i="21"/>
  <c r="F61" i="21"/>
  <c r="E61" i="21"/>
  <c r="F38" i="21"/>
  <c r="F25" i="21"/>
  <c r="F30" i="21" s="1"/>
  <c r="J35" i="19"/>
  <c r="J11" i="19"/>
  <c r="M37" i="18"/>
  <c r="M13" i="18"/>
  <c r="F195" i="18"/>
  <c r="H63" i="17"/>
  <c r="H59" i="17"/>
  <c r="H66" i="17" s="1"/>
  <c r="H69" i="17" s="1"/>
  <c r="H46" i="17"/>
  <c r="H41" i="17"/>
  <c r="H38" i="17"/>
  <c r="H35" i="17"/>
  <c r="H32" i="17"/>
  <c r="H48" i="17" s="1"/>
  <c r="H22" i="17"/>
  <c r="H14" i="17"/>
  <c r="G44" i="16"/>
  <c r="F44" i="16"/>
  <c r="I30" i="16"/>
  <c r="H30" i="16"/>
  <c r="I29" i="16"/>
  <c r="H29" i="16"/>
  <c r="I28" i="16"/>
  <c r="H28" i="16"/>
  <c r="I27" i="16"/>
  <c r="H27" i="16"/>
  <c r="I26" i="16"/>
  <c r="H26" i="16"/>
  <c r="I25" i="16"/>
  <c r="H25" i="16"/>
  <c r="I24" i="16"/>
  <c r="H24" i="16"/>
  <c r="K31" i="16"/>
  <c r="J31" i="16"/>
  <c r="G31" i="16"/>
  <c r="F31" i="16"/>
  <c r="E31" i="16"/>
  <c r="D31" i="16"/>
  <c r="H106" i="15"/>
  <c r="G106" i="15"/>
  <c r="H102" i="15"/>
  <c r="G102" i="15"/>
  <c r="F92" i="15"/>
  <c r="J81" i="15"/>
  <c r="I81" i="15"/>
  <c r="H81" i="15"/>
  <c r="H50" i="14"/>
  <c r="H44" i="14"/>
  <c r="H32" i="14"/>
  <c r="H26" i="14"/>
  <c r="H20" i="14"/>
  <c r="H14" i="14"/>
  <c r="F70" i="13"/>
  <c r="F62" i="13"/>
  <c r="F52" i="13"/>
  <c r="F38" i="13"/>
  <c r="F35" i="13"/>
  <c r="F14" i="13"/>
  <c r="F75" i="12"/>
  <c r="F49" i="12"/>
  <c r="F48" i="12"/>
  <c r="F45" i="12"/>
  <c r="F42" i="12"/>
  <c r="F35" i="12"/>
  <c r="F32" i="12"/>
  <c r="F18" i="12"/>
  <c r="F25" i="12" s="1"/>
  <c r="F65" i="11"/>
  <c r="F61" i="11"/>
  <c r="F43" i="11"/>
  <c r="F27" i="11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1" i="10"/>
  <c r="J70" i="10"/>
  <c r="J69" i="10"/>
  <c r="J68" i="10"/>
  <c r="J67" i="10"/>
  <c r="J66" i="10"/>
  <c r="J65" i="10"/>
  <c r="J64" i="10"/>
  <c r="J63" i="10"/>
  <c r="J62" i="10"/>
  <c r="J59" i="10"/>
  <c r="J58" i="10"/>
  <c r="J57" i="10"/>
  <c r="J56" i="10"/>
  <c r="J55" i="10"/>
  <c r="J54" i="10"/>
  <c r="J53" i="10"/>
  <c r="J52" i="10"/>
  <c r="J17" i="10"/>
  <c r="J16" i="10"/>
  <c r="J14" i="10"/>
  <c r="J13" i="10"/>
  <c r="J12" i="10"/>
  <c r="J11" i="10"/>
  <c r="J10" i="10"/>
  <c r="J54" i="9"/>
  <c r="J46" i="9"/>
  <c r="J35" i="9"/>
  <c r="J23" i="9"/>
  <c r="J25" i="9" s="1"/>
  <c r="J26" i="9" s="1"/>
  <c r="J37" i="9" s="1"/>
  <c r="J47" i="9" s="1"/>
  <c r="J16" i="9"/>
  <c r="F22" i="8"/>
  <c r="F14" i="8"/>
  <c r="F18" i="8" s="1"/>
  <c r="V59" i="22" l="1"/>
  <c r="M106" i="25"/>
  <c r="F50" i="12"/>
  <c r="J36" i="9"/>
  <c r="F44" i="11"/>
  <c r="H23" i="17"/>
  <c r="V37" i="23"/>
  <c r="F23" i="8"/>
  <c r="F48" i="8" s="1"/>
  <c r="F62" i="11"/>
  <c r="F67" i="11" s="1"/>
  <c r="H31" i="16"/>
  <c r="F71" i="13"/>
  <c r="I31" i="16"/>
  <c r="G69" i="28"/>
  <c r="M15" i="9"/>
  <c r="M19" i="9"/>
  <c r="M20" i="9"/>
  <c r="M21" i="9"/>
  <c r="M22" i="9"/>
  <c r="M24" i="9"/>
  <c r="M28" i="9"/>
  <c r="M29" i="9"/>
  <c r="M30" i="9"/>
  <c r="M31" i="9"/>
  <c r="M32" i="9"/>
  <c r="M34" i="9"/>
  <c r="M33" i="9" s="1"/>
  <c r="M39" i="9"/>
  <c r="M46" i="9" s="1"/>
  <c r="M40" i="9"/>
  <c r="M41" i="9"/>
  <c r="M42" i="9"/>
  <c r="M43" i="9"/>
  <c r="M45" i="9"/>
  <c r="M35" i="9" l="1"/>
  <c r="M44" i="9"/>
  <c r="E36" i="12"/>
  <c r="E91" i="17" l="1"/>
  <c r="E1" i="117" l="1"/>
  <c r="E1" i="116"/>
  <c r="E1" i="115"/>
  <c r="E1" i="114"/>
  <c r="E1" i="113"/>
  <c r="E1" i="112"/>
  <c r="E1" i="111"/>
  <c r="E1" i="110"/>
  <c r="E1" i="109"/>
  <c r="E1" i="108"/>
  <c r="E1" i="107"/>
  <c r="E1" i="106"/>
  <c r="E1" i="105"/>
  <c r="E1" i="104"/>
  <c r="E1" i="103"/>
  <c r="E1" i="102"/>
  <c r="E1" i="101"/>
  <c r="E1" i="100"/>
  <c r="E1" i="99"/>
  <c r="E1" i="98"/>
  <c r="E1" i="97"/>
  <c r="E1" i="96"/>
  <c r="E1" i="95"/>
  <c r="E1" i="94"/>
  <c r="E1" i="93"/>
  <c r="E1" i="92"/>
  <c r="E1" i="91"/>
  <c r="E1" i="90"/>
  <c r="E1" i="89"/>
  <c r="E1" i="88"/>
  <c r="E1" i="87"/>
  <c r="E1" i="86"/>
  <c r="E1" i="85"/>
  <c r="E1" i="84"/>
  <c r="E1" i="83"/>
  <c r="E1" i="82"/>
  <c r="E1" i="81"/>
  <c r="E1" i="80"/>
  <c r="E1" i="79"/>
  <c r="E1" i="78"/>
  <c r="E1" i="77"/>
  <c r="E1" i="76"/>
  <c r="E1" i="75"/>
  <c r="E1" i="74"/>
  <c r="E1" i="73"/>
  <c r="E1" i="72"/>
  <c r="E1" i="71"/>
  <c r="E1" i="70"/>
  <c r="E1" i="69"/>
  <c r="E1" i="68"/>
  <c r="E1" i="67"/>
  <c r="E1" i="66"/>
  <c r="E1" i="65"/>
  <c r="E1" i="64"/>
  <c r="E1" i="32"/>
  <c r="E1" i="31"/>
  <c r="E1" i="30"/>
  <c r="E1" i="29"/>
  <c r="E1" i="28"/>
  <c r="E1" i="26"/>
  <c r="E1" i="25"/>
  <c r="E1" i="24"/>
  <c r="E1" i="23"/>
  <c r="E1" i="22"/>
  <c r="E1" i="21"/>
  <c r="E1" i="20"/>
  <c r="E1" i="19"/>
  <c r="E1" i="18"/>
  <c r="E1" i="17"/>
  <c r="E1" i="16"/>
  <c r="E1" i="15"/>
  <c r="E1" i="14"/>
  <c r="E1" i="13"/>
  <c r="E1" i="12"/>
  <c r="E1" i="11"/>
  <c r="E1" i="10"/>
  <c r="E1" i="9"/>
  <c r="E1" i="8"/>
  <c r="B2" i="32"/>
  <c r="B1" i="32"/>
  <c r="B2" i="31"/>
  <c r="B1" i="31"/>
  <c r="B2" i="30"/>
  <c r="B1" i="30"/>
  <c r="B2" i="29"/>
  <c r="B1" i="29"/>
  <c r="B2" i="28"/>
  <c r="B1" i="28"/>
  <c r="B2" i="26"/>
  <c r="B1" i="26"/>
  <c r="B2" i="25"/>
  <c r="B1" i="25"/>
  <c r="B2" i="24"/>
  <c r="B1" i="24"/>
  <c r="B2" i="23"/>
  <c r="B1" i="23"/>
  <c r="B2" i="22"/>
  <c r="B1" i="22"/>
  <c r="B2" i="21"/>
  <c r="B1" i="21"/>
  <c r="B2" i="20"/>
  <c r="B1" i="20"/>
  <c r="B2" i="19"/>
  <c r="B1" i="19"/>
  <c r="B2" i="18"/>
  <c r="B1" i="18"/>
  <c r="B2" i="17"/>
  <c r="B1" i="17"/>
  <c r="B2" i="16"/>
  <c r="B1" i="16"/>
  <c r="B2" i="15"/>
  <c r="B1" i="15"/>
  <c r="B2" i="14"/>
  <c r="B1" i="14"/>
  <c r="B2" i="13"/>
  <c r="B1" i="13"/>
  <c r="B2" i="12"/>
  <c r="B1" i="12"/>
  <c r="B2" i="11"/>
  <c r="B1" i="11"/>
  <c r="B2" i="10"/>
  <c r="B1" i="10"/>
  <c r="B2" i="9"/>
  <c r="B1" i="9"/>
  <c r="B2" i="8"/>
  <c r="B1" i="8"/>
  <c r="B2" i="7"/>
  <c r="B1" i="7"/>
  <c r="N109" i="4"/>
  <c r="F105" i="4"/>
  <c r="F103" i="4"/>
  <c r="F94" i="4"/>
  <c r="F92" i="4"/>
  <c r="F90" i="4"/>
  <c r="F88" i="4"/>
  <c r="F86" i="4"/>
  <c r="M109" i="4" s="1"/>
  <c r="F67" i="32" l="1"/>
  <c r="F65" i="32"/>
  <c r="F64" i="32"/>
  <c r="F63" i="32"/>
  <c r="F62" i="32"/>
  <c r="F61" i="32"/>
  <c r="F60" i="32"/>
  <c r="F59" i="32"/>
  <c r="E77" i="32"/>
  <c r="F57" i="32"/>
  <c r="F56" i="32"/>
  <c r="F58" i="32" s="1"/>
  <c r="E76" i="32"/>
  <c r="N32" i="32"/>
  <c r="J32" i="32"/>
  <c r="F32" i="32"/>
  <c r="M32" i="32"/>
  <c r="I32" i="32"/>
  <c r="F44" i="28"/>
  <c r="E44" i="28"/>
  <c r="F43" i="28"/>
  <c r="F42" i="28"/>
  <c r="F41" i="28"/>
  <c r="F40" i="28"/>
  <c r="E39" i="28"/>
  <c r="E75" i="26"/>
  <c r="E10" i="26"/>
  <c r="E76" i="26"/>
  <c r="E11" i="26"/>
  <c r="H87" i="25"/>
  <c r="H90" i="25"/>
  <c r="J11" i="25"/>
  <c r="E34" i="25"/>
  <c r="F44" i="24"/>
  <c r="F43" i="24"/>
  <c r="E99" i="24"/>
  <c r="E98" i="24"/>
  <c r="F260" i="23"/>
  <c r="F45" i="9"/>
  <c r="N45" i="9" s="1"/>
  <c r="H39" i="23"/>
  <c r="E83" i="23"/>
  <c r="E82" i="23"/>
  <c r="H41" i="23"/>
  <c r="H34" i="23"/>
  <c r="H23" i="23"/>
  <c r="F254" i="22"/>
  <c r="F83" i="23"/>
  <c r="F134" i="22"/>
  <c r="H131" i="22"/>
  <c r="F114" i="22"/>
  <c r="H55" i="22"/>
  <c r="H52" i="22"/>
  <c r="H51" i="22"/>
  <c r="H36" i="22"/>
  <c r="H275" i="22"/>
  <c r="H254" i="22"/>
  <c r="H235" i="22"/>
  <c r="H54" i="22"/>
  <c r="H39" i="22"/>
  <c r="E100" i="22"/>
  <c r="F124" i="15"/>
  <c r="F123" i="15"/>
  <c r="E43" i="14"/>
  <c r="E42" i="14"/>
  <c r="E31" i="13"/>
  <c r="G31" i="13" s="1"/>
  <c r="E31" i="11"/>
  <c r="E30" i="11"/>
  <c r="E15" i="11"/>
  <c r="F173" i="11"/>
  <c r="F172" i="11"/>
  <c r="E59" i="11"/>
  <c r="F63" i="11"/>
  <c r="E14" i="11"/>
  <c r="E47" i="11"/>
  <c r="E46" i="11"/>
  <c r="H23" i="10"/>
  <c r="J23" i="10" s="1"/>
  <c r="E40" i="8" s="1"/>
  <c r="E45" i="9"/>
  <c r="L45" i="9" s="1"/>
  <c r="E34" i="9"/>
  <c r="E56" i="8"/>
  <c r="E37" i="8"/>
  <c r="B135" i="7"/>
  <c r="B137" i="7"/>
  <c r="B136" i="7"/>
  <c r="H33" i="117"/>
  <c r="G33" i="117"/>
  <c r="H32" i="117"/>
  <c r="G32" i="117"/>
  <c r="H27" i="117"/>
  <c r="G26" i="117"/>
  <c r="G24" i="117"/>
  <c r="G22" i="117"/>
  <c r="G21" i="117"/>
  <c r="G19" i="117"/>
  <c r="G18" i="117"/>
  <c r="G14" i="117"/>
  <c r="G13" i="117"/>
  <c r="J77" i="116"/>
  <c r="G77" i="116"/>
  <c r="J76" i="116"/>
  <c r="G76" i="116"/>
  <c r="J75" i="116"/>
  <c r="G75" i="116"/>
  <c r="J66" i="116"/>
  <c r="G66" i="116"/>
  <c r="I65" i="116"/>
  <c r="H65" i="116"/>
  <c r="D65" i="116"/>
  <c r="J64" i="116"/>
  <c r="J63" i="116"/>
  <c r="G63" i="116"/>
  <c r="J62" i="116"/>
  <c r="G62" i="116"/>
  <c r="J60" i="116"/>
  <c r="G60" i="116"/>
  <c r="J42" i="116"/>
  <c r="G42" i="116"/>
  <c r="I39" i="116"/>
  <c r="H39" i="116"/>
  <c r="F39" i="116"/>
  <c r="E39" i="116"/>
  <c r="J38" i="116"/>
  <c r="G38" i="116"/>
  <c r="J37" i="116"/>
  <c r="G37" i="116"/>
  <c r="J36" i="116"/>
  <c r="G36" i="116"/>
  <c r="J35" i="116"/>
  <c r="G35" i="116"/>
  <c r="J34" i="116"/>
  <c r="G34" i="116"/>
  <c r="I24" i="116"/>
  <c r="H24" i="116"/>
  <c r="F24" i="116"/>
  <c r="E24" i="116"/>
  <c r="D24" i="116"/>
  <c r="J23" i="116"/>
  <c r="G23" i="116"/>
  <c r="I20" i="116"/>
  <c r="H20" i="116"/>
  <c r="F20" i="116"/>
  <c r="E20" i="116"/>
  <c r="D20" i="116"/>
  <c r="J19" i="116"/>
  <c r="G19" i="116"/>
  <c r="J18" i="116"/>
  <c r="G18" i="116"/>
  <c r="I17" i="116"/>
  <c r="H17" i="116"/>
  <c r="F17" i="116"/>
  <c r="E17" i="116"/>
  <c r="D17" i="116"/>
  <c r="I14" i="116"/>
  <c r="H14" i="116"/>
  <c r="F14" i="116"/>
  <c r="E14" i="116"/>
  <c r="D14" i="116"/>
  <c r="J13" i="116"/>
  <c r="J17" i="116" s="1"/>
  <c r="G13" i="116"/>
  <c r="G17" i="116" s="1"/>
  <c r="J12" i="116"/>
  <c r="G12" i="116"/>
  <c r="F53" i="115"/>
  <c r="E53" i="115"/>
  <c r="D53" i="115"/>
  <c r="G40" i="115"/>
  <c r="E40" i="115"/>
  <c r="G39" i="115"/>
  <c r="E39" i="115"/>
  <c r="G38" i="115"/>
  <c r="E38" i="115"/>
  <c r="E37" i="115"/>
  <c r="G36" i="115"/>
  <c r="E36" i="115"/>
  <c r="G35" i="115"/>
  <c r="E35" i="115"/>
  <c r="G34" i="115"/>
  <c r="F34" i="115"/>
  <c r="E34" i="115"/>
  <c r="D34" i="115"/>
  <c r="G33" i="115"/>
  <c r="E33" i="115"/>
  <c r="G32" i="115"/>
  <c r="E32" i="115"/>
  <c r="G31" i="115"/>
  <c r="F31" i="115"/>
  <c r="F35" i="115" s="1"/>
  <c r="E31" i="115"/>
  <c r="D31" i="115"/>
  <c r="D35" i="115" s="1"/>
  <c r="G30" i="115"/>
  <c r="E30" i="115"/>
  <c r="G29" i="115"/>
  <c r="E29" i="115"/>
  <c r="G28" i="115"/>
  <c r="E28" i="115"/>
  <c r="G27" i="115"/>
  <c r="E27" i="115"/>
  <c r="F16" i="115"/>
  <c r="E16" i="115"/>
  <c r="D16" i="115"/>
  <c r="CE14" i="115"/>
  <c r="CD14" i="115"/>
  <c r="CC14" i="115"/>
  <c r="CB14" i="115"/>
  <c r="CB5" i="115"/>
  <c r="M153" i="114"/>
  <c r="L153" i="114"/>
  <c r="K153" i="114"/>
  <c r="J153" i="114"/>
  <c r="I153" i="114"/>
  <c r="H153" i="114"/>
  <c r="G153" i="114"/>
  <c r="F153" i="114"/>
  <c r="E153" i="114"/>
  <c r="M152" i="114"/>
  <c r="L152" i="114"/>
  <c r="K152" i="114"/>
  <c r="J152" i="114"/>
  <c r="I152" i="114"/>
  <c r="H152" i="114"/>
  <c r="G152" i="114"/>
  <c r="F152" i="114"/>
  <c r="E152" i="114"/>
  <c r="M151" i="114"/>
  <c r="L151" i="114"/>
  <c r="K151" i="114"/>
  <c r="J151" i="114"/>
  <c r="I151" i="114"/>
  <c r="H151" i="114"/>
  <c r="G151" i="114"/>
  <c r="F151" i="114"/>
  <c r="E151" i="114"/>
  <c r="M150" i="114"/>
  <c r="L150" i="114"/>
  <c r="K150" i="114"/>
  <c r="J150" i="114"/>
  <c r="I150" i="114"/>
  <c r="H150" i="114"/>
  <c r="G150" i="114"/>
  <c r="F150" i="114"/>
  <c r="E150" i="114"/>
  <c r="M149" i="114"/>
  <c r="L149" i="114"/>
  <c r="K149" i="114"/>
  <c r="J149" i="114"/>
  <c r="I149" i="114"/>
  <c r="H149" i="114"/>
  <c r="G149" i="114"/>
  <c r="F149" i="114"/>
  <c r="E149" i="114"/>
  <c r="D149" i="114"/>
  <c r="M148" i="114"/>
  <c r="L148" i="114"/>
  <c r="K148" i="114"/>
  <c r="J148" i="114"/>
  <c r="I148" i="114"/>
  <c r="H148" i="114"/>
  <c r="G148" i="114"/>
  <c r="F148" i="114"/>
  <c r="E148" i="114"/>
  <c r="M147" i="114"/>
  <c r="L147" i="114"/>
  <c r="K147" i="114"/>
  <c r="J147" i="114"/>
  <c r="I147" i="114"/>
  <c r="H147" i="114"/>
  <c r="G147" i="114"/>
  <c r="F147" i="114"/>
  <c r="E147" i="114"/>
  <c r="S137" i="114"/>
  <c r="R137" i="114"/>
  <c r="Q137" i="114"/>
  <c r="P137" i="114"/>
  <c r="N137" i="114" s="1"/>
  <c r="O137" i="114"/>
  <c r="M137" i="114"/>
  <c r="L137" i="114"/>
  <c r="K137" i="114"/>
  <c r="J137" i="114"/>
  <c r="I137" i="114"/>
  <c r="D137" i="114" s="1"/>
  <c r="H137" i="114"/>
  <c r="G137" i="114"/>
  <c r="F137" i="114"/>
  <c r="E137" i="114"/>
  <c r="S136" i="114"/>
  <c r="R136" i="114"/>
  <c r="Q136" i="114"/>
  <c r="P136" i="114"/>
  <c r="O136" i="114"/>
  <c r="M136" i="114"/>
  <c r="L136" i="114"/>
  <c r="K136" i="114"/>
  <c r="J136" i="114"/>
  <c r="I136" i="114"/>
  <c r="H136" i="114"/>
  <c r="G136" i="114"/>
  <c r="F136" i="114"/>
  <c r="E136" i="114"/>
  <c r="S135" i="114"/>
  <c r="R135" i="114"/>
  <c r="Q135" i="114"/>
  <c r="P135" i="114"/>
  <c r="O135" i="114"/>
  <c r="M135" i="114"/>
  <c r="L135" i="114"/>
  <c r="K135" i="114"/>
  <c r="J135" i="114"/>
  <c r="I135" i="114"/>
  <c r="H135" i="114"/>
  <c r="G135" i="114"/>
  <c r="F135" i="114"/>
  <c r="E135" i="114"/>
  <c r="S134" i="114"/>
  <c r="R134" i="114"/>
  <c r="Q134" i="114"/>
  <c r="P134" i="114"/>
  <c r="O134" i="114"/>
  <c r="M134" i="114"/>
  <c r="L134" i="114"/>
  <c r="K134" i="114"/>
  <c r="J134" i="114"/>
  <c r="I134" i="114"/>
  <c r="H134" i="114"/>
  <c r="G134" i="114"/>
  <c r="F134" i="114"/>
  <c r="E134" i="114"/>
  <c r="S133" i="114"/>
  <c r="R133" i="114"/>
  <c r="Q133" i="114"/>
  <c r="P133" i="114"/>
  <c r="N133" i="114" s="1"/>
  <c r="O133" i="114"/>
  <c r="M133" i="114"/>
  <c r="L133" i="114"/>
  <c r="K133" i="114"/>
  <c r="J133" i="114"/>
  <c r="I133" i="114"/>
  <c r="D133" i="114" s="1"/>
  <c r="H133" i="114"/>
  <c r="G133" i="114"/>
  <c r="F133" i="114"/>
  <c r="E133" i="114"/>
  <c r="S132" i="114"/>
  <c r="R132" i="114"/>
  <c r="Q132" i="114"/>
  <c r="P132" i="114"/>
  <c r="O132" i="114"/>
  <c r="M132" i="114"/>
  <c r="L132" i="114"/>
  <c r="K132" i="114"/>
  <c r="J132" i="114"/>
  <c r="I132" i="114"/>
  <c r="H132" i="114"/>
  <c r="G132" i="114"/>
  <c r="F132" i="114"/>
  <c r="E132" i="114"/>
  <c r="S131" i="114"/>
  <c r="R131" i="114"/>
  <c r="Q131" i="114"/>
  <c r="P131" i="114"/>
  <c r="O131" i="114"/>
  <c r="M131" i="114"/>
  <c r="L131" i="114"/>
  <c r="K131" i="114"/>
  <c r="J131" i="114"/>
  <c r="I131" i="114"/>
  <c r="D131" i="114" s="1"/>
  <c r="H131" i="114"/>
  <c r="G131" i="114"/>
  <c r="F131" i="114"/>
  <c r="E131" i="114"/>
  <c r="T123" i="114"/>
  <c r="CF122" i="114"/>
  <c r="CE122" i="114"/>
  <c r="CC122" i="114"/>
  <c r="CB122" i="114"/>
  <c r="CF121" i="114"/>
  <c r="CE121" i="114"/>
  <c r="CC121" i="114"/>
  <c r="CB121" i="114"/>
  <c r="CF120" i="114"/>
  <c r="CE120" i="114"/>
  <c r="CC120" i="114"/>
  <c r="CB120" i="114"/>
  <c r="CF119" i="114"/>
  <c r="CE119" i="114"/>
  <c r="CC119" i="114"/>
  <c r="CB119" i="114"/>
  <c r="CF118" i="114"/>
  <c r="CE118" i="114"/>
  <c r="CC118" i="114"/>
  <c r="CB118" i="114"/>
  <c r="CF117" i="114"/>
  <c r="CE117" i="114"/>
  <c r="CC117" i="114"/>
  <c r="CB117" i="114"/>
  <c r="CF116" i="114"/>
  <c r="CE116" i="114"/>
  <c r="CC116" i="114"/>
  <c r="CB116" i="114"/>
  <c r="CF115" i="114"/>
  <c r="CE115" i="114"/>
  <c r="CC115" i="114"/>
  <c r="CB115" i="114"/>
  <c r="CF114" i="114"/>
  <c r="CE114" i="114"/>
  <c r="CC114" i="114"/>
  <c r="CB114" i="114"/>
  <c r="CF113" i="114"/>
  <c r="CE113" i="114"/>
  <c r="CC113" i="114"/>
  <c r="CB113" i="114"/>
  <c r="CF112" i="114"/>
  <c r="CE112" i="114"/>
  <c r="CC112" i="114"/>
  <c r="CB112" i="114"/>
  <c r="CF111" i="114"/>
  <c r="CE111" i="114"/>
  <c r="CC111" i="114"/>
  <c r="CB111" i="114"/>
  <c r="CF110" i="114"/>
  <c r="CE110" i="114"/>
  <c r="CC110" i="114"/>
  <c r="CB110" i="114"/>
  <c r="CF109" i="114"/>
  <c r="CE109" i="114"/>
  <c r="CC109" i="114"/>
  <c r="CB109" i="114"/>
  <c r="CF108" i="114"/>
  <c r="CE108" i="114"/>
  <c r="CC108" i="114"/>
  <c r="CB108" i="114"/>
  <c r="CF107" i="114"/>
  <c r="CE107" i="114"/>
  <c r="CC107" i="114"/>
  <c r="CB107" i="114"/>
  <c r="CF106" i="114"/>
  <c r="CE106" i="114"/>
  <c r="CC106" i="114"/>
  <c r="CB106" i="114"/>
  <c r="CF105" i="114"/>
  <c r="CE105" i="114"/>
  <c r="CC105" i="114"/>
  <c r="CB105" i="114"/>
  <c r="CF104" i="114"/>
  <c r="CE104" i="114"/>
  <c r="CC104" i="114"/>
  <c r="CB104" i="114"/>
  <c r="CF103" i="114"/>
  <c r="CE103" i="114"/>
  <c r="CC103" i="114"/>
  <c r="CB103" i="114"/>
  <c r="CF102" i="114"/>
  <c r="CE102" i="114"/>
  <c r="CC102" i="114"/>
  <c r="CB102" i="114"/>
  <c r="CF101" i="114"/>
  <c r="CE101" i="114"/>
  <c r="CC101" i="114"/>
  <c r="CB101" i="114"/>
  <c r="CF100" i="114"/>
  <c r="CE100" i="114"/>
  <c r="CC100" i="114"/>
  <c r="CB100" i="114"/>
  <c r="CF99" i="114"/>
  <c r="CE99" i="114"/>
  <c r="CC99" i="114"/>
  <c r="CB99" i="114"/>
  <c r="CF98" i="114"/>
  <c r="CE98" i="114"/>
  <c r="CC98" i="114"/>
  <c r="CB98" i="114"/>
  <c r="CF97" i="114"/>
  <c r="CE97" i="114"/>
  <c r="CC97" i="114"/>
  <c r="CB97" i="114"/>
  <c r="CF96" i="114"/>
  <c r="CE96" i="114"/>
  <c r="CC96" i="114"/>
  <c r="CB96" i="114"/>
  <c r="CF95" i="114"/>
  <c r="CE95" i="114"/>
  <c r="CC95" i="114"/>
  <c r="CB95" i="114"/>
  <c r="CF94" i="114"/>
  <c r="CE94" i="114"/>
  <c r="CC94" i="114"/>
  <c r="CB94" i="114"/>
  <c r="CF93" i="114"/>
  <c r="CE93" i="114"/>
  <c r="CC93" i="114"/>
  <c r="CB93" i="114"/>
  <c r="CF92" i="114"/>
  <c r="CE92" i="114"/>
  <c r="CC92" i="114"/>
  <c r="CB92" i="114"/>
  <c r="CF91" i="114"/>
  <c r="CE91" i="114"/>
  <c r="CC91" i="114"/>
  <c r="CB91" i="114"/>
  <c r="CF90" i="114"/>
  <c r="CE90" i="114"/>
  <c r="CC90" i="114"/>
  <c r="CB90" i="114"/>
  <c r="CF89" i="114"/>
  <c r="CE89" i="114"/>
  <c r="CC89" i="114"/>
  <c r="CB89" i="114"/>
  <c r="CF88" i="114"/>
  <c r="CE88" i="114"/>
  <c r="CC88" i="114"/>
  <c r="CB88" i="114"/>
  <c r="CF87" i="114"/>
  <c r="CE87" i="114"/>
  <c r="CC87" i="114"/>
  <c r="CB87" i="114"/>
  <c r="CF86" i="114"/>
  <c r="CE86" i="114"/>
  <c r="CC86" i="114"/>
  <c r="CB86" i="114"/>
  <c r="CF85" i="114"/>
  <c r="CE85" i="114"/>
  <c r="CC85" i="114"/>
  <c r="CB85" i="114"/>
  <c r="CF84" i="114"/>
  <c r="CE84" i="114"/>
  <c r="CC84" i="114"/>
  <c r="CB84" i="114"/>
  <c r="CF83" i="114"/>
  <c r="CE83" i="114"/>
  <c r="CC83" i="114"/>
  <c r="CB83" i="114"/>
  <c r="CF82" i="114"/>
  <c r="CE82" i="114"/>
  <c r="CC82" i="114"/>
  <c r="CB82" i="114"/>
  <c r="CF81" i="114"/>
  <c r="CE81" i="114"/>
  <c r="CC81" i="114"/>
  <c r="CB81" i="114"/>
  <c r="CF80" i="114"/>
  <c r="CE80" i="114"/>
  <c r="CC80" i="114"/>
  <c r="CB80" i="114"/>
  <c r="CF79" i="114"/>
  <c r="CE79" i="114"/>
  <c r="CC79" i="114"/>
  <c r="CB79" i="114"/>
  <c r="CF78" i="114"/>
  <c r="CE78" i="114"/>
  <c r="CC78" i="114"/>
  <c r="CB78" i="114"/>
  <c r="CF77" i="114"/>
  <c r="CE77" i="114"/>
  <c r="CC77" i="114"/>
  <c r="CB77" i="114"/>
  <c r="CF76" i="114"/>
  <c r="CE76" i="114"/>
  <c r="CC76" i="114"/>
  <c r="CB76" i="114"/>
  <c r="CF75" i="114"/>
  <c r="CE75" i="114"/>
  <c r="CC75" i="114"/>
  <c r="CB75" i="114"/>
  <c r="CF74" i="114"/>
  <c r="CE74" i="114"/>
  <c r="CC74" i="114"/>
  <c r="CB74" i="114"/>
  <c r="CF73" i="114"/>
  <c r="CE73" i="114"/>
  <c r="CC73" i="114"/>
  <c r="CB73" i="114"/>
  <c r="CF72" i="114"/>
  <c r="CE72" i="114"/>
  <c r="CC72" i="114"/>
  <c r="CB72" i="114"/>
  <c r="CF71" i="114"/>
  <c r="CE71" i="114"/>
  <c r="CC71" i="114"/>
  <c r="CB71" i="114"/>
  <c r="CF70" i="114"/>
  <c r="CE70" i="114"/>
  <c r="CC70" i="114"/>
  <c r="CB70" i="114"/>
  <c r="CF69" i="114"/>
  <c r="CE69" i="114"/>
  <c r="CC69" i="114"/>
  <c r="CB69" i="114"/>
  <c r="T67" i="114"/>
  <c r="S67" i="114"/>
  <c r="S124" i="114" s="1"/>
  <c r="R67" i="114"/>
  <c r="R124" i="114" s="1"/>
  <c r="Q67" i="114"/>
  <c r="Q124" i="114" s="1"/>
  <c r="P67" i="114"/>
  <c r="P124" i="114" s="1"/>
  <c r="O67" i="114"/>
  <c r="O124" i="114" s="1"/>
  <c r="N67" i="114"/>
  <c r="N124" i="114" s="1"/>
  <c r="M67" i="114"/>
  <c r="M124" i="114" s="1"/>
  <c r="L67" i="114"/>
  <c r="L124" i="114" s="1"/>
  <c r="K67" i="114"/>
  <c r="K124" i="114" s="1"/>
  <c r="J67" i="114"/>
  <c r="J124" i="114" s="1"/>
  <c r="I67" i="114"/>
  <c r="I124" i="114" s="1"/>
  <c r="H67" i="114"/>
  <c r="H124" i="114" s="1"/>
  <c r="CF66" i="114"/>
  <c r="CD66" i="114"/>
  <c r="CB66" i="114"/>
  <c r="G66" i="114"/>
  <c r="CF65" i="114"/>
  <c r="CD65" i="114"/>
  <c r="CB65" i="114"/>
  <c r="G65" i="114"/>
  <c r="CF64" i="114"/>
  <c r="CD64" i="114"/>
  <c r="CB64" i="114"/>
  <c r="G64" i="114"/>
  <c r="CF63" i="114"/>
  <c r="CD63" i="114"/>
  <c r="CB63" i="114"/>
  <c r="G63" i="114"/>
  <c r="CF62" i="114"/>
  <c r="CD62" i="114"/>
  <c r="CB62" i="114"/>
  <c r="G62" i="114"/>
  <c r="CF61" i="114"/>
  <c r="CD61" i="114"/>
  <c r="CB61" i="114"/>
  <c r="G61" i="114"/>
  <c r="CF60" i="114"/>
  <c r="CD60" i="114"/>
  <c r="CB60" i="114"/>
  <c r="G60" i="114"/>
  <c r="CF59" i="114"/>
  <c r="CD59" i="114"/>
  <c r="CB59" i="114"/>
  <c r="G59" i="114"/>
  <c r="CF58" i="114"/>
  <c r="CD58" i="114"/>
  <c r="CB58" i="114"/>
  <c r="G58" i="114"/>
  <c r="CF57" i="114"/>
  <c r="CD57" i="114"/>
  <c r="CB57" i="114"/>
  <c r="G57" i="114"/>
  <c r="CF56" i="114"/>
  <c r="CD56" i="114"/>
  <c r="CB56" i="114"/>
  <c r="G56" i="114"/>
  <c r="CF55" i="114"/>
  <c r="CD55" i="114"/>
  <c r="CB55" i="114"/>
  <c r="G55" i="114"/>
  <c r="CF54" i="114"/>
  <c r="CD54" i="114"/>
  <c r="CB54" i="114"/>
  <c r="G54" i="114"/>
  <c r="CF53" i="114"/>
  <c r="CD53" i="114"/>
  <c r="CB53" i="114"/>
  <c r="G53" i="114"/>
  <c r="CF52" i="114"/>
  <c r="CD52" i="114"/>
  <c r="CB52" i="114"/>
  <c r="G52" i="114"/>
  <c r="CF51" i="114"/>
  <c r="CD51" i="114"/>
  <c r="CB51" i="114"/>
  <c r="G51" i="114"/>
  <c r="CF50" i="114"/>
  <c r="CD50" i="114"/>
  <c r="CB50" i="114"/>
  <c r="G50" i="114"/>
  <c r="CF49" i="114"/>
  <c r="CD49" i="114"/>
  <c r="CB49" i="114"/>
  <c r="G49" i="114"/>
  <c r="CF48" i="114"/>
  <c r="CD48" i="114"/>
  <c r="CB48" i="114"/>
  <c r="G48" i="114"/>
  <c r="CF47" i="114"/>
  <c r="CD47" i="114"/>
  <c r="CB47" i="114"/>
  <c r="G47" i="114"/>
  <c r="CF46" i="114"/>
  <c r="CD46" i="114"/>
  <c r="CB46" i="114"/>
  <c r="G46" i="114"/>
  <c r="CF45" i="114"/>
  <c r="CD45" i="114"/>
  <c r="CB45" i="114"/>
  <c r="G45" i="114"/>
  <c r="CF44" i="114"/>
  <c r="CD44" i="114"/>
  <c r="CB44" i="114"/>
  <c r="G44" i="114"/>
  <c r="CF43" i="114"/>
  <c r="CD43" i="114"/>
  <c r="CB43" i="114"/>
  <c r="G43" i="114"/>
  <c r="CF42" i="114"/>
  <c r="CD42" i="114"/>
  <c r="CB42" i="114"/>
  <c r="G42" i="114"/>
  <c r="CF41" i="114"/>
  <c r="CD41" i="114"/>
  <c r="CB41" i="114"/>
  <c r="G41" i="114"/>
  <c r="CF40" i="114"/>
  <c r="CD40" i="114"/>
  <c r="CB40" i="114"/>
  <c r="G40" i="114"/>
  <c r="CF39" i="114"/>
  <c r="CD39" i="114"/>
  <c r="CB39" i="114"/>
  <c r="G39" i="114"/>
  <c r="CF38" i="114"/>
  <c r="CD38" i="114"/>
  <c r="CB38" i="114"/>
  <c r="G38" i="114"/>
  <c r="CF37" i="114"/>
  <c r="CD37" i="114"/>
  <c r="CB37" i="114"/>
  <c r="G37" i="114"/>
  <c r="CF36" i="114"/>
  <c r="CD36" i="114"/>
  <c r="CB36" i="114"/>
  <c r="G36" i="114"/>
  <c r="CF35" i="114"/>
  <c r="CD35" i="114"/>
  <c r="CB35" i="114"/>
  <c r="G35" i="114"/>
  <c r="CF34" i="114"/>
  <c r="CD34" i="114"/>
  <c r="CB34" i="114"/>
  <c r="G34" i="114"/>
  <c r="CF33" i="114"/>
  <c r="CD33" i="114"/>
  <c r="CB33" i="114"/>
  <c r="G33" i="114"/>
  <c r="CF32" i="114"/>
  <c r="CD32" i="114"/>
  <c r="CB32" i="114"/>
  <c r="G32" i="114"/>
  <c r="CF31" i="114"/>
  <c r="CD31" i="114"/>
  <c r="CB31" i="114"/>
  <c r="G31" i="114"/>
  <c r="CF30" i="114"/>
  <c r="CD30" i="114"/>
  <c r="CB30" i="114"/>
  <c r="G30" i="114"/>
  <c r="CF29" i="114"/>
  <c r="CD29" i="114"/>
  <c r="CB29" i="114"/>
  <c r="G29" i="114"/>
  <c r="CF28" i="114"/>
  <c r="CD28" i="114"/>
  <c r="CB28" i="114"/>
  <c r="G28" i="114"/>
  <c r="CF27" i="114"/>
  <c r="CD27" i="114"/>
  <c r="CB27" i="114"/>
  <c r="G27" i="114"/>
  <c r="CF26" i="114"/>
  <c r="CD26" i="114"/>
  <c r="CB26" i="114"/>
  <c r="G26" i="114"/>
  <c r="CF25" i="114"/>
  <c r="CD25" i="114"/>
  <c r="CB25" i="114"/>
  <c r="G25" i="114"/>
  <c r="CF24" i="114"/>
  <c r="CD24" i="114"/>
  <c r="CB24" i="114"/>
  <c r="G24" i="114"/>
  <c r="CF23" i="114"/>
  <c r="CD23" i="114"/>
  <c r="CB23" i="114"/>
  <c r="G23" i="114"/>
  <c r="CF22" i="114"/>
  <c r="CD22" i="114"/>
  <c r="CB22" i="114"/>
  <c r="G22" i="114"/>
  <c r="CF21" i="114"/>
  <c r="CD21" i="114"/>
  <c r="CB21" i="114"/>
  <c r="G21" i="114"/>
  <c r="CF20" i="114"/>
  <c r="CD20" i="114"/>
  <c r="CB20" i="114"/>
  <c r="G20" i="114"/>
  <c r="CF19" i="114"/>
  <c r="CD19" i="114"/>
  <c r="CB19" i="114"/>
  <c r="G19" i="114"/>
  <c r="CF18" i="114"/>
  <c r="CD18" i="114"/>
  <c r="CB18" i="114"/>
  <c r="G18" i="114"/>
  <c r="CF17" i="114"/>
  <c r="CD17" i="114"/>
  <c r="CB17" i="114"/>
  <c r="G17" i="114"/>
  <c r="CF16" i="114"/>
  <c r="CD16" i="114"/>
  <c r="CB16" i="114"/>
  <c r="G16" i="114"/>
  <c r="CF15" i="114"/>
  <c r="CD15" i="114"/>
  <c r="CB15" i="114"/>
  <c r="G15" i="114"/>
  <c r="CF14" i="114"/>
  <c r="CD14" i="114"/>
  <c r="CB14" i="114"/>
  <c r="G14" i="114"/>
  <c r="CF13" i="114"/>
  <c r="CD13" i="114"/>
  <c r="CD7" i="114" s="1"/>
  <c r="CB13" i="114"/>
  <c r="CB7" i="114" s="1"/>
  <c r="G13" i="114"/>
  <c r="CB5" i="114"/>
  <c r="BA1" i="114"/>
  <c r="K270" i="113"/>
  <c r="CI266" i="113"/>
  <c r="CH266" i="113"/>
  <c r="CG266" i="113"/>
  <c r="CD266" i="113"/>
  <c r="CC266" i="113"/>
  <c r="CB266" i="113"/>
  <c r="CI265" i="113"/>
  <c r="CH265" i="113"/>
  <c r="CG265" i="113"/>
  <c r="CD265" i="113"/>
  <c r="CC265" i="113"/>
  <c r="CB265" i="113"/>
  <c r="CI264" i="113"/>
  <c r="CH264" i="113"/>
  <c r="G264" i="113" s="1"/>
  <c r="CG264" i="113"/>
  <c r="CD264" i="113"/>
  <c r="CC264" i="113"/>
  <c r="CB264" i="113"/>
  <c r="CI263" i="113"/>
  <c r="CH263" i="113"/>
  <c r="CG263" i="113"/>
  <c r="CD263" i="113"/>
  <c r="CC263" i="113"/>
  <c r="CB263" i="113"/>
  <c r="CG262" i="113"/>
  <c r="CJ262" i="113" s="1"/>
  <c r="L262" i="113" s="1"/>
  <c r="CB262" i="113"/>
  <c r="H262" i="113"/>
  <c r="G262" i="113"/>
  <c r="CI261" i="113"/>
  <c r="CH261" i="113"/>
  <c r="CG261" i="113"/>
  <c r="CD261" i="113"/>
  <c r="CC261" i="113"/>
  <c r="CB261" i="113"/>
  <c r="CI260" i="113"/>
  <c r="CH260" i="113"/>
  <c r="CG260" i="113"/>
  <c r="CD260" i="113"/>
  <c r="CC260" i="113"/>
  <c r="G260" i="113" s="1"/>
  <c r="CB260" i="113"/>
  <c r="CI259" i="113"/>
  <c r="CH259" i="113"/>
  <c r="CG259" i="113"/>
  <c r="CD259" i="113"/>
  <c r="CC259" i="113"/>
  <c r="CB259" i="113"/>
  <c r="F259" i="113"/>
  <c r="CI258" i="113"/>
  <c r="CH258" i="113"/>
  <c r="CG258" i="113"/>
  <c r="CD258" i="113"/>
  <c r="CC258" i="113"/>
  <c r="CB258" i="113"/>
  <c r="CG257" i="113"/>
  <c r="CJ257" i="113" s="1"/>
  <c r="L257" i="113" s="1"/>
  <c r="CB257" i="113"/>
  <c r="H257" i="113"/>
  <c r="G257" i="113"/>
  <c r="CI256" i="113"/>
  <c r="CH256" i="113"/>
  <c r="CG256" i="113"/>
  <c r="CD256" i="113"/>
  <c r="CC256" i="113"/>
  <c r="CB256" i="113"/>
  <c r="CI255" i="113"/>
  <c r="CH255" i="113"/>
  <c r="CG255" i="113"/>
  <c r="CD255" i="113"/>
  <c r="CC255" i="113"/>
  <c r="CB255" i="113"/>
  <c r="CG251" i="113"/>
  <c r="CJ251" i="113" s="1"/>
  <c r="L251" i="113" s="1"/>
  <c r="CB251" i="113"/>
  <c r="H251" i="113"/>
  <c r="G251" i="113"/>
  <c r="CI250" i="113"/>
  <c r="CH250" i="113"/>
  <c r="CG250" i="113"/>
  <c r="CD250" i="113"/>
  <c r="CC250" i="113"/>
  <c r="CB250" i="113"/>
  <c r="CG249" i="113"/>
  <c r="CJ249" i="113" s="1"/>
  <c r="L249" i="113" s="1"/>
  <c r="CB249" i="113"/>
  <c r="H249" i="113"/>
  <c r="G249" i="113"/>
  <c r="CI248" i="113"/>
  <c r="CH248" i="113"/>
  <c r="CD248" i="113"/>
  <c r="H248" i="113" s="1"/>
  <c r="CC248" i="113"/>
  <c r="G248" i="113" s="1"/>
  <c r="F248" i="113"/>
  <c r="CI247" i="113"/>
  <c r="CH247" i="113"/>
  <c r="G247" i="113" s="1"/>
  <c r="CG247" i="113"/>
  <c r="CD247" i="113"/>
  <c r="CC247" i="113"/>
  <c r="CB247" i="113"/>
  <c r="CI246" i="113"/>
  <c r="CH246" i="113"/>
  <c r="CD246" i="113"/>
  <c r="CC246" i="113"/>
  <c r="G246" i="113" s="1"/>
  <c r="F246" i="113"/>
  <c r="CG245" i="113"/>
  <c r="CJ245" i="113" s="1"/>
  <c r="L245" i="113" s="1"/>
  <c r="CB245" i="113"/>
  <c r="H245" i="113"/>
  <c r="G245" i="113"/>
  <c r="CI241" i="113"/>
  <c r="CH241" i="113"/>
  <c r="CG241" i="113"/>
  <c r="CD241" i="113"/>
  <c r="CC241" i="113"/>
  <c r="CB241" i="113"/>
  <c r="F241" i="113"/>
  <c r="CI240" i="113"/>
  <c r="CH240" i="113"/>
  <c r="CG240" i="113"/>
  <c r="CD240" i="113"/>
  <c r="CC240" i="113"/>
  <c r="CB240" i="113"/>
  <c r="CI239" i="113"/>
  <c r="CH239" i="113"/>
  <c r="CG239" i="113"/>
  <c r="CD239" i="113"/>
  <c r="H239" i="113" s="1"/>
  <c r="CC239" i="113"/>
  <c r="CB239" i="113"/>
  <c r="CG238" i="113"/>
  <c r="CJ238" i="113" s="1"/>
  <c r="L238" i="113" s="1"/>
  <c r="CB238" i="113"/>
  <c r="H238" i="113"/>
  <c r="G238" i="113"/>
  <c r="CG237" i="113"/>
  <c r="CJ237" i="113" s="1"/>
  <c r="L237" i="113" s="1"/>
  <c r="CB237" i="113"/>
  <c r="CE237" i="113" s="1"/>
  <c r="H237" i="113"/>
  <c r="G237" i="113"/>
  <c r="CI236" i="113"/>
  <c r="CH236" i="113"/>
  <c r="G236" i="113" s="1"/>
  <c r="CG236" i="113"/>
  <c r="CD236" i="113"/>
  <c r="CC236" i="113"/>
  <c r="CB236" i="113"/>
  <c r="K224" i="113"/>
  <c r="CI220" i="113"/>
  <c r="CH220" i="113"/>
  <c r="CG220" i="113"/>
  <c r="CD220" i="113"/>
  <c r="CC220" i="113"/>
  <c r="CB220" i="113"/>
  <c r="CI219" i="113"/>
  <c r="H219" i="113" s="1"/>
  <c r="CH219" i="113"/>
  <c r="CG219" i="113"/>
  <c r="CD219" i="113"/>
  <c r="CC219" i="113"/>
  <c r="CB219" i="113"/>
  <c r="CI218" i="113"/>
  <c r="CH218" i="113"/>
  <c r="CG218" i="113"/>
  <c r="CD218" i="113"/>
  <c r="CC218" i="113"/>
  <c r="CB218" i="113"/>
  <c r="G218" i="113"/>
  <c r="CI217" i="113"/>
  <c r="CH217" i="113"/>
  <c r="CG217" i="113"/>
  <c r="CD217" i="113"/>
  <c r="CC217" i="113"/>
  <c r="CB217" i="113"/>
  <c r="CG216" i="113"/>
  <c r="CJ216" i="113" s="1"/>
  <c r="L216" i="113" s="1"/>
  <c r="CB216" i="113"/>
  <c r="H216" i="113"/>
  <c r="G216" i="113"/>
  <c r="CI215" i="113"/>
  <c r="CH215" i="113"/>
  <c r="CG215" i="113"/>
  <c r="CD215" i="113"/>
  <c r="CC215" i="113"/>
  <c r="CB215" i="113"/>
  <c r="F215" i="113" s="1"/>
  <c r="CI214" i="113"/>
  <c r="CH214" i="113"/>
  <c r="CG214" i="113"/>
  <c r="CD214" i="113"/>
  <c r="H214" i="113" s="1"/>
  <c r="CC214" i="113"/>
  <c r="CB214" i="113"/>
  <c r="CI213" i="113"/>
  <c r="H213" i="113" s="1"/>
  <c r="CH213" i="113"/>
  <c r="CG213" i="113"/>
  <c r="CD213" i="113"/>
  <c r="CC213" i="113"/>
  <c r="CB213" i="113"/>
  <c r="CI212" i="113"/>
  <c r="CH212" i="113"/>
  <c r="G212" i="113" s="1"/>
  <c r="CG212" i="113"/>
  <c r="CD212" i="113"/>
  <c r="H212" i="113" s="1"/>
  <c r="CC212" i="113"/>
  <c r="CB212" i="113"/>
  <c r="CG211" i="113"/>
  <c r="CJ211" i="113" s="1"/>
  <c r="L211" i="113" s="1"/>
  <c r="CB211" i="113"/>
  <c r="CE211" i="113" s="1"/>
  <c r="H211" i="113"/>
  <c r="G211" i="113"/>
  <c r="CI210" i="113"/>
  <c r="CH210" i="113"/>
  <c r="CG210" i="113"/>
  <c r="CD210" i="113"/>
  <c r="CC210" i="113"/>
  <c r="CB210" i="113"/>
  <c r="CI209" i="113"/>
  <c r="CH209" i="113"/>
  <c r="CG209" i="113"/>
  <c r="CD209" i="113"/>
  <c r="CC209" i="113"/>
  <c r="CB209" i="113"/>
  <c r="CG205" i="113"/>
  <c r="CJ205" i="113" s="1"/>
  <c r="L205" i="113" s="1"/>
  <c r="CB205" i="113"/>
  <c r="H205" i="113"/>
  <c r="G205" i="113"/>
  <c r="CI204" i="113"/>
  <c r="CH204" i="113"/>
  <c r="CG204" i="113"/>
  <c r="CD204" i="113"/>
  <c r="H204" i="113" s="1"/>
  <c r="CC204" i="113"/>
  <c r="CB204" i="113"/>
  <c r="CG203" i="113"/>
  <c r="CJ203" i="113" s="1"/>
  <c r="L203" i="113" s="1"/>
  <c r="CB203" i="113"/>
  <c r="H203" i="113"/>
  <c r="G203" i="113"/>
  <c r="CI202" i="113"/>
  <c r="CH202" i="113"/>
  <c r="CD202" i="113"/>
  <c r="H202" i="113" s="1"/>
  <c r="CC202" i="113"/>
  <c r="F202" i="113"/>
  <c r="CI201" i="113"/>
  <c r="CH201" i="113"/>
  <c r="CG201" i="113"/>
  <c r="CD201" i="113"/>
  <c r="CC201" i="113"/>
  <c r="CB201" i="113"/>
  <c r="CI200" i="113"/>
  <c r="CH200" i="113"/>
  <c r="CD200" i="113"/>
  <c r="CC200" i="113"/>
  <c r="G200" i="113" s="1"/>
  <c r="F200" i="113"/>
  <c r="CG199" i="113"/>
  <c r="CJ199" i="113" s="1"/>
  <c r="L199" i="113" s="1"/>
  <c r="CB199" i="113"/>
  <c r="H199" i="113"/>
  <c r="G199" i="113"/>
  <c r="CI195" i="113"/>
  <c r="CH195" i="113"/>
  <c r="G195" i="113" s="1"/>
  <c r="CG195" i="113"/>
  <c r="CD195" i="113"/>
  <c r="CC195" i="113"/>
  <c r="CB195" i="113"/>
  <c r="CI194" i="113"/>
  <c r="CH194" i="113"/>
  <c r="CG194" i="113"/>
  <c r="CD194" i="113"/>
  <c r="CC194" i="113"/>
  <c r="CB194" i="113"/>
  <c r="CI193" i="113"/>
  <c r="CH193" i="113"/>
  <c r="CG193" i="113"/>
  <c r="CD193" i="113"/>
  <c r="CC193" i="113"/>
  <c r="CB193" i="113"/>
  <c r="CG192" i="113"/>
  <c r="CJ192" i="113" s="1"/>
  <c r="L192" i="113" s="1"/>
  <c r="CB192" i="113"/>
  <c r="CE192" i="113" s="1"/>
  <c r="H192" i="113"/>
  <c r="G192" i="113"/>
  <c r="CG191" i="113"/>
  <c r="CJ191" i="113" s="1"/>
  <c r="L191" i="113" s="1"/>
  <c r="CB191" i="113"/>
  <c r="H191" i="113"/>
  <c r="G191" i="113"/>
  <c r="CI190" i="113"/>
  <c r="CH190" i="113"/>
  <c r="CG190" i="113"/>
  <c r="CD190" i="113"/>
  <c r="CC190" i="113"/>
  <c r="CB190" i="113"/>
  <c r="CI188" i="113"/>
  <c r="CH188" i="113"/>
  <c r="CG188" i="113"/>
  <c r="CD188" i="113"/>
  <c r="CC188" i="113"/>
  <c r="CB188" i="113"/>
  <c r="CB176" i="113"/>
  <c r="G176" i="113"/>
  <c r="CB172" i="113"/>
  <c r="L172" i="113"/>
  <c r="I172" i="113"/>
  <c r="H172" i="113"/>
  <c r="K172" i="113" s="1"/>
  <c r="G172" i="113"/>
  <c r="CB171" i="113"/>
  <c r="L171" i="113"/>
  <c r="I171" i="113"/>
  <c r="H171" i="113"/>
  <c r="K171" i="113" s="1"/>
  <c r="M171" i="113" s="1"/>
  <c r="G171" i="113"/>
  <c r="CB170" i="113"/>
  <c r="L170" i="113"/>
  <c r="I170" i="113"/>
  <c r="H170" i="113"/>
  <c r="K170" i="113" s="1"/>
  <c r="G170" i="113"/>
  <c r="CB169" i="113"/>
  <c r="L169" i="113"/>
  <c r="I169" i="113"/>
  <c r="H169" i="113"/>
  <c r="K169" i="113" s="1"/>
  <c r="G169" i="113"/>
  <c r="CB168" i="113"/>
  <c r="L168" i="113"/>
  <c r="I168" i="113"/>
  <c r="H168" i="113"/>
  <c r="K168" i="113" s="1"/>
  <c r="G168" i="113"/>
  <c r="CB167" i="113"/>
  <c r="L167" i="113"/>
  <c r="I167" i="113"/>
  <c r="H167" i="113"/>
  <c r="K167" i="113" s="1"/>
  <c r="M167" i="113" s="1"/>
  <c r="G167" i="113"/>
  <c r="CB158" i="113"/>
  <c r="M158" i="113"/>
  <c r="J158" i="113"/>
  <c r="G158" i="113"/>
  <c r="M157" i="113"/>
  <c r="J157" i="113"/>
  <c r="G157" i="113"/>
  <c r="M156" i="113"/>
  <c r="J156" i="113"/>
  <c r="G156" i="113"/>
  <c r="I144" i="113"/>
  <c r="H144" i="113"/>
  <c r="F144" i="113"/>
  <c r="E144" i="113"/>
  <c r="L143" i="113"/>
  <c r="K143" i="113"/>
  <c r="J143" i="113"/>
  <c r="G143" i="113"/>
  <c r="L142" i="113"/>
  <c r="K142" i="113"/>
  <c r="J142" i="113"/>
  <c r="G142" i="113"/>
  <c r="CB141" i="113"/>
  <c r="L141" i="113"/>
  <c r="K141" i="113"/>
  <c r="J141" i="113"/>
  <c r="G141" i="113"/>
  <c r="CB140" i="113"/>
  <c r="L140" i="113"/>
  <c r="CE140" i="113" s="1"/>
  <c r="K140" i="113"/>
  <c r="CD140" i="113" s="1"/>
  <c r="J140" i="113"/>
  <c r="G140" i="113"/>
  <c r="L139" i="113"/>
  <c r="CE139" i="113" s="1"/>
  <c r="K139" i="113"/>
  <c r="CD139" i="113" s="1"/>
  <c r="J139" i="113"/>
  <c r="L138" i="113"/>
  <c r="CE138" i="113" s="1"/>
  <c r="K138" i="113"/>
  <c r="CD138" i="113" s="1"/>
  <c r="G138" i="113"/>
  <c r="CB137" i="113"/>
  <c r="L137" i="113"/>
  <c r="K137" i="113"/>
  <c r="J137" i="113"/>
  <c r="G137" i="113"/>
  <c r="CB136" i="113"/>
  <c r="L136" i="113"/>
  <c r="K136" i="113"/>
  <c r="J136" i="113"/>
  <c r="G136" i="113"/>
  <c r="CB135" i="113"/>
  <c r="L135" i="113"/>
  <c r="K135" i="113"/>
  <c r="J135" i="113"/>
  <c r="G135" i="113"/>
  <c r="L134" i="113"/>
  <c r="K134" i="113"/>
  <c r="J134" i="113"/>
  <c r="G134" i="113"/>
  <c r="L133" i="113"/>
  <c r="K133" i="113"/>
  <c r="J133" i="113"/>
  <c r="G133" i="113"/>
  <c r="L132" i="113"/>
  <c r="K132" i="113"/>
  <c r="J132" i="113"/>
  <c r="G132" i="113"/>
  <c r="L131" i="113"/>
  <c r="K131" i="113"/>
  <c r="J131" i="113"/>
  <c r="G131" i="113"/>
  <c r="L130" i="113"/>
  <c r="K130" i="113"/>
  <c r="J130" i="113"/>
  <c r="G130" i="113"/>
  <c r="L129" i="113"/>
  <c r="K129" i="113"/>
  <c r="J129" i="113"/>
  <c r="G129" i="113"/>
  <c r="CB128" i="113"/>
  <c r="L128" i="113"/>
  <c r="K128" i="113"/>
  <c r="J128" i="113"/>
  <c r="G128" i="113"/>
  <c r="CB127" i="113"/>
  <c r="L127" i="113"/>
  <c r="K127" i="113"/>
  <c r="J127" i="113"/>
  <c r="G127" i="113"/>
  <c r="CB126" i="113"/>
  <c r="L126" i="113"/>
  <c r="K126" i="113"/>
  <c r="J126" i="113"/>
  <c r="G126" i="113"/>
  <c r="L123" i="113"/>
  <c r="K123" i="113"/>
  <c r="J123" i="113"/>
  <c r="G123" i="113"/>
  <c r="L122" i="113"/>
  <c r="K122" i="113"/>
  <c r="J122" i="113"/>
  <c r="G122" i="113"/>
  <c r="L121" i="113"/>
  <c r="K121" i="113"/>
  <c r="J121" i="113"/>
  <c r="G121" i="113"/>
  <c r="L120" i="113"/>
  <c r="K120" i="113"/>
  <c r="J120" i="113"/>
  <c r="G120" i="113"/>
  <c r="CA119" i="113"/>
  <c r="L119" i="113"/>
  <c r="K119" i="113"/>
  <c r="J119" i="113"/>
  <c r="G119" i="113"/>
  <c r="L114" i="113"/>
  <c r="K114" i="113"/>
  <c r="M113" i="113"/>
  <c r="CH113" i="113" s="1"/>
  <c r="M112" i="113"/>
  <c r="M111" i="113"/>
  <c r="CB110" i="113"/>
  <c r="M110" i="113"/>
  <c r="M109" i="113"/>
  <c r="M108" i="113"/>
  <c r="M107" i="113"/>
  <c r="M106" i="113"/>
  <c r="M105" i="113"/>
  <c r="M104" i="113"/>
  <c r="M103" i="113"/>
  <c r="M102" i="113"/>
  <c r="M101" i="113"/>
  <c r="M100" i="113"/>
  <c r="M99" i="113"/>
  <c r="M98" i="113"/>
  <c r="M97" i="113"/>
  <c r="CB96" i="113"/>
  <c r="M96" i="113"/>
  <c r="CA95" i="113"/>
  <c r="M95" i="113"/>
  <c r="CA94" i="113"/>
  <c r="M94" i="113"/>
  <c r="CB93" i="113"/>
  <c r="M93" i="113"/>
  <c r="M90" i="113"/>
  <c r="CH90" i="113" s="1"/>
  <c r="M89" i="113"/>
  <c r="M88" i="113"/>
  <c r="M87" i="113"/>
  <c r="CB86" i="113"/>
  <c r="M86" i="113"/>
  <c r="M85" i="113"/>
  <c r="CA84" i="113"/>
  <c r="M84" i="113"/>
  <c r="I74" i="113"/>
  <c r="H74" i="113"/>
  <c r="F74" i="113"/>
  <c r="E74" i="113"/>
  <c r="L73" i="113"/>
  <c r="K73" i="113"/>
  <c r="J73" i="113"/>
  <c r="G73" i="113"/>
  <c r="L72" i="113"/>
  <c r="K72" i="113"/>
  <c r="J72" i="113"/>
  <c r="G72" i="113"/>
  <c r="CB71" i="113"/>
  <c r="L71" i="113"/>
  <c r="K71" i="113"/>
  <c r="J71" i="113"/>
  <c r="G71" i="113"/>
  <c r="CB70" i="113"/>
  <c r="L70" i="113"/>
  <c r="CE70" i="113" s="1"/>
  <c r="K70" i="113"/>
  <c r="CD70" i="113" s="1"/>
  <c r="J70" i="113"/>
  <c r="G70" i="113"/>
  <c r="L69" i="113"/>
  <c r="CE69" i="113" s="1"/>
  <c r="K69" i="113"/>
  <c r="CD69" i="113" s="1"/>
  <c r="J69" i="113"/>
  <c r="L68" i="113"/>
  <c r="CE68" i="113" s="1"/>
  <c r="K68" i="113"/>
  <c r="CD68" i="113" s="1"/>
  <c r="G68" i="113"/>
  <c r="CB67" i="113"/>
  <c r="L67" i="113"/>
  <c r="K67" i="113"/>
  <c r="J67" i="113"/>
  <c r="G67" i="113"/>
  <c r="CB66" i="113"/>
  <c r="L66" i="113"/>
  <c r="K66" i="113"/>
  <c r="J66" i="113"/>
  <c r="G66" i="113"/>
  <c r="CB65" i="113"/>
  <c r="L65" i="113"/>
  <c r="K65" i="113"/>
  <c r="J65" i="113"/>
  <c r="G65" i="113"/>
  <c r="L64" i="113"/>
  <c r="K64" i="113"/>
  <c r="J64" i="113"/>
  <c r="G64" i="113"/>
  <c r="L63" i="113"/>
  <c r="K63" i="113"/>
  <c r="J63" i="113"/>
  <c r="G63" i="113"/>
  <c r="L62" i="113"/>
  <c r="K62" i="113"/>
  <c r="J62" i="113"/>
  <c r="G62" i="113"/>
  <c r="L61" i="113"/>
  <c r="K61" i="113"/>
  <c r="J61" i="113"/>
  <c r="G61" i="113"/>
  <c r="L60" i="113"/>
  <c r="K60" i="113"/>
  <c r="J60" i="113"/>
  <c r="G60" i="113"/>
  <c r="L59" i="113"/>
  <c r="K59" i="113"/>
  <c r="J59" i="113"/>
  <c r="G59" i="113"/>
  <c r="CB58" i="113"/>
  <c r="L58" i="113"/>
  <c r="K58" i="113"/>
  <c r="J58" i="113"/>
  <c r="G58" i="113"/>
  <c r="CB57" i="113"/>
  <c r="L57" i="113"/>
  <c r="K57" i="113"/>
  <c r="J57" i="113"/>
  <c r="G57" i="113"/>
  <c r="CB56" i="113"/>
  <c r="L56" i="113"/>
  <c r="K56" i="113"/>
  <c r="J56" i="113"/>
  <c r="G56" i="113"/>
  <c r="I54" i="113"/>
  <c r="H54" i="113"/>
  <c r="F54" i="113"/>
  <c r="CF54" i="113" s="1"/>
  <c r="E54" i="113"/>
  <c r="L53" i="113"/>
  <c r="K53" i="113"/>
  <c r="J53" i="113"/>
  <c r="G53" i="113"/>
  <c r="CA52" i="113"/>
  <c r="L52" i="113"/>
  <c r="K52" i="113"/>
  <c r="J52" i="113"/>
  <c r="G52" i="113"/>
  <c r="L51" i="113"/>
  <c r="K51" i="113"/>
  <c r="J51" i="113"/>
  <c r="G51" i="113"/>
  <c r="L50" i="113"/>
  <c r="K50" i="113"/>
  <c r="J50" i="113"/>
  <c r="G50" i="113"/>
  <c r="CB49" i="113"/>
  <c r="L49" i="113"/>
  <c r="K49" i="113"/>
  <c r="J49" i="113"/>
  <c r="G49" i="113"/>
  <c r="CA48" i="113"/>
  <c r="L48" i="113"/>
  <c r="K48" i="113"/>
  <c r="J48" i="113"/>
  <c r="G48" i="113"/>
  <c r="L46" i="113"/>
  <c r="K46" i="113"/>
  <c r="F157" i="113" s="1"/>
  <c r="J46" i="113"/>
  <c r="G46" i="113"/>
  <c r="L43" i="113"/>
  <c r="K43" i="113"/>
  <c r="M42" i="113"/>
  <c r="CH42" i="113" s="1"/>
  <c r="M41" i="113"/>
  <c r="M40" i="113"/>
  <c r="CB39" i="113"/>
  <c r="M39" i="113"/>
  <c r="M38" i="113"/>
  <c r="M37" i="113"/>
  <c r="M36" i="113"/>
  <c r="M35" i="113"/>
  <c r="M34" i="113"/>
  <c r="M33" i="113"/>
  <c r="M32" i="113"/>
  <c r="M31" i="113"/>
  <c r="M30" i="113"/>
  <c r="M29" i="113"/>
  <c r="M28" i="113"/>
  <c r="M27" i="113"/>
  <c r="CB26" i="113"/>
  <c r="M26" i="113"/>
  <c r="CB25" i="113"/>
  <c r="M25" i="113"/>
  <c r="CA24" i="113"/>
  <c r="M24" i="113"/>
  <c r="CA23" i="113"/>
  <c r="M23" i="113"/>
  <c r="CB22" i="113"/>
  <c r="M22" i="113"/>
  <c r="L20" i="113"/>
  <c r="CF20" i="113" s="1"/>
  <c r="K20" i="113"/>
  <c r="M19" i="113"/>
  <c r="CH19" i="113" s="1"/>
  <c r="CB18" i="113"/>
  <c r="M18" i="113"/>
  <c r="M17" i="113"/>
  <c r="M16" i="113"/>
  <c r="CB15" i="113"/>
  <c r="M15" i="113"/>
  <c r="CA14" i="113"/>
  <c r="M14" i="113"/>
  <c r="CA13" i="113"/>
  <c r="M13" i="113"/>
  <c r="M11" i="113"/>
  <c r="N176" i="113" s="1"/>
  <c r="CB5" i="113"/>
  <c r="K156" i="112"/>
  <c r="CI152" i="112"/>
  <c r="CH152" i="112"/>
  <c r="CG152" i="112"/>
  <c r="CD152" i="112"/>
  <c r="CC152" i="112"/>
  <c r="CB152" i="112"/>
  <c r="CI151" i="112"/>
  <c r="H151" i="112" s="1"/>
  <c r="CH151" i="112"/>
  <c r="CG151" i="112"/>
  <c r="CD151" i="112"/>
  <c r="CC151" i="112"/>
  <c r="CB151" i="112"/>
  <c r="CI150" i="112"/>
  <c r="CH150" i="112"/>
  <c r="CG150" i="112"/>
  <c r="CD150" i="112"/>
  <c r="CC150" i="112"/>
  <c r="CB150" i="112"/>
  <c r="CI149" i="112"/>
  <c r="CH149" i="112"/>
  <c r="CG149" i="112"/>
  <c r="CD149" i="112"/>
  <c r="CC149" i="112"/>
  <c r="CB149" i="112"/>
  <c r="CG148" i="112"/>
  <c r="CJ148" i="112" s="1"/>
  <c r="L148" i="112" s="1"/>
  <c r="CB148" i="112"/>
  <c r="H148" i="112"/>
  <c r="G148" i="112"/>
  <c r="CI147" i="112"/>
  <c r="H147" i="112" s="1"/>
  <c r="CH147" i="112"/>
  <c r="CG147" i="112"/>
  <c r="CD147" i="112"/>
  <c r="CC147" i="112"/>
  <c r="CB147" i="112"/>
  <c r="CI146" i="112"/>
  <c r="CH146" i="112"/>
  <c r="CG146" i="112"/>
  <c r="CD146" i="112"/>
  <c r="CC146" i="112"/>
  <c r="CB146" i="112"/>
  <c r="CI145" i="112"/>
  <c r="CH145" i="112"/>
  <c r="CG145" i="112"/>
  <c r="CD145" i="112"/>
  <c r="CC145" i="112"/>
  <c r="CB145" i="112"/>
  <c r="CI144" i="112"/>
  <c r="CH144" i="112"/>
  <c r="CG144" i="112"/>
  <c r="CD144" i="112"/>
  <c r="CC144" i="112"/>
  <c r="CB144" i="112"/>
  <c r="CG143" i="112"/>
  <c r="CJ143" i="112" s="1"/>
  <c r="L143" i="112" s="1"/>
  <c r="CB143" i="112"/>
  <c r="CE143" i="112" s="1"/>
  <c r="H143" i="112"/>
  <c r="G143" i="112"/>
  <c r="CI142" i="112"/>
  <c r="CH142" i="112"/>
  <c r="CG142" i="112"/>
  <c r="CD142" i="112"/>
  <c r="CC142" i="112"/>
  <c r="CB142" i="112"/>
  <c r="F142" i="112" s="1"/>
  <c r="CI141" i="112"/>
  <c r="CH141" i="112"/>
  <c r="CG141" i="112"/>
  <c r="CD141" i="112"/>
  <c r="CC141" i="112"/>
  <c r="CB141" i="112"/>
  <c r="CG137" i="112"/>
  <c r="CJ137" i="112" s="1"/>
  <c r="L137" i="112" s="1"/>
  <c r="CB137" i="112"/>
  <c r="CE137" i="112" s="1"/>
  <c r="H137" i="112"/>
  <c r="G137" i="112"/>
  <c r="CI136" i="112"/>
  <c r="CH136" i="112"/>
  <c r="CG136" i="112"/>
  <c r="CD136" i="112"/>
  <c r="CC136" i="112"/>
  <c r="CB136" i="112"/>
  <c r="CG135" i="112"/>
  <c r="CJ135" i="112" s="1"/>
  <c r="L135" i="112" s="1"/>
  <c r="CB135" i="112"/>
  <c r="CE135" i="112" s="1"/>
  <c r="H135" i="112"/>
  <c r="G135" i="112"/>
  <c r="CI134" i="112"/>
  <c r="CH134" i="112"/>
  <c r="CJ134" i="112" s="1"/>
  <c r="L134" i="112" s="1"/>
  <c r="CD134" i="112"/>
  <c r="CC134" i="112"/>
  <c r="F134" i="112"/>
  <c r="CI133" i="112"/>
  <c r="H133" i="112" s="1"/>
  <c r="CH133" i="112"/>
  <c r="CG133" i="112"/>
  <c r="CD133" i="112"/>
  <c r="CC133" i="112"/>
  <c r="G133" i="112" s="1"/>
  <c r="CB133" i="112"/>
  <c r="CI132" i="112"/>
  <c r="CH132" i="112"/>
  <c r="G132" i="112" s="1"/>
  <c r="CD132" i="112"/>
  <c r="H132" i="112" s="1"/>
  <c r="CC132" i="112"/>
  <c r="F132" i="112"/>
  <c r="CG131" i="112"/>
  <c r="CJ131" i="112" s="1"/>
  <c r="L131" i="112" s="1"/>
  <c r="CB131" i="112"/>
  <c r="H131" i="112"/>
  <c r="G131" i="112"/>
  <c r="CI127" i="112"/>
  <c r="CH127" i="112"/>
  <c r="CG127" i="112"/>
  <c r="CD127" i="112"/>
  <c r="CC127" i="112"/>
  <c r="CB127" i="112"/>
  <c r="CI126" i="112"/>
  <c r="H126" i="112" s="1"/>
  <c r="CH126" i="112"/>
  <c r="CG126" i="112"/>
  <c r="CD126" i="112"/>
  <c r="CC126" i="112"/>
  <c r="CB126" i="112"/>
  <c r="CI125" i="112"/>
  <c r="CH125" i="112"/>
  <c r="CG125" i="112"/>
  <c r="CD125" i="112"/>
  <c r="CC125" i="112"/>
  <c r="G125" i="112" s="1"/>
  <c r="CB125" i="112"/>
  <c r="CG124" i="112"/>
  <c r="CJ124" i="112" s="1"/>
  <c r="L124" i="112" s="1"/>
  <c r="CB124" i="112"/>
  <c r="CE124" i="112" s="1"/>
  <c r="H124" i="112"/>
  <c r="G124" i="112"/>
  <c r="CG123" i="112"/>
  <c r="CJ123" i="112" s="1"/>
  <c r="L123" i="112" s="1"/>
  <c r="CB123" i="112"/>
  <c r="CE123" i="112" s="1"/>
  <c r="H123" i="112"/>
  <c r="G123" i="112"/>
  <c r="CI122" i="112"/>
  <c r="CH122" i="112"/>
  <c r="CG122" i="112"/>
  <c r="CD122" i="112"/>
  <c r="H122" i="112" s="1"/>
  <c r="CC122" i="112"/>
  <c r="CB122" i="112"/>
  <c r="CI120" i="112"/>
  <c r="CH120" i="112"/>
  <c r="CG120" i="112"/>
  <c r="CD120" i="112"/>
  <c r="CC120" i="112"/>
  <c r="G120" i="112" s="1"/>
  <c r="CB120" i="112"/>
  <c r="L113" i="112"/>
  <c r="K113" i="112"/>
  <c r="J113" i="112"/>
  <c r="G113" i="112"/>
  <c r="M112" i="112"/>
  <c r="CA108" i="112"/>
  <c r="G108" i="112"/>
  <c r="CB104" i="112"/>
  <c r="I104" i="112"/>
  <c r="H104" i="112"/>
  <c r="G104" i="112"/>
  <c r="CB103" i="112"/>
  <c r="I103" i="112"/>
  <c r="H103" i="112"/>
  <c r="G103" i="112"/>
  <c r="CB102" i="112"/>
  <c r="I102" i="112"/>
  <c r="H102" i="112"/>
  <c r="G102" i="112"/>
  <c r="CB101" i="112"/>
  <c r="I101" i="112"/>
  <c r="H101" i="112"/>
  <c r="G101" i="112"/>
  <c r="CA100" i="112"/>
  <c r="I100" i="112"/>
  <c r="H100" i="112"/>
  <c r="G100" i="112"/>
  <c r="CA99" i="112"/>
  <c r="I99" i="112"/>
  <c r="H99" i="112"/>
  <c r="G99" i="112"/>
  <c r="CB90" i="112"/>
  <c r="J90" i="112"/>
  <c r="G90" i="112"/>
  <c r="J89" i="112"/>
  <c r="G89" i="112"/>
  <c r="J88" i="112"/>
  <c r="G88" i="112"/>
  <c r="I74" i="112"/>
  <c r="H74" i="112"/>
  <c r="F74" i="112"/>
  <c r="E74" i="112"/>
  <c r="L73" i="112"/>
  <c r="K73" i="112"/>
  <c r="J73" i="112"/>
  <c r="G73" i="112"/>
  <c r="L72" i="112"/>
  <c r="K72" i="112"/>
  <c r="J72" i="112"/>
  <c r="G72" i="112"/>
  <c r="CB71" i="112"/>
  <c r="L71" i="112"/>
  <c r="K71" i="112"/>
  <c r="J71" i="112"/>
  <c r="G71" i="112"/>
  <c r="CB70" i="112"/>
  <c r="L70" i="112"/>
  <c r="CE70" i="112" s="1"/>
  <c r="K70" i="112"/>
  <c r="CD70" i="112" s="1"/>
  <c r="J70" i="112"/>
  <c r="G70" i="112"/>
  <c r="L69" i="112"/>
  <c r="CE69" i="112" s="1"/>
  <c r="K69" i="112"/>
  <c r="CD69" i="112" s="1"/>
  <c r="J69" i="112"/>
  <c r="L68" i="112"/>
  <c r="CE68" i="112" s="1"/>
  <c r="K68" i="112"/>
  <c r="CD68" i="112" s="1"/>
  <c r="G68" i="112"/>
  <c r="CB67" i="112"/>
  <c r="L67" i="112"/>
  <c r="K67" i="112"/>
  <c r="J67" i="112"/>
  <c r="G67" i="112"/>
  <c r="CB66" i="112"/>
  <c r="L66" i="112"/>
  <c r="K66" i="112"/>
  <c r="J66" i="112"/>
  <c r="G66" i="112"/>
  <c r="CB65" i="112"/>
  <c r="L65" i="112"/>
  <c r="K65" i="112"/>
  <c r="J65" i="112"/>
  <c r="G65" i="112"/>
  <c r="L64" i="112"/>
  <c r="K64" i="112"/>
  <c r="J64" i="112"/>
  <c r="G64" i="112"/>
  <c r="L63" i="112"/>
  <c r="K63" i="112"/>
  <c r="J63" i="112"/>
  <c r="G63" i="112"/>
  <c r="L62" i="112"/>
  <c r="K62" i="112"/>
  <c r="J62" i="112"/>
  <c r="G62" i="112"/>
  <c r="L61" i="112"/>
  <c r="K61" i="112"/>
  <c r="J61" i="112"/>
  <c r="G61" i="112"/>
  <c r="L60" i="112"/>
  <c r="K60" i="112"/>
  <c r="J60" i="112"/>
  <c r="G60" i="112"/>
  <c r="L59" i="112"/>
  <c r="K59" i="112"/>
  <c r="J59" i="112"/>
  <c r="G59" i="112"/>
  <c r="CB58" i="112"/>
  <c r="L58" i="112"/>
  <c r="K58" i="112"/>
  <c r="J58" i="112"/>
  <c r="G58" i="112"/>
  <c r="CB57" i="112"/>
  <c r="L57" i="112"/>
  <c r="K57" i="112"/>
  <c r="J57" i="112"/>
  <c r="G57" i="112"/>
  <c r="CB56" i="112"/>
  <c r="L56" i="112"/>
  <c r="K56" i="112"/>
  <c r="J56" i="112"/>
  <c r="G56" i="112"/>
  <c r="I54" i="112"/>
  <c r="H54" i="112"/>
  <c r="F54" i="112"/>
  <c r="E54" i="112"/>
  <c r="L53" i="112"/>
  <c r="K53" i="112"/>
  <c r="J53" i="112"/>
  <c r="G53" i="112"/>
  <c r="CA52" i="112"/>
  <c r="L52" i="112"/>
  <c r="K52" i="112"/>
  <c r="J52" i="112"/>
  <c r="G52" i="112"/>
  <c r="L51" i="112"/>
  <c r="K51" i="112"/>
  <c r="J51" i="112"/>
  <c r="G51" i="112"/>
  <c r="L50" i="112"/>
  <c r="K50" i="112"/>
  <c r="J50" i="112"/>
  <c r="G50" i="112"/>
  <c r="CB49" i="112"/>
  <c r="L49" i="112"/>
  <c r="K49" i="112"/>
  <c r="J49" i="112"/>
  <c r="G49" i="112"/>
  <c r="CA48" i="112"/>
  <c r="L48" i="112"/>
  <c r="K48" i="112"/>
  <c r="J48" i="112"/>
  <c r="G48" i="112"/>
  <c r="L46" i="112"/>
  <c r="K46" i="112"/>
  <c r="F89" i="112" s="1"/>
  <c r="J46" i="112"/>
  <c r="G46" i="112"/>
  <c r="L43" i="112"/>
  <c r="K43" i="112"/>
  <c r="M42" i="112"/>
  <c r="CH42" i="112" s="1"/>
  <c r="M41" i="112"/>
  <c r="M40" i="112"/>
  <c r="CB39" i="112"/>
  <c r="M39" i="112"/>
  <c r="M38" i="112"/>
  <c r="M37" i="112"/>
  <c r="M36" i="112"/>
  <c r="M35" i="112"/>
  <c r="M34" i="112"/>
  <c r="M33" i="112"/>
  <c r="M32" i="112"/>
  <c r="M31" i="112"/>
  <c r="M30" i="112"/>
  <c r="M29" i="112"/>
  <c r="M28" i="112"/>
  <c r="M27" i="112"/>
  <c r="CB26" i="112"/>
  <c r="M26" i="112"/>
  <c r="CB25" i="112"/>
  <c r="M25" i="112"/>
  <c r="CA24" i="112"/>
  <c r="M24" i="112"/>
  <c r="CA23" i="112"/>
  <c r="M23" i="112"/>
  <c r="CB22" i="112"/>
  <c r="M22" i="112"/>
  <c r="L20" i="112"/>
  <c r="CF20" i="112" s="1"/>
  <c r="K20" i="112"/>
  <c r="M19" i="112"/>
  <c r="CH19" i="112" s="1"/>
  <c r="CB18" i="112"/>
  <c r="M18" i="112"/>
  <c r="M17" i="112"/>
  <c r="M16" i="112"/>
  <c r="CB15" i="112"/>
  <c r="M15" i="112"/>
  <c r="CA14" i="112"/>
  <c r="M14" i="112"/>
  <c r="CA13" i="112"/>
  <c r="M13" i="112"/>
  <c r="CB11" i="112"/>
  <c r="M11" i="112"/>
  <c r="CB5" i="112"/>
  <c r="H101" i="111"/>
  <c r="F100" i="111"/>
  <c r="G100" i="111" s="1"/>
  <c r="F99" i="111"/>
  <c r="G99" i="111" s="1"/>
  <c r="F98" i="111"/>
  <c r="G98" i="111" s="1"/>
  <c r="F97" i="111"/>
  <c r="G97" i="111" s="1"/>
  <c r="E96" i="111"/>
  <c r="F96" i="111" s="1"/>
  <c r="E95" i="111"/>
  <c r="F95" i="111" s="1"/>
  <c r="F94" i="111"/>
  <c r="G94" i="111" s="1"/>
  <c r="E93" i="111"/>
  <c r="F93" i="111" s="1"/>
  <c r="G93" i="111" s="1"/>
  <c r="H92" i="111"/>
  <c r="F92" i="111"/>
  <c r="H91" i="111"/>
  <c r="F91" i="111"/>
  <c r="E90" i="111"/>
  <c r="H90" i="111" s="1"/>
  <c r="E89" i="111"/>
  <c r="H89" i="111" s="1"/>
  <c r="E88" i="111"/>
  <c r="H88" i="111" s="1"/>
  <c r="E87" i="111"/>
  <c r="H87" i="111" s="1"/>
  <c r="E86" i="111"/>
  <c r="H86" i="111" s="1"/>
  <c r="E85" i="111"/>
  <c r="I68" i="111"/>
  <c r="H68" i="111"/>
  <c r="G68" i="111"/>
  <c r="F68" i="111"/>
  <c r="E68" i="111"/>
  <c r="I67" i="111"/>
  <c r="H67" i="111"/>
  <c r="G67" i="111"/>
  <c r="F67" i="111"/>
  <c r="E67" i="111"/>
  <c r="I66" i="111"/>
  <c r="H66" i="111"/>
  <c r="G66" i="111"/>
  <c r="F66" i="111"/>
  <c r="E66" i="111"/>
  <c r="I65" i="111"/>
  <c r="H65" i="111"/>
  <c r="G65" i="111"/>
  <c r="F65" i="111"/>
  <c r="E65" i="111"/>
  <c r="I64" i="111"/>
  <c r="H64" i="111"/>
  <c r="G64" i="111"/>
  <c r="F64" i="111"/>
  <c r="E64" i="111"/>
  <c r="I63" i="111"/>
  <c r="H63" i="111"/>
  <c r="G63" i="111"/>
  <c r="F63" i="111"/>
  <c r="E63" i="111"/>
  <c r="I62" i="111"/>
  <c r="H62" i="111"/>
  <c r="G62" i="111"/>
  <c r="F62" i="111"/>
  <c r="E62" i="111"/>
  <c r="CA54" i="111"/>
  <c r="J54" i="111"/>
  <c r="CA53" i="111"/>
  <c r="J53" i="111"/>
  <c r="CD52" i="111"/>
  <c r="CC52" i="111"/>
  <c r="CA52" i="111"/>
  <c r="J52" i="111"/>
  <c r="CA51" i="111"/>
  <c r="J51" i="111"/>
  <c r="CD50" i="111"/>
  <c r="CC50" i="111"/>
  <c r="CA50" i="111"/>
  <c r="J50" i="111"/>
  <c r="CA49" i="111"/>
  <c r="J49" i="111"/>
  <c r="CB47" i="111"/>
  <c r="J47" i="111"/>
  <c r="CB46" i="111"/>
  <c r="J46" i="111"/>
  <c r="I37" i="111"/>
  <c r="I45" i="111" s="1"/>
  <c r="I55" i="111" s="1"/>
  <c r="H37" i="111"/>
  <c r="H45" i="111" s="1"/>
  <c r="H55" i="111" s="1"/>
  <c r="G37" i="111"/>
  <c r="G45" i="111" s="1"/>
  <c r="G55" i="111" s="1"/>
  <c r="F37" i="111"/>
  <c r="F45" i="111" s="1"/>
  <c r="F55" i="111" s="1"/>
  <c r="E37" i="111"/>
  <c r="E45" i="111" s="1"/>
  <c r="CB36" i="111"/>
  <c r="J36" i="111"/>
  <c r="CB35" i="111"/>
  <c r="J35" i="111"/>
  <c r="CB34" i="111"/>
  <c r="J34" i="111"/>
  <c r="CA33" i="111"/>
  <c r="J33" i="111"/>
  <c r="CB32" i="111"/>
  <c r="J32" i="111"/>
  <c r="CB31" i="111"/>
  <c r="J31" i="111"/>
  <c r="J30" i="111"/>
  <c r="CE29" i="111"/>
  <c r="J29" i="111"/>
  <c r="J28" i="111"/>
  <c r="I26" i="111"/>
  <c r="H26" i="111"/>
  <c r="G26" i="111"/>
  <c r="F26" i="111"/>
  <c r="E26" i="111"/>
  <c r="J25" i="111"/>
  <c r="J24" i="111"/>
  <c r="J66" i="111" s="1"/>
  <c r="J23" i="111"/>
  <c r="CB22" i="111"/>
  <c r="J22" i="111"/>
  <c r="CB21" i="111"/>
  <c r="J21" i="111"/>
  <c r="CB20" i="111"/>
  <c r="J20" i="111"/>
  <c r="J63" i="111" s="1"/>
  <c r="CA19" i="111"/>
  <c r="J19" i="111"/>
  <c r="CD18" i="111"/>
  <c r="CC18" i="111"/>
  <c r="CB18" i="111"/>
  <c r="J18" i="111"/>
  <c r="CB17" i="111"/>
  <c r="J17" i="111"/>
  <c r="I14" i="111"/>
  <c r="H14" i="111"/>
  <c r="G14" i="111"/>
  <c r="F14" i="111"/>
  <c r="E14" i="111"/>
  <c r="J13" i="111"/>
  <c r="J12" i="111"/>
  <c r="CB5" i="111"/>
  <c r="E106" i="110"/>
  <c r="E108" i="110" s="1"/>
  <c r="G105" i="110"/>
  <c r="G104" i="110"/>
  <c r="G103" i="110"/>
  <c r="G102" i="110"/>
  <c r="F101" i="110"/>
  <c r="G101" i="110" s="1"/>
  <c r="F100" i="110"/>
  <c r="G100" i="110" s="1"/>
  <c r="F99" i="110"/>
  <c r="G99" i="110" s="1"/>
  <c r="F98" i="110"/>
  <c r="G97" i="110"/>
  <c r="G96" i="110"/>
  <c r="G95" i="110"/>
  <c r="G94" i="110"/>
  <c r="G93" i="110"/>
  <c r="CB92" i="110"/>
  <c r="G92" i="110"/>
  <c r="CA91" i="110"/>
  <c r="G91" i="110"/>
  <c r="G90" i="110"/>
  <c r="G89" i="110"/>
  <c r="H78" i="110"/>
  <c r="H79" i="110" s="1"/>
  <c r="G78" i="110"/>
  <c r="G79" i="110" s="1"/>
  <c r="F78" i="110"/>
  <c r="F79" i="110" s="1"/>
  <c r="E78" i="110"/>
  <c r="E79" i="110" s="1"/>
  <c r="CC77" i="110"/>
  <c r="CC76" i="110"/>
  <c r="CC75" i="110"/>
  <c r="CE73" i="110"/>
  <c r="CA73" i="110"/>
  <c r="CE71" i="110"/>
  <c r="CE70" i="110"/>
  <c r="CE68" i="110"/>
  <c r="CE67" i="110"/>
  <c r="CA67" i="110"/>
  <c r="CE66" i="110"/>
  <c r="CB66" i="110"/>
  <c r="CE65" i="110"/>
  <c r="CA65" i="110"/>
  <c r="CE64" i="110"/>
  <c r="CB64" i="110"/>
  <c r="CE63" i="110"/>
  <c r="CE62" i="110"/>
  <c r="CE61" i="110"/>
  <c r="CA61" i="110"/>
  <c r="CE60" i="110"/>
  <c r="CB60" i="110"/>
  <c r="CA57" i="110"/>
  <c r="CB56" i="110"/>
  <c r="H43" i="110"/>
  <c r="H45" i="110" s="1"/>
  <c r="H82" i="110" s="1"/>
  <c r="G43" i="110"/>
  <c r="G45" i="110" s="1"/>
  <c r="G82" i="110" s="1"/>
  <c r="F43" i="110"/>
  <c r="F45" i="110" s="1"/>
  <c r="F82" i="110" s="1"/>
  <c r="E43" i="110"/>
  <c r="E45" i="110" s="1"/>
  <c r="E82" i="110" s="1"/>
  <c r="CF21" i="110"/>
  <c r="CB7" i="110"/>
  <c r="CM214" i="109"/>
  <c r="CM213" i="109"/>
  <c r="CM212" i="109"/>
  <c r="CM211" i="109"/>
  <c r="CM208" i="109"/>
  <c r="CM207" i="109"/>
  <c r="CM206" i="109"/>
  <c r="CM205" i="109"/>
  <c r="CM204" i="109"/>
  <c r="CM203" i="109"/>
  <c r="CM202" i="109"/>
  <c r="CM201" i="109"/>
  <c r="CM200" i="109"/>
  <c r="CM199" i="109"/>
  <c r="CU198" i="109"/>
  <c r="CM198" i="109"/>
  <c r="CM197" i="109"/>
  <c r="CM196" i="109"/>
  <c r="CM195" i="109"/>
  <c r="CM194" i="109"/>
  <c r="CM193" i="109"/>
  <c r="CM192" i="109"/>
  <c r="CM191" i="109"/>
  <c r="CM190" i="109"/>
  <c r="CM189" i="109"/>
  <c r="CM187" i="109"/>
  <c r="CU186" i="109"/>
  <c r="CM186" i="109"/>
  <c r="CM185" i="109"/>
  <c r="CM184" i="109"/>
  <c r="CU183" i="109"/>
  <c r="CM183" i="109"/>
  <c r="CM182" i="109"/>
  <c r="CM181" i="109"/>
  <c r="CM180" i="109"/>
  <c r="B180" i="109"/>
  <c r="CM179" i="109"/>
  <c r="B179" i="109"/>
  <c r="CM178" i="109"/>
  <c r="B178" i="109"/>
  <c r="CM177" i="109"/>
  <c r="B177" i="109"/>
  <c r="CM176" i="109"/>
  <c r="B176" i="109"/>
  <c r="CM175" i="109"/>
  <c r="B175" i="109"/>
  <c r="CM174" i="109"/>
  <c r="B174" i="109"/>
  <c r="CM173" i="109"/>
  <c r="B173" i="109"/>
  <c r="CM172" i="109"/>
  <c r="B172" i="109"/>
  <c r="CU171" i="109"/>
  <c r="CM171" i="109"/>
  <c r="B171" i="109"/>
  <c r="CM170" i="109"/>
  <c r="B170" i="109"/>
  <c r="CM169" i="109"/>
  <c r="B169" i="109"/>
  <c r="CU168" i="109"/>
  <c r="CM168" i="109"/>
  <c r="B168" i="109"/>
  <c r="CM167" i="109"/>
  <c r="B167" i="109"/>
  <c r="CM166" i="109"/>
  <c r="B166" i="109"/>
  <c r="CM165" i="109"/>
  <c r="B165" i="109"/>
  <c r="CM164" i="109"/>
  <c r="B164" i="109"/>
  <c r="CM163" i="109"/>
  <c r="B163" i="109"/>
  <c r="CM162" i="109"/>
  <c r="B162" i="109"/>
  <c r="CM161" i="109"/>
  <c r="B161" i="109"/>
  <c r="CM160" i="109"/>
  <c r="B160" i="109"/>
  <c r="CM159" i="109"/>
  <c r="B159" i="109"/>
  <c r="CM158" i="109"/>
  <c r="B158" i="109"/>
  <c r="CM157" i="109"/>
  <c r="B157" i="109"/>
  <c r="CU156" i="109"/>
  <c r="CM156" i="109"/>
  <c r="B156" i="109"/>
  <c r="B155" i="109"/>
  <c r="B154" i="109"/>
  <c r="B153" i="109"/>
  <c r="B152" i="109"/>
  <c r="B151" i="109"/>
  <c r="D148" i="109"/>
  <c r="D147" i="109"/>
  <c r="CD146" i="109"/>
  <c r="Y138" i="109"/>
  <c r="X138" i="109"/>
  <c r="W138" i="109"/>
  <c r="V138" i="109"/>
  <c r="U138" i="109"/>
  <c r="T138" i="109"/>
  <c r="S138" i="109"/>
  <c r="R138" i="109"/>
  <c r="Q138" i="109"/>
  <c r="P138" i="109"/>
  <c r="O138" i="109"/>
  <c r="N138" i="109"/>
  <c r="M138" i="109"/>
  <c r="L138" i="109"/>
  <c r="K138" i="109"/>
  <c r="J138" i="109"/>
  <c r="Y137" i="109"/>
  <c r="X137" i="109"/>
  <c r="W137" i="109"/>
  <c r="V137" i="109"/>
  <c r="U137" i="109"/>
  <c r="T137" i="109"/>
  <c r="S137" i="109"/>
  <c r="R137" i="109"/>
  <c r="Q137" i="109"/>
  <c r="P137" i="109"/>
  <c r="O137" i="109"/>
  <c r="N137" i="109"/>
  <c r="M137" i="109"/>
  <c r="L137" i="109"/>
  <c r="K137" i="109"/>
  <c r="J137" i="109"/>
  <c r="Y136" i="109"/>
  <c r="X136" i="109"/>
  <c r="W136" i="109"/>
  <c r="V136" i="109"/>
  <c r="U136" i="109"/>
  <c r="T136" i="109"/>
  <c r="S136" i="109"/>
  <c r="R136" i="109"/>
  <c r="Q136" i="109"/>
  <c r="P136" i="109"/>
  <c r="O136" i="109"/>
  <c r="N136" i="109"/>
  <c r="M136" i="109"/>
  <c r="L136" i="109"/>
  <c r="K136" i="109"/>
  <c r="J136" i="109"/>
  <c r="Y135" i="109"/>
  <c r="X135" i="109"/>
  <c r="W135" i="109"/>
  <c r="V135" i="109"/>
  <c r="U135" i="109"/>
  <c r="T135" i="109"/>
  <c r="S135" i="109"/>
  <c r="R135" i="109"/>
  <c r="Q135" i="109"/>
  <c r="P135" i="109"/>
  <c r="O135" i="109"/>
  <c r="N135" i="109"/>
  <c r="M135" i="109"/>
  <c r="L135" i="109"/>
  <c r="K135" i="109"/>
  <c r="J135" i="109"/>
  <c r="Y134" i="109"/>
  <c r="X134" i="109"/>
  <c r="W134" i="109"/>
  <c r="V134" i="109"/>
  <c r="U134" i="109"/>
  <c r="T134" i="109"/>
  <c r="S134" i="109"/>
  <c r="R134" i="109"/>
  <c r="Q134" i="109"/>
  <c r="P134" i="109"/>
  <c r="O134" i="109"/>
  <c r="N134" i="109"/>
  <c r="M134" i="109"/>
  <c r="L134" i="109"/>
  <c r="K134" i="109"/>
  <c r="J134" i="109"/>
  <c r="Y133" i="109"/>
  <c r="X133" i="109"/>
  <c r="W133" i="109"/>
  <c r="V133" i="109"/>
  <c r="U133" i="109"/>
  <c r="T133" i="109"/>
  <c r="S133" i="109"/>
  <c r="R133" i="109"/>
  <c r="Q133" i="109"/>
  <c r="P133" i="109"/>
  <c r="O133" i="109"/>
  <c r="N133" i="109"/>
  <c r="M133" i="109"/>
  <c r="L133" i="109"/>
  <c r="K133" i="109"/>
  <c r="J133" i="109"/>
  <c r="Y132" i="109"/>
  <c r="X132" i="109"/>
  <c r="W132" i="109"/>
  <c r="V132" i="109"/>
  <c r="U132" i="109"/>
  <c r="T132" i="109"/>
  <c r="S132" i="109"/>
  <c r="R132" i="109"/>
  <c r="Q132" i="109"/>
  <c r="P132" i="109"/>
  <c r="O132" i="109"/>
  <c r="N132" i="109"/>
  <c r="M132" i="109"/>
  <c r="L132" i="109"/>
  <c r="K132" i="109"/>
  <c r="J132" i="109"/>
  <c r="Y131" i="109"/>
  <c r="X131" i="109"/>
  <c r="W131" i="109"/>
  <c r="V131" i="109"/>
  <c r="U131" i="109"/>
  <c r="T131" i="109"/>
  <c r="S131" i="109"/>
  <c r="R131" i="109"/>
  <c r="Q131" i="109"/>
  <c r="P131" i="109"/>
  <c r="O131" i="109"/>
  <c r="N131" i="109"/>
  <c r="M131" i="109"/>
  <c r="L131" i="109"/>
  <c r="K131" i="109"/>
  <c r="J131" i="109"/>
  <c r="Y130" i="109"/>
  <c r="X130" i="109"/>
  <c r="W130" i="109"/>
  <c r="V130" i="109"/>
  <c r="U130" i="109"/>
  <c r="T130" i="109"/>
  <c r="S130" i="109"/>
  <c r="R130" i="109"/>
  <c r="Q130" i="109"/>
  <c r="P130" i="109"/>
  <c r="O130" i="109"/>
  <c r="N130" i="109"/>
  <c r="M130" i="109"/>
  <c r="L130" i="109"/>
  <c r="K130" i="109"/>
  <c r="J130" i="109"/>
  <c r="Y129" i="109"/>
  <c r="X129" i="109"/>
  <c r="W129" i="109"/>
  <c r="V129" i="109"/>
  <c r="U129" i="109"/>
  <c r="T129" i="109"/>
  <c r="S129" i="109"/>
  <c r="R129" i="109"/>
  <c r="Q129" i="109"/>
  <c r="P129" i="109"/>
  <c r="O129" i="109"/>
  <c r="N129" i="109"/>
  <c r="M129" i="109"/>
  <c r="L129" i="109"/>
  <c r="K129" i="109"/>
  <c r="J129" i="109"/>
  <c r="Y128" i="109"/>
  <c r="X128" i="109"/>
  <c r="W128" i="109"/>
  <c r="V128" i="109"/>
  <c r="U128" i="109"/>
  <c r="T128" i="109"/>
  <c r="S128" i="109"/>
  <c r="R128" i="109"/>
  <c r="Q128" i="109"/>
  <c r="P128" i="109"/>
  <c r="O128" i="109"/>
  <c r="N128" i="109"/>
  <c r="M128" i="109"/>
  <c r="L128" i="109"/>
  <c r="K128" i="109"/>
  <c r="J128" i="109"/>
  <c r="Y127" i="109"/>
  <c r="X127" i="109"/>
  <c r="W127" i="109"/>
  <c r="V127" i="109"/>
  <c r="U127" i="109"/>
  <c r="T127" i="109"/>
  <c r="S127" i="109"/>
  <c r="R127" i="109"/>
  <c r="Q127" i="109"/>
  <c r="P127" i="109"/>
  <c r="O127" i="109"/>
  <c r="N127" i="109"/>
  <c r="M127" i="109"/>
  <c r="L127" i="109"/>
  <c r="K127" i="109"/>
  <c r="J127" i="109"/>
  <c r="Y126" i="109"/>
  <c r="X126" i="109"/>
  <c r="W126" i="109"/>
  <c r="V126" i="109"/>
  <c r="U126" i="109"/>
  <c r="T126" i="109"/>
  <c r="S126" i="109"/>
  <c r="R126" i="109"/>
  <c r="Q126" i="109"/>
  <c r="P126" i="109"/>
  <c r="O126" i="109"/>
  <c r="N126" i="109"/>
  <c r="M126" i="109"/>
  <c r="L126" i="109"/>
  <c r="K126" i="109"/>
  <c r="J126" i="109"/>
  <c r="Y121" i="109"/>
  <c r="X121" i="109"/>
  <c r="W121" i="109"/>
  <c r="V121" i="109"/>
  <c r="U121" i="109"/>
  <c r="T121" i="109"/>
  <c r="S121" i="109"/>
  <c r="R121" i="109"/>
  <c r="Q121" i="109"/>
  <c r="P121" i="109"/>
  <c r="O121" i="109"/>
  <c r="N121" i="109"/>
  <c r="M121" i="109"/>
  <c r="L121" i="109"/>
  <c r="K121" i="109"/>
  <c r="J121" i="109"/>
  <c r="Y120" i="109"/>
  <c r="X120" i="109"/>
  <c r="W120" i="109"/>
  <c r="V120" i="109"/>
  <c r="U120" i="109"/>
  <c r="T120" i="109"/>
  <c r="S120" i="109"/>
  <c r="R120" i="109"/>
  <c r="Q120" i="109"/>
  <c r="P120" i="109"/>
  <c r="O120" i="109"/>
  <c r="N120" i="109"/>
  <c r="M120" i="109"/>
  <c r="I120" i="109" s="1"/>
  <c r="L120" i="109"/>
  <c r="K120" i="109"/>
  <c r="J120" i="109"/>
  <c r="Y119" i="109"/>
  <c r="X119" i="109"/>
  <c r="W119" i="109"/>
  <c r="V119" i="109"/>
  <c r="U119" i="109"/>
  <c r="T119" i="109"/>
  <c r="S119" i="109"/>
  <c r="R119" i="109"/>
  <c r="Q119" i="109"/>
  <c r="P119" i="109"/>
  <c r="O119" i="109"/>
  <c r="N119" i="109"/>
  <c r="M119" i="109"/>
  <c r="L119" i="109"/>
  <c r="K119" i="109"/>
  <c r="J119" i="109"/>
  <c r="I119" i="109" s="1"/>
  <c r="Y118" i="109"/>
  <c r="X118" i="109"/>
  <c r="W118" i="109"/>
  <c r="V118" i="109"/>
  <c r="U118" i="109"/>
  <c r="T118" i="109"/>
  <c r="S118" i="109"/>
  <c r="R118" i="109"/>
  <c r="Q118" i="109"/>
  <c r="P118" i="109"/>
  <c r="O118" i="109"/>
  <c r="N118" i="109"/>
  <c r="M118" i="109"/>
  <c r="L118" i="109"/>
  <c r="K118" i="109"/>
  <c r="J118" i="109"/>
  <c r="I118" i="109" s="1"/>
  <c r="Y117" i="109"/>
  <c r="X117" i="109"/>
  <c r="W117" i="109"/>
  <c r="V117" i="109"/>
  <c r="U117" i="109"/>
  <c r="T117" i="109"/>
  <c r="S117" i="109"/>
  <c r="R117" i="109"/>
  <c r="Q117" i="109"/>
  <c r="P117" i="109"/>
  <c r="O117" i="109"/>
  <c r="N117" i="109"/>
  <c r="M117" i="109"/>
  <c r="L117" i="109"/>
  <c r="K117" i="109"/>
  <c r="J117" i="109"/>
  <c r="Y116" i="109"/>
  <c r="X116" i="109"/>
  <c r="W116" i="109"/>
  <c r="W122" i="109" s="1"/>
  <c r="V116" i="109"/>
  <c r="U116" i="109"/>
  <c r="T116" i="109"/>
  <c r="S116" i="109"/>
  <c r="S122" i="109" s="1"/>
  <c r="R116" i="109"/>
  <c r="Q116" i="109"/>
  <c r="P116" i="109"/>
  <c r="O116" i="109"/>
  <c r="O122" i="109" s="1"/>
  <c r="N116" i="109"/>
  <c r="M116" i="109"/>
  <c r="L116" i="109"/>
  <c r="K116" i="109"/>
  <c r="K122" i="109" s="1"/>
  <c r="J116" i="109"/>
  <c r="Y114" i="109"/>
  <c r="X114" i="109"/>
  <c r="W114" i="109"/>
  <c r="V114" i="109"/>
  <c r="U114" i="109"/>
  <c r="T114" i="109"/>
  <c r="S114" i="109"/>
  <c r="R114" i="109"/>
  <c r="Q114" i="109"/>
  <c r="P114" i="109"/>
  <c r="O114" i="109"/>
  <c r="N114" i="109"/>
  <c r="M114" i="109"/>
  <c r="L114" i="109"/>
  <c r="K114" i="109"/>
  <c r="J114" i="109"/>
  <c r="Y112" i="109"/>
  <c r="X112" i="109"/>
  <c r="W112" i="109"/>
  <c r="V112" i="109"/>
  <c r="U112" i="109"/>
  <c r="T112" i="109"/>
  <c r="S112" i="109"/>
  <c r="R112" i="109"/>
  <c r="Q112" i="109"/>
  <c r="P112" i="109"/>
  <c r="O112" i="109"/>
  <c r="N112" i="109"/>
  <c r="M112" i="109"/>
  <c r="L112" i="109"/>
  <c r="K112" i="109"/>
  <c r="J112" i="109"/>
  <c r="Y111" i="109"/>
  <c r="X111" i="109"/>
  <c r="X113" i="109" s="1"/>
  <c r="X115" i="109" s="1"/>
  <c r="W111" i="109"/>
  <c r="V111" i="109"/>
  <c r="V113" i="109" s="1"/>
  <c r="V115" i="109" s="1"/>
  <c r="U111" i="109"/>
  <c r="T111" i="109"/>
  <c r="T113" i="109" s="1"/>
  <c r="T115" i="109" s="1"/>
  <c r="S111" i="109"/>
  <c r="R111" i="109"/>
  <c r="R113" i="109" s="1"/>
  <c r="R115" i="109" s="1"/>
  <c r="Q111" i="109"/>
  <c r="P111" i="109"/>
  <c r="P113" i="109" s="1"/>
  <c r="P115" i="109" s="1"/>
  <c r="O111" i="109"/>
  <c r="N111" i="109"/>
  <c r="N113" i="109" s="1"/>
  <c r="N115" i="109" s="1"/>
  <c r="M111" i="109"/>
  <c r="CL69" i="109" s="1"/>
  <c r="L111" i="109"/>
  <c r="L113" i="109" s="1"/>
  <c r="L115" i="109" s="1"/>
  <c r="K111" i="109"/>
  <c r="J111" i="109"/>
  <c r="J113" i="109" s="1"/>
  <c r="Y103" i="109"/>
  <c r="Y124" i="109" s="1"/>
  <c r="Y141" i="109" s="1"/>
  <c r="X103" i="109"/>
  <c r="X124" i="109" s="1"/>
  <c r="X141" i="109" s="1"/>
  <c r="W103" i="109"/>
  <c r="W124" i="109" s="1"/>
  <c r="W141" i="109" s="1"/>
  <c r="V103" i="109"/>
  <c r="V124" i="109" s="1"/>
  <c r="V141" i="109" s="1"/>
  <c r="U103" i="109"/>
  <c r="U124" i="109" s="1"/>
  <c r="U141" i="109" s="1"/>
  <c r="T103" i="109"/>
  <c r="T124" i="109" s="1"/>
  <c r="T141" i="109" s="1"/>
  <c r="S103" i="109"/>
  <c r="S124" i="109" s="1"/>
  <c r="S141" i="109" s="1"/>
  <c r="R103" i="109"/>
  <c r="R124" i="109" s="1"/>
  <c r="R141" i="109" s="1"/>
  <c r="Q103" i="109"/>
  <c r="Q124" i="109" s="1"/>
  <c r="Q141" i="109" s="1"/>
  <c r="P103" i="109"/>
  <c r="P124" i="109" s="1"/>
  <c r="P141" i="109" s="1"/>
  <c r="O103" i="109"/>
  <c r="O124" i="109" s="1"/>
  <c r="O141" i="109" s="1"/>
  <c r="N103" i="109"/>
  <c r="N124" i="109" s="1"/>
  <c r="N141" i="109" s="1"/>
  <c r="M103" i="109"/>
  <c r="M124" i="109" s="1"/>
  <c r="M141" i="109" s="1"/>
  <c r="L103" i="109"/>
  <c r="L124" i="109" s="1"/>
  <c r="L141" i="109" s="1"/>
  <c r="K103" i="109"/>
  <c r="K124" i="109" s="1"/>
  <c r="K141" i="109" s="1"/>
  <c r="J103" i="109"/>
  <c r="J124" i="109" s="1"/>
  <c r="I102" i="109"/>
  <c r="I101" i="109"/>
  <c r="I100" i="109"/>
  <c r="I99" i="109"/>
  <c r="Y97" i="109"/>
  <c r="Y123" i="109" s="1"/>
  <c r="Y140" i="109" s="1"/>
  <c r="X97" i="109"/>
  <c r="X123" i="109" s="1"/>
  <c r="X140" i="109" s="1"/>
  <c r="W97" i="109"/>
  <c r="W123" i="109" s="1"/>
  <c r="W140" i="109" s="1"/>
  <c r="V97" i="109"/>
  <c r="V123" i="109" s="1"/>
  <c r="V140" i="109" s="1"/>
  <c r="U97" i="109"/>
  <c r="U123" i="109" s="1"/>
  <c r="U140" i="109" s="1"/>
  <c r="T97" i="109"/>
  <c r="T123" i="109" s="1"/>
  <c r="T140" i="109" s="1"/>
  <c r="S97" i="109"/>
  <c r="S123" i="109" s="1"/>
  <c r="S140" i="109" s="1"/>
  <c r="R97" i="109"/>
  <c r="R123" i="109" s="1"/>
  <c r="R140" i="109" s="1"/>
  <c r="Q97" i="109"/>
  <c r="Q123" i="109" s="1"/>
  <c r="Q140" i="109" s="1"/>
  <c r="P97" i="109"/>
  <c r="P123" i="109" s="1"/>
  <c r="P140" i="109" s="1"/>
  <c r="O97" i="109"/>
  <c r="O123" i="109" s="1"/>
  <c r="O140" i="109" s="1"/>
  <c r="N97" i="109"/>
  <c r="N123" i="109" s="1"/>
  <c r="N140" i="109" s="1"/>
  <c r="M97" i="109"/>
  <c r="M123" i="109" s="1"/>
  <c r="M140" i="109" s="1"/>
  <c r="L97" i="109"/>
  <c r="L123" i="109" s="1"/>
  <c r="L140" i="109" s="1"/>
  <c r="K97" i="109"/>
  <c r="K123" i="109" s="1"/>
  <c r="K140" i="109" s="1"/>
  <c r="J97" i="109"/>
  <c r="J123" i="109" s="1"/>
  <c r="J140" i="109" s="1"/>
  <c r="I96" i="109"/>
  <c r="CA96" i="109" s="1"/>
  <c r="I95" i="109"/>
  <c r="CA95" i="109" s="1"/>
  <c r="I94" i="109"/>
  <c r="CA94" i="109" s="1"/>
  <c r="I93" i="109"/>
  <c r="CA93" i="109" s="1"/>
  <c r="I92" i="109"/>
  <c r="CA92" i="109" s="1"/>
  <c r="I91" i="109"/>
  <c r="CA91" i="109" s="1"/>
  <c r="I90" i="109"/>
  <c r="I89" i="109"/>
  <c r="I88" i="109"/>
  <c r="I87" i="109"/>
  <c r="I85" i="109"/>
  <c r="I84" i="109"/>
  <c r="I83" i="109"/>
  <c r="I82" i="109"/>
  <c r="I81" i="109"/>
  <c r="I80" i="109"/>
  <c r="I79" i="109"/>
  <c r="I78" i="109"/>
  <c r="I77" i="109"/>
  <c r="I76" i="109"/>
  <c r="Y73" i="109"/>
  <c r="X73" i="109"/>
  <c r="W73" i="109"/>
  <c r="V73" i="109"/>
  <c r="U73" i="109"/>
  <c r="T73" i="109"/>
  <c r="S73" i="109"/>
  <c r="R73" i="109"/>
  <c r="Q73" i="109"/>
  <c r="P73" i="109"/>
  <c r="O73" i="109"/>
  <c r="N73" i="109"/>
  <c r="M73" i="109"/>
  <c r="L73" i="109"/>
  <c r="K73" i="109"/>
  <c r="J73" i="109"/>
  <c r="I72" i="109"/>
  <c r="I71" i="109"/>
  <c r="I70" i="109"/>
  <c r="CK69" i="109"/>
  <c r="I69" i="109"/>
  <c r="Y67" i="109"/>
  <c r="X67" i="109"/>
  <c r="W67" i="109"/>
  <c r="W104" i="109" s="1"/>
  <c r="V67" i="109"/>
  <c r="U67" i="109"/>
  <c r="T67" i="109"/>
  <c r="S67" i="109"/>
  <c r="S104" i="109" s="1"/>
  <c r="R67" i="109"/>
  <c r="Q67" i="109"/>
  <c r="P67" i="109"/>
  <c r="O67" i="109"/>
  <c r="O104" i="109" s="1"/>
  <c r="N67" i="109"/>
  <c r="M67" i="109"/>
  <c r="L67" i="109"/>
  <c r="K67" i="109"/>
  <c r="K104" i="109" s="1"/>
  <c r="J67" i="109"/>
  <c r="I66" i="109"/>
  <c r="I65" i="109"/>
  <c r="I64" i="109"/>
  <c r="I63" i="109"/>
  <c r="I62" i="109"/>
  <c r="I61" i="109"/>
  <c r="I60" i="109"/>
  <c r="I59" i="109"/>
  <c r="I58" i="109"/>
  <c r="I57" i="109"/>
  <c r="I56" i="109"/>
  <c r="I55" i="109"/>
  <c r="I54" i="109"/>
  <c r="I53" i="109"/>
  <c r="I52" i="109"/>
  <c r="I51" i="109"/>
  <c r="I50" i="109"/>
  <c r="I49" i="109"/>
  <c r="I48" i="109"/>
  <c r="I47" i="109"/>
  <c r="I45" i="109"/>
  <c r="I44" i="109"/>
  <c r="I43" i="109"/>
  <c r="I42" i="109"/>
  <c r="I41" i="109"/>
  <c r="I40" i="109"/>
  <c r="I39" i="109"/>
  <c r="I38" i="109"/>
  <c r="I37" i="109"/>
  <c r="I36" i="109"/>
  <c r="I35" i="109"/>
  <c r="I34" i="109"/>
  <c r="I33" i="109"/>
  <c r="I32" i="109"/>
  <c r="I31" i="109"/>
  <c r="I30" i="109"/>
  <c r="I29" i="109"/>
  <c r="I28" i="109"/>
  <c r="I27" i="109"/>
  <c r="I26" i="109"/>
  <c r="I25" i="109"/>
  <c r="I24" i="109"/>
  <c r="I23" i="109"/>
  <c r="I22" i="109"/>
  <c r="I21" i="109"/>
  <c r="I20" i="109"/>
  <c r="I19" i="109"/>
  <c r="I18" i="109"/>
  <c r="I17" i="109"/>
  <c r="I16" i="109"/>
  <c r="I15" i="109"/>
  <c r="I14" i="109"/>
  <c r="CP11" i="109"/>
  <c r="CI11" i="109"/>
  <c r="CH11" i="109"/>
  <c r="CG11" i="109"/>
  <c r="CB9" i="109"/>
  <c r="BA1" i="109"/>
  <c r="U72" i="108"/>
  <c r="T72" i="108"/>
  <c r="S72" i="108"/>
  <c r="R72" i="108"/>
  <c r="Q72" i="108"/>
  <c r="P72" i="108"/>
  <c r="O72" i="108"/>
  <c r="N72" i="108"/>
  <c r="M72" i="108"/>
  <c r="L72" i="108"/>
  <c r="K72" i="108"/>
  <c r="J72" i="108"/>
  <c r="I72" i="108"/>
  <c r="H72" i="108"/>
  <c r="G72" i="108"/>
  <c r="F72" i="108"/>
  <c r="E72" i="108"/>
  <c r="CB71" i="108"/>
  <c r="E71" i="108"/>
  <c r="CB70" i="108"/>
  <c r="E70" i="108"/>
  <c r="E65" i="108"/>
  <c r="CB65" i="108" s="1"/>
  <c r="U64" i="108"/>
  <c r="T64" i="108"/>
  <c r="S64" i="108"/>
  <c r="R64" i="108"/>
  <c r="Q64" i="108"/>
  <c r="P64" i="108"/>
  <c r="O64" i="108"/>
  <c r="N64" i="108"/>
  <c r="M64" i="108"/>
  <c r="L64" i="108"/>
  <c r="K64" i="108"/>
  <c r="J64" i="108"/>
  <c r="I64" i="108"/>
  <c r="H64" i="108"/>
  <c r="G64" i="108"/>
  <c r="F64" i="108"/>
  <c r="E63" i="108"/>
  <c r="E62" i="108"/>
  <c r="CA54" i="108"/>
  <c r="E54" i="108"/>
  <c r="CA53" i="108"/>
  <c r="E53" i="108"/>
  <c r="CM52" i="108"/>
  <c r="CL52" i="108"/>
  <c r="CK52" i="108"/>
  <c r="CJ52" i="108"/>
  <c r="CB52" i="108"/>
  <c r="E52" i="108"/>
  <c r="CA51" i="108"/>
  <c r="E51" i="108"/>
  <c r="CA50" i="108"/>
  <c r="E50" i="108"/>
  <c r="CA49" i="108"/>
  <c r="E49" i="108"/>
  <c r="CM48" i="108"/>
  <c r="CL48" i="108"/>
  <c r="CK48" i="108"/>
  <c r="CJ48" i="108"/>
  <c r="CA48" i="108"/>
  <c r="E48" i="108"/>
  <c r="U47" i="108"/>
  <c r="U55" i="108" s="1"/>
  <c r="U56" i="108" s="1"/>
  <c r="U57" i="108" s="1"/>
  <c r="T47" i="108"/>
  <c r="T55" i="108" s="1"/>
  <c r="T56" i="108" s="1"/>
  <c r="T57" i="108" s="1"/>
  <c r="S47" i="108"/>
  <c r="S55" i="108" s="1"/>
  <c r="S56" i="108" s="1"/>
  <c r="S57" i="108" s="1"/>
  <c r="R47" i="108"/>
  <c r="R55" i="108" s="1"/>
  <c r="R56" i="108" s="1"/>
  <c r="Q47" i="108"/>
  <c r="Q55" i="108" s="1"/>
  <c r="Q56" i="108" s="1"/>
  <c r="Q57" i="108" s="1"/>
  <c r="P47" i="108"/>
  <c r="P55" i="108" s="1"/>
  <c r="P56" i="108" s="1"/>
  <c r="P57" i="108" s="1"/>
  <c r="O47" i="108"/>
  <c r="O55" i="108" s="1"/>
  <c r="O56" i="108" s="1"/>
  <c r="O57" i="108" s="1"/>
  <c r="N47" i="108"/>
  <c r="N55" i="108" s="1"/>
  <c r="N56" i="108" s="1"/>
  <c r="N57" i="108" s="1"/>
  <c r="M47" i="108"/>
  <c r="M55" i="108" s="1"/>
  <c r="M56" i="108" s="1"/>
  <c r="M57" i="108" s="1"/>
  <c r="L47" i="108"/>
  <c r="L55" i="108" s="1"/>
  <c r="L56" i="108" s="1"/>
  <c r="L57" i="108" s="1"/>
  <c r="K47" i="108"/>
  <c r="K55" i="108" s="1"/>
  <c r="K56" i="108" s="1"/>
  <c r="K57" i="108" s="1"/>
  <c r="J47" i="108"/>
  <c r="J55" i="108" s="1"/>
  <c r="J56" i="108" s="1"/>
  <c r="J57" i="108" s="1"/>
  <c r="I47" i="108"/>
  <c r="I55" i="108" s="1"/>
  <c r="I56" i="108" s="1"/>
  <c r="I57" i="108" s="1"/>
  <c r="H47" i="108"/>
  <c r="H55" i="108" s="1"/>
  <c r="H56" i="108" s="1"/>
  <c r="H57" i="108" s="1"/>
  <c r="G47" i="108"/>
  <c r="G55" i="108" s="1"/>
  <c r="G56" i="108" s="1"/>
  <c r="G57" i="108" s="1"/>
  <c r="F47" i="108"/>
  <c r="F55" i="108" s="1"/>
  <c r="F56" i="108" s="1"/>
  <c r="CB46" i="108"/>
  <c r="E46" i="108"/>
  <c r="CB45" i="108"/>
  <c r="E45" i="108"/>
  <c r="G36" i="108"/>
  <c r="CA36" i="108" s="1"/>
  <c r="F35" i="108"/>
  <c r="F37" i="108" s="1"/>
  <c r="F33" i="108" s="1"/>
  <c r="F38" i="108" s="1"/>
  <c r="E35" i="108"/>
  <c r="G34" i="108"/>
  <c r="F28" i="108"/>
  <c r="E28" i="108"/>
  <c r="CA25" i="108"/>
  <c r="F21" i="108"/>
  <c r="E21" i="108"/>
  <c r="CA19" i="108"/>
  <c r="F15" i="108"/>
  <c r="E15" i="108"/>
  <c r="CA14" i="108"/>
  <c r="CB4" i="108"/>
  <c r="BA1" i="108"/>
  <c r="I172" i="107"/>
  <c r="H172" i="107"/>
  <c r="F172" i="107"/>
  <c r="E172" i="107"/>
  <c r="I171" i="107"/>
  <c r="H171" i="107"/>
  <c r="F171" i="107"/>
  <c r="E171" i="107"/>
  <c r="J170" i="107"/>
  <c r="G170" i="107"/>
  <c r="J169" i="107"/>
  <c r="G169" i="107"/>
  <c r="I166" i="107"/>
  <c r="I167" i="107" s="1"/>
  <c r="H166" i="107"/>
  <c r="H167" i="107" s="1"/>
  <c r="H173" i="107" s="1"/>
  <c r="F166" i="107"/>
  <c r="F167" i="107" s="1"/>
  <c r="E166" i="107"/>
  <c r="E167" i="107" s="1"/>
  <c r="E173" i="107" s="1"/>
  <c r="J165" i="107"/>
  <c r="G165" i="107"/>
  <c r="CN164" i="107"/>
  <c r="CN165" i="107" s="1"/>
  <c r="J164" i="107"/>
  <c r="G164" i="107"/>
  <c r="I156" i="107"/>
  <c r="H156" i="107"/>
  <c r="F156" i="107"/>
  <c r="E156" i="107"/>
  <c r="CE155" i="107"/>
  <c r="CB155" i="107"/>
  <c r="J155" i="107"/>
  <c r="G155" i="107"/>
  <c r="CE154" i="107"/>
  <c r="CB154" i="107"/>
  <c r="J154" i="107"/>
  <c r="J156" i="107" s="1"/>
  <c r="G154" i="107"/>
  <c r="G156" i="107" s="1"/>
  <c r="H146" i="107"/>
  <c r="G146" i="107"/>
  <c r="F146" i="107"/>
  <c r="E146" i="107"/>
  <c r="H145" i="107"/>
  <c r="H147" i="107" s="1"/>
  <c r="G145" i="107"/>
  <c r="G147" i="107" s="1"/>
  <c r="F145" i="107"/>
  <c r="F147" i="107" s="1"/>
  <c r="E145" i="107"/>
  <c r="E147" i="107" s="1"/>
  <c r="CD143" i="107"/>
  <c r="H143" i="107"/>
  <c r="G143" i="107"/>
  <c r="F143" i="107"/>
  <c r="E143" i="107"/>
  <c r="CE142" i="107"/>
  <c r="CB142" i="107"/>
  <c r="CE141" i="107"/>
  <c r="CB141" i="107"/>
  <c r="CD139" i="107"/>
  <c r="CD4" i="107" s="1"/>
  <c r="H139" i="107"/>
  <c r="G139" i="107"/>
  <c r="F139" i="107"/>
  <c r="E139" i="107"/>
  <c r="CE138" i="107"/>
  <c r="CB138" i="107"/>
  <c r="CE137" i="107"/>
  <c r="CB137" i="107"/>
  <c r="E129" i="107"/>
  <c r="M129" i="107" s="1"/>
  <c r="E128" i="107"/>
  <c r="M128" i="107" s="1"/>
  <c r="E126" i="107"/>
  <c r="M126" i="107" s="1"/>
  <c r="E125" i="107"/>
  <c r="M125" i="107" s="1"/>
  <c r="CA118" i="107"/>
  <c r="E118" i="107"/>
  <c r="CG118" i="107" s="1"/>
  <c r="CA117" i="107"/>
  <c r="E117" i="107"/>
  <c r="CG117" i="107" s="1"/>
  <c r="CB115" i="107"/>
  <c r="E115" i="107"/>
  <c r="CG115" i="107" s="1"/>
  <c r="CB114" i="107"/>
  <c r="E114" i="107"/>
  <c r="CG114" i="107" s="1"/>
  <c r="CG4" i="107" s="1"/>
  <c r="CE107" i="107"/>
  <c r="CB107" i="107"/>
  <c r="J107" i="107"/>
  <c r="G107" i="107"/>
  <c r="I106" i="107"/>
  <c r="H106" i="107"/>
  <c r="F106" i="107"/>
  <c r="E106" i="107"/>
  <c r="CE105" i="107"/>
  <c r="CE4" i="107" s="1"/>
  <c r="CB105" i="107"/>
  <c r="J105" i="107"/>
  <c r="G105" i="107"/>
  <c r="J104" i="107"/>
  <c r="J106" i="107" s="1"/>
  <c r="G104" i="107"/>
  <c r="CM77" i="107"/>
  <c r="J60" i="107"/>
  <c r="H59" i="107"/>
  <c r="H61" i="107" s="1"/>
  <c r="E59" i="107"/>
  <c r="E61" i="107" s="1"/>
  <c r="CI58" i="107"/>
  <c r="CH58" i="107"/>
  <c r="CF58" i="107"/>
  <c r="CA58" i="107"/>
  <c r="J58" i="107"/>
  <c r="G58" i="107"/>
  <c r="CF57" i="107"/>
  <c r="CF4" i="107" s="1"/>
  <c r="CA57" i="107"/>
  <c r="J57" i="107"/>
  <c r="G57" i="107"/>
  <c r="CI56" i="107"/>
  <c r="CI4" i="107" s="1"/>
  <c r="CH56" i="107"/>
  <c r="CE56" i="107"/>
  <c r="CB56" i="107"/>
  <c r="J56" i="107"/>
  <c r="G56" i="107"/>
  <c r="CF55" i="107"/>
  <c r="CA55" i="107"/>
  <c r="J55" i="107"/>
  <c r="G55" i="107"/>
  <c r="CF54" i="107"/>
  <c r="CA54" i="107"/>
  <c r="J54" i="107"/>
  <c r="G54" i="107"/>
  <c r="CF53" i="107"/>
  <c r="CA53" i="107"/>
  <c r="J53" i="107"/>
  <c r="G53" i="107"/>
  <c r="CF52" i="107"/>
  <c r="CA52" i="107"/>
  <c r="J52" i="107"/>
  <c r="G52" i="107"/>
  <c r="I51" i="107"/>
  <c r="I59" i="107" s="1"/>
  <c r="F51" i="107"/>
  <c r="F59" i="107" s="1"/>
  <c r="J50" i="107"/>
  <c r="G50" i="107"/>
  <c r="J49" i="107"/>
  <c r="G49" i="107"/>
  <c r="F40" i="107"/>
  <c r="F42" i="107" s="1"/>
  <c r="CL42" i="107" s="1"/>
  <c r="CL4" i="107" s="1"/>
  <c r="E40" i="107"/>
  <c r="E41" i="107" s="1"/>
  <c r="G41" i="107" s="1"/>
  <c r="G39" i="107"/>
  <c r="CB38" i="107"/>
  <c r="G38" i="107"/>
  <c r="G36" i="107"/>
  <c r="F27" i="107"/>
  <c r="E27" i="107"/>
  <c r="I26" i="107"/>
  <c r="E25" i="107"/>
  <c r="G24" i="107"/>
  <c r="CA23" i="107"/>
  <c r="G23" i="107"/>
  <c r="F20" i="107"/>
  <c r="E20" i="107"/>
  <c r="G18" i="107"/>
  <c r="CA17" i="107"/>
  <c r="G17" i="107"/>
  <c r="G16" i="107"/>
  <c r="G15" i="107"/>
  <c r="F14" i="107"/>
  <c r="E14" i="107"/>
  <c r="CA12" i="107"/>
  <c r="G12" i="107"/>
  <c r="G11" i="107"/>
  <c r="G10" i="107"/>
  <c r="G9" i="107"/>
  <c r="CB2" i="107"/>
  <c r="E115" i="106"/>
  <c r="E112" i="106"/>
  <c r="R108" i="106"/>
  <c r="Q108" i="106"/>
  <c r="P108" i="106"/>
  <c r="O108" i="106"/>
  <c r="N108" i="106"/>
  <c r="M108" i="106"/>
  <c r="L108" i="106"/>
  <c r="K108" i="106"/>
  <c r="J108" i="106"/>
  <c r="I108" i="106"/>
  <c r="H108" i="106"/>
  <c r="G108" i="106"/>
  <c r="F108" i="106"/>
  <c r="E104" i="106"/>
  <c r="R103" i="106"/>
  <c r="R105" i="106" s="1"/>
  <c r="R107" i="106" s="1"/>
  <c r="Q103" i="106"/>
  <c r="Q105" i="106" s="1"/>
  <c r="Q107" i="106" s="1"/>
  <c r="P103" i="106"/>
  <c r="P105" i="106" s="1"/>
  <c r="P107" i="106" s="1"/>
  <c r="O103" i="106"/>
  <c r="O105" i="106" s="1"/>
  <c r="O107" i="106" s="1"/>
  <c r="N103" i="106"/>
  <c r="N105" i="106" s="1"/>
  <c r="N107" i="106" s="1"/>
  <c r="M103" i="106"/>
  <c r="M105" i="106" s="1"/>
  <c r="M107" i="106" s="1"/>
  <c r="L103" i="106"/>
  <c r="L105" i="106" s="1"/>
  <c r="L107" i="106" s="1"/>
  <c r="K103" i="106"/>
  <c r="K105" i="106" s="1"/>
  <c r="K107" i="106" s="1"/>
  <c r="J103" i="106"/>
  <c r="J105" i="106" s="1"/>
  <c r="J107" i="106" s="1"/>
  <c r="I103" i="106"/>
  <c r="I105" i="106" s="1"/>
  <c r="I107" i="106" s="1"/>
  <c r="H103" i="106"/>
  <c r="H105" i="106" s="1"/>
  <c r="H107" i="106" s="1"/>
  <c r="G103" i="106"/>
  <c r="G105" i="106" s="1"/>
  <c r="G107" i="106" s="1"/>
  <c r="F103" i="106"/>
  <c r="F105" i="106" s="1"/>
  <c r="F107" i="106" s="1"/>
  <c r="E102" i="106"/>
  <c r="E101" i="106"/>
  <c r="E100" i="106"/>
  <c r="E99" i="106"/>
  <c r="E98" i="106"/>
  <c r="E97" i="106"/>
  <c r="E96" i="106"/>
  <c r="CB3" i="106"/>
  <c r="BA1" i="106"/>
  <c r="BB115" i="106" s="1"/>
  <c r="E109" i="105"/>
  <c r="E112" i="105" s="1"/>
  <c r="CA108" i="105"/>
  <c r="CE101" i="105"/>
  <c r="CE100" i="105"/>
  <c r="CE99" i="105"/>
  <c r="CE98" i="105"/>
  <c r="CE97" i="105"/>
  <c r="CE96" i="105"/>
  <c r="CE94" i="105"/>
  <c r="CC84" i="105"/>
  <c r="CB84" i="105"/>
  <c r="J84" i="105"/>
  <c r="G84" i="105"/>
  <c r="CC81" i="105"/>
  <c r="CB81" i="105"/>
  <c r="J81" i="105"/>
  <c r="G81" i="105"/>
  <c r="I77" i="105"/>
  <c r="H77" i="105"/>
  <c r="F77" i="105"/>
  <c r="E77" i="105"/>
  <c r="J73" i="105"/>
  <c r="G73" i="105"/>
  <c r="I72" i="105"/>
  <c r="I74" i="105" s="1"/>
  <c r="I76" i="105" s="1"/>
  <c r="H72" i="105"/>
  <c r="H74" i="105" s="1"/>
  <c r="H76" i="105" s="1"/>
  <c r="F72" i="105"/>
  <c r="F74" i="105" s="1"/>
  <c r="F76" i="105" s="1"/>
  <c r="E72" i="105"/>
  <c r="E74" i="105" s="1"/>
  <c r="E76" i="105" s="1"/>
  <c r="J71" i="105"/>
  <c r="G71" i="105"/>
  <c r="CD70" i="105"/>
  <c r="CA70" i="105"/>
  <c r="J70" i="105"/>
  <c r="G70" i="105"/>
  <c r="CC69" i="105"/>
  <c r="CB69" i="105"/>
  <c r="J69" i="105"/>
  <c r="G69" i="105"/>
  <c r="J68" i="105"/>
  <c r="G68" i="105"/>
  <c r="J67" i="105"/>
  <c r="G67" i="105"/>
  <c r="CC66" i="105"/>
  <c r="CB66" i="105"/>
  <c r="J66" i="105"/>
  <c r="G66" i="105"/>
  <c r="CC65" i="105"/>
  <c r="CB65" i="105"/>
  <c r="J65" i="105"/>
  <c r="G65" i="105"/>
  <c r="I58" i="105"/>
  <c r="H58" i="105"/>
  <c r="F58" i="105"/>
  <c r="E58" i="105"/>
  <c r="I55" i="105"/>
  <c r="H55" i="105"/>
  <c r="F55" i="105"/>
  <c r="E55" i="105"/>
  <c r="I47" i="105"/>
  <c r="H47" i="105"/>
  <c r="F47" i="105"/>
  <c r="E47" i="105"/>
  <c r="I45" i="105"/>
  <c r="H45" i="105"/>
  <c r="F45" i="105"/>
  <c r="E45" i="105"/>
  <c r="I44" i="105"/>
  <c r="H44" i="105"/>
  <c r="F44" i="105"/>
  <c r="E44" i="105"/>
  <c r="I43" i="105"/>
  <c r="H43" i="105"/>
  <c r="F43" i="105"/>
  <c r="E43" i="105"/>
  <c r="I42" i="105"/>
  <c r="H42" i="105"/>
  <c r="F42" i="105"/>
  <c r="E42" i="105"/>
  <c r="I41" i="105"/>
  <c r="I51" i="105" s="1"/>
  <c r="H41" i="105"/>
  <c r="H51" i="105" s="1"/>
  <c r="F41" i="105"/>
  <c r="F51" i="105" s="1"/>
  <c r="E41" i="105"/>
  <c r="E51" i="105" s="1"/>
  <c r="I40" i="105"/>
  <c r="H40" i="105"/>
  <c r="F40" i="105"/>
  <c r="E40" i="105"/>
  <c r="I39" i="105"/>
  <c r="I46" i="105" s="1"/>
  <c r="I48" i="105" s="1"/>
  <c r="I50" i="105" s="1"/>
  <c r="I52" i="105" s="1"/>
  <c r="I53" i="105" s="1"/>
  <c r="H39" i="105"/>
  <c r="H46" i="105" s="1"/>
  <c r="H48" i="105" s="1"/>
  <c r="H50" i="105" s="1"/>
  <c r="H52" i="105" s="1"/>
  <c r="H53" i="105" s="1"/>
  <c r="F39" i="105"/>
  <c r="F46" i="105" s="1"/>
  <c r="F48" i="105" s="1"/>
  <c r="F50" i="105" s="1"/>
  <c r="F52" i="105" s="1"/>
  <c r="F53" i="105" s="1"/>
  <c r="E39" i="105"/>
  <c r="E46" i="105" s="1"/>
  <c r="E48" i="105" s="1"/>
  <c r="E50" i="105" s="1"/>
  <c r="E52" i="105" s="1"/>
  <c r="E53" i="105" s="1"/>
  <c r="CC29" i="105"/>
  <c r="CB29" i="105"/>
  <c r="J29" i="105"/>
  <c r="G29" i="105"/>
  <c r="I25" i="105"/>
  <c r="H25" i="105"/>
  <c r="F25" i="105"/>
  <c r="E25" i="105"/>
  <c r="J21" i="105"/>
  <c r="G21" i="105"/>
  <c r="I20" i="105"/>
  <c r="I22" i="105" s="1"/>
  <c r="I24" i="105" s="1"/>
  <c r="H20" i="105"/>
  <c r="H22" i="105" s="1"/>
  <c r="H24" i="105" s="1"/>
  <c r="F20" i="105"/>
  <c r="F22" i="105" s="1"/>
  <c r="F24" i="105" s="1"/>
  <c r="E20" i="105"/>
  <c r="E22" i="105" s="1"/>
  <c r="E24" i="105" s="1"/>
  <c r="J19" i="105"/>
  <c r="G19" i="105"/>
  <c r="CD18" i="105"/>
  <c r="CA18" i="105"/>
  <c r="J18" i="105"/>
  <c r="G18" i="105"/>
  <c r="CC17" i="105"/>
  <c r="CB17" i="105"/>
  <c r="J17" i="105"/>
  <c r="G17" i="105"/>
  <c r="J16" i="105"/>
  <c r="G16" i="105"/>
  <c r="J15" i="105"/>
  <c r="G15" i="105"/>
  <c r="CC14" i="105"/>
  <c r="CB14" i="105"/>
  <c r="J14" i="105"/>
  <c r="G14" i="105"/>
  <c r="CC13" i="105"/>
  <c r="CB13" i="105"/>
  <c r="J13" i="105"/>
  <c r="G13" i="105"/>
  <c r="CB5" i="105"/>
  <c r="F61" i="104"/>
  <c r="F60" i="104"/>
  <c r="F57" i="104"/>
  <c r="F56" i="104"/>
  <c r="F54" i="104"/>
  <c r="F53" i="104"/>
  <c r="F52" i="104"/>
  <c r="F51" i="104"/>
  <c r="F50" i="104"/>
  <c r="CB45" i="104"/>
  <c r="CB27" i="104"/>
  <c r="F27" i="104"/>
  <c r="CB26" i="104"/>
  <c r="F26" i="104"/>
  <c r="O24" i="104"/>
  <c r="O49" i="104" s="1"/>
  <c r="O58" i="104" s="1"/>
  <c r="O62" i="104" s="1"/>
  <c r="N24" i="104"/>
  <c r="N49" i="104" s="1"/>
  <c r="N58" i="104" s="1"/>
  <c r="N62" i="104" s="1"/>
  <c r="L24" i="104"/>
  <c r="L49" i="104" s="1"/>
  <c r="L58" i="104" s="1"/>
  <c r="L62" i="104" s="1"/>
  <c r="K24" i="104"/>
  <c r="K49" i="104" s="1"/>
  <c r="K58" i="104" s="1"/>
  <c r="K62" i="104" s="1"/>
  <c r="J24" i="104"/>
  <c r="J49" i="104" s="1"/>
  <c r="J58" i="104" s="1"/>
  <c r="J62" i="104" s="1"/>
  <c r="I24" i="104"/>
  <c r="I49" i="104" s="1"/>
  <c r="I58" i="104" s="1"/>
  <c r="I62" i="104" s="1"/>
  <c r="G24" i="104"/>
  <c r="G49" i="104" s="1"/>
  <c r="E24" i="104"/>
  <c r="E28" i="104" s="1"/>
  <c r="CC23" i="104"/>
  <c r="F23" i="104"/>
  <c r="CA22" i="104"/>
  <c r="F22" i="104"/>
  <c r="F20" i="104"/>
  <c r="CB19" i="104"/>
  <c r="F19" i="104"/>
  <c r="CA18" i="104"/>
  <c r="F18" i="104"/>
  <c r="CA17" i="104"/>
  <c r="F17" i="104"/>
  <c r="CB16" i="104"/>
  <c r="F16" i="104"/>
  <c r="CB15" i="104"/>
  <c r="F15" i="104"/>
  <c r="CB11" i="104"/>
  <c r="CB5" i="104"/>
  <c r="E106" i="103"/>
  <c r="E105" i="103"/>
  <c r="R97" i="103"/>
  <c r="Q97" i="103"/>
  <c r="P97" i="103"/>
  <c r="O97" i="103"/>
  <c r="N97" i="103"/>
  <c r="M97" i="103"/>
  <c r="L97" i="103"/>
  <c r="K97" i="103"/>
  <c r="J97" i="103"/>
  <c r="I97" i="103"/>
  <c r="H97" i="103"/>
  <c r="G97" i="103"/>
  <c r="F97" i="103"/>
  <c r="E96" i="103"/>
  <c r="E95" i="103"/>
  <c r="E94" i="103"/>
  <c r="E93" i="103"/>
  <c r="E92" i="103"/>
  <c r="E91" i="103"/>
  <c r="R88" i="103"/>
  <c r="Q88" i="103"/>
  <c r="P88" i="103"/>
  <c r="O88" i="103"/>
  <c r="N88" i="103"/>
  <c r="M88" i="103"/>
  <c r="L88" i="103"/>
  <c r="K88" i="103"/>
  <c r="J88" i="103"/>
  <c r="I88" i="103"/>
  <c r="H88" i="103"/>
  <c r="G88" i="103"/>
  <c r="F88" i="103"/>
  <c r="E87" i="103"/>
  <c r="E86" i="103"/>
  <c r="E85" i="103"/>
  <c r="E84" i="103"/>
  <c r="R83" i="103"/>
  <c r="Q83" i="103"/>
  <c r="P83" i="103"/>
  <c r="O83" i="103"/>
  <c r="N83" i="103"/>
  <c r="M83" i="103"/>
  <c r="L83" i="103"/>
  <c r="K83" i="103"/>
  <c r="J83" i="103"/>
  <c r="I83" i="103"/>
  <c r="H83" i="103"/>
  <c r="G83" i="103"/>
  <c r="F83" i="103"/>
  <c r="E82" i="103"/>
  <c r="R70" i="103"/>
  <c r="Q70" i="103"/>
  <c r="P70" i="103"/>
  <c r="O70" i="103"/>
  <c r="N70" i="103"/>
  <c r="M70" i="103"/>
  <c r="L70" i="103"/>
  <c r="K70" i="103"/>
  <c r="J70" i="103"/>
  <c r="I70" i="103"/>
  <c r="H70" i="103"/>
  <c r="G70" i="103"/>
  <c r="F70" i="103"/>
  <c r="E69" i="103"/>
  <c r="E68" i="103"/>
  <c r="E67" i="103"/>
  <c r="E66" i="103"/>
  <c r="R65" i="103"/>
  <c r="Q65" i="103"/>
  <c r="P65" i="103"/>
  <c r="P71" i="103" s="1"/>
  <c r="O65" i="103"/>
  <c r="N65" i="103"/>
  <c r="M65" i="103"/>
  <c r="L65" i="103"/>
  <c r="L71" i="103" s="1"/>
  <c r="K65" i="103"/>
  <c r="J65" i="103"/>
  <c r="I65" i="103"/>
  <c r="H65" i="103"/>
  <c r="H71" i="103" s="1"/>
  <c r="G65" i="103"/>
  <c r="F65" i="103"/>
  <c r="E64" i="103"/>
  <c r="E63" i="103"/>
  <c r="R60" i="103"/>
  <c r="Q60" i="103"/>
  <c r="P60" i="103"/>
  <c r="O60" i="103"/>
  <c r="N60" i="103"/>
  <c r="M60" i="103"/>
  <c r="L60" i="103"/>
  <c r="K60" i="103"/>
  <c r="J60" i="103"/>
  <c r="I60" i="103"/>
  <c r="H60" i="103"/>
  <c r="G60" i="103"/>
  <c r="F60" i="103"/>
  <c r="E59" i="103"/>
  <c r="E58" i="103"/>
  <c r="E57" i="103"/>
  <c r="R55" i="103"/>
  <c r="Q55" i="103"/>
  <c r="P55" i="103"/>
  <c r="O55" i="103"/>
  <c r="N55" i="103"/>
  <c r="M55" i="103"/>
  <c r="L55" i="103"/>
  <c r="K55" i="103"/>
  <c r="J55" i="103"/>
  <c r="I55" i="103"/>
  <c r="H55" i="103"/>
  <c r="G55" i="103"/>
  <c r="F55" i="103"/>
  <c r="E54" i="103"/>
  <c r="E53" i="103"/>
  <c r="R52" i="103"/>
  <c r="Q52" i="103"/>
  <c r="P52" i="103"/>
  <c r="P61" i="103" s="1"/>
  <c r="O52" i="103"/>
  <c r="N52" i="103"/>
  <c r="M52" i="103"/>
  <c r="L52" i="103"/>
  <c r="L61" i="103" s="1"/>
  <c r="K52" i="103"/>
  <c r="J52" i="103"/>
  <c r="I52" i="103"/>
  <c r="H52" i="103"/>
  <c r="H61" i="103" s="1"/>
  <c r="G52" i="103"/>
  <c r="F52" i="103"/>
  <c r="E51" i="103"/>
  <c r="R48" i="103"/>
  <c r="Q48" i="103"/>
  <c r="P48" i="103"/>
  <c r="O48" i="103"/>
  <c r="N48" i="103"/>
  <c r="M48" i="103"/>
  <c r="L48" i="103"/>
  <c r="K48" i="103"/>
  <c r="J48" i="103"/>
  <c r="I48" i="103"/>
  <c r="H48" i="103"/>
  <c r="G48" i="103"/>
  <c r="F48" i="103"/>
  <c r="E47" i="103"/>
  <c r="E46" i="103"/>
  <c r="E45" i="103"/>
  <c r="E44" i="103"/>
  <c r="E43" i="103"/>
  <c r="E42" i="103"/>
  <c r="E41" i="103"/>
  <c r="R39" i="103"/>
  <c r="Q39" i="103"/>
  <c r="P39" i="103"/>
  <c r="O39" i="103"/>
  <c r="N39" i="103"/>
  <c r="M39" i="103"/>
  <c r="L39" i="103"/>
  <c r="K39" i="103"/>
  <c r="J39" i="103"/>
  <c r="I39" i="103"/>
  <c r="H39" i="103"/>
  <c r="G39" i="103"/>
  <c r="F39" i="103"/>
  <c r="E38" i="103"/>
  <c r="E37" i="103"/>
  <c r="E36" i="103"/>
  <c r="E35" i="103"/>
  <c r="R34" i="103"/>
  <c r="Q34" i="103"/>
  <c r="Q49" i="103" s="1"/>
  <c r="P34" i="103"/>
  <c r="O34" i="103"/>
  <c r="N34" i="103"/>
  <c r="M34" i="103"/>
  <c r="M49" i="103" s="1"/>
  <c r="L34" i="103"/>
  <c r="K34" i="103"/>
  <c r="J34" i="103"/>
  <c r="I34" i="103"/>
  <c r="I49" i="103" s="1"/>
  <c r="H34" i="103"/>
  <c r="G34" i="103"/>
  <c r="F34" i="103"/>
  <c r="E33" i="103"/>
  <c r="E32" i="103"/>
  <c r="E31" i="103"/>
  <c r="R28" i="103"/>
  <c r="Q28" i="103"/>
  <c r="P28" i="103"/>
  <c r="O28" i="103"/>
  <c r="N28" i="103"/>
  <c r="M28" i="103"/>
  <c r="L28" i="103"/>
  <c r="K28" i="103"/>
  <c r="J28" i="103"/>
  <c r="I28" i="103"/>
  <c r="H28" i="103"/>
  <c r="G28" i="103"/>
  <c r="F28" i="103"/>
  <c r="E27" i="103"/>
  <c r="E26" i="103"/>
  <c r="E25" i="103"/>
  <c r="E24" i="103"/>
  <c r="E23" i="103"/>
  <c r="E22" i="103"/>
  <c r="E21" i="103"/>
  <c r="R19" i="103"/>
  <c r="Q19" i="103"/>
  <c r="P19" i="103"/>
  <c r="O19" i="103"/>
  <c r="N19" i="103"/>
  <c r="M19" i="103"/>
  <c r="L19" i="103"/>
  <c r="K19" i="103"/>
  <c r="J19" i="103"/>
  <c r="I19" i="103"/>
  <c r="H19" i="103"/>
  <c r="G19" i="103"/>
  <c r="F19" i="103"/>
  <c r="E18" i="103"/>
  <c r="E17" i="103"/>
  <c r="E16" i="103"/>
  <c r="E15" i="103"/>
  <c r="R14" i="103"/>
  <c r="Q14" i="103"/>
  <c r="P14" i="103"/>
  <c r="O14" i="103"/>
  <c r="N14" i="103"/>
  <c r="M14" i="103"/>
  <c r="L14" i="103"/>
  <c r="K14" i="103"/>
  <c r="J14" i="103"/>
  <c r="I14" i="103"/>
  <c r="H14" i="103"/>
  <c r="G14" i="103"/>
  <c r="F14" i="103"/>
  <c r="E13" i="103"/>
  <c r="E12" i="103"/>
  <c r="E11" i="103"/>
  <c r="BA1" i="103"/>
  <c r="BB106" i="103" s="1"/>
  <c r="S50" i="102"/>
  <c r="R50" i="102"/>
  <c r="Q50" i="102"/>
  <c r="P50" i="102"/>
  <c r="O50" i="102"/>
  <c r="N50" i="102"/>
  <c r="M50" i="102"/>
  <c r="L50" i="102"/>
  <c r="K50" i="102"/>
  <c r="J50" i="102"/>
  <c r="I50" i="102"/>
  <c r="H50" i="102"/>
  <c r="G50" i="102"/>
  <c r="E50" i="102"/>
  <c r="F49" i="102"/>
  <c r="CB49" i="102" s="1"/>
  <c r="F48" i="102"/>
  <c r="F50" i="102" s="1"/>
  <c r="F41" i="102"/>
  <c r="CB41" i="102" s="1"/>
  <c r="S40" i="102"/>
  <c r="R40" i="102"/>
  <c r="Q40" i="102"/>
  <c r="Q51" i="102" s="1"/>
  <c r="P40" i="102"/>
  <c r="O40" i="102"/>
  <c r="N40" i="102"/>
  <c r="M40" i="102"/>
  <c r="M51" i="102" s="1"/>
  <c r="L40" i="102"/>
  <c r="K40" i="102"/>
  <c r="J40" i="102"/>
  <c r="I40" i="102"/>
  <c r="I51" i="102" s="1"/>
  <c r="H40" i="102"/>
  <c r="G40" i="102"/>
  <c r="E40" i="102"/>
  <c r="F39" i="102"/>
  <c r="CB39" i="102" s="1"/>
  <c r="F38" i="102"/>
  <c r="CB38" i="102" s="1"/>
  <c r="F37" i="102"/>
  <c r="CB37" i="102" s="1"/>
  <c r="F36" i="102"/>
  <c r="CB36" i="102" s="1"/>
  <c r="F35" i="102"/>
  <c r="CB35" i="102" s="1"/>
  <c r="F34" i="102"/>
  <c r="CB34" i="102" s="1"/>
  <c r="F33" i="102"/>
  <c r="CB33" i="102" s="1"/>
  <c r="F32" i="102"/>
  <c r="F31" i="102"/>
  <c r="F30" i="102"/>
  <c r="F29" i="102"/>
  <c r="CH28" i="102"/>
  <c r="CG28" i="102"/>
  <c r="CF28" i="102"/>
  <c r="CE28" i="102"/>
  <c r="CD28" i="102"/>
  <c r="CC28" i="102"/>
  <c r="F28" i="102"/>
  <c r="F27" i="102"/>
  <c r="CB27" i="102" s="1"/>
  <c r="F26" i="102"/>
  <c r="CB26" i="102" s="1"/>
  <c r="F25" i="102"/>
  <c r="CJ24" i="102"/>
  <c r="CH24" i="102"/>
  <c r="CG24" i="102"/>
  <c r="CF24" i="102"/>
  <c r="CE24" i="102"/>
  <c r="CD24" i="102"/>
  <c r="CC24" i="102"/>
  <c r="F24" i="102"/>
  <c r="F23" i="102"/>
  <c r="F22" i="102"/>
  <c r="F21" i="102"/>
  <c r="CB21" i="102" s="1"/>
  <c r="CP20" i="102"/>
  <c r="CO20" i="102"/>
  <c r="CN20" i="102"/>
  <c r="CM20" i="102"/>
  <c r="CL20" i="102"/>
  <c r="CK20" i="102"/>
  <c r="CJ20" i="102"/>
  <c r="CI20" i="102"/>
  <c r="CH20" i="102"/>
  <c r="CG20" i="102"/>
  <c r="CF20" i="102"/>
  <c r="CE20" i="102"/>
  <c r="CD20" i="102"/>
  <c r="CC20" i="102"/>
  <c r="F20" i="102"/>
  <c r="CB20" i="102" s="1"/>
  <c r="F19" i="102"/>
  <c r="CB19" i="102" s="1"/>
  <c r="F18" i="102"/>
  <c r="CB18" i="102" s="1"/>
  <c r="F17" i="102"/>
  <c r="CB17" i="102" s="1"/>
  <c r="F16" i="102"/>
  <c r="CB16" i="102" s="1"/>
  <c r="F15" i="102"/>
  <c r="CB15" i="102" s="1"/>
  <c r="F14" i="102"/>
  <c r="CB14" i="102" s="1"/>
  <c r="F13" i="102"/>
  <c r="CB13" i="102" s="1"/>
  <c r="F12" i="102"/>
  <c r="CB12" i="102" s="1"/>
  <c r="F11" i="102"/>
  <c r="CB11" i="102" s="1"/>
  <c r="F10" i="102"/>
  <c r="CB5" i="102"/>
  <c r="BA1" i="102"/>
  <c r="S41" i="101"/>
  <c r="R41" i="101"/>
  <c r="Q41" i="101"/>
  <c r="P41" i="101"/>
  <c r="O41" i="101"/>
  <c r="N41" i="101"/>
  <c r="M41" i="101"/>
  <c r="L41" i="101"/>
  <c r="K41" i="101"/>
  <c r="J41" i="101"/>
  <c r="I41" i="101"/>
  <c r="H41" i="101"/>
  <c r="G41" i="101"/>
  <c r="E41" i="101"/>
  <c r="F40" i="101"/>
  <c r="CB40" i="101" s="1"/>
  <c r="F39" i="101"/>
  <c r="CB39" i="101" s="1"/>
  <c r="F38" i="101"/>
  <c r="CB38" i="101" s="1"/>
  <c r="F37" i="101"/>
  <c r="CB37" i="101" s="1"/>
  <c r="F36" i="101"/>
  <c r="CB36" i="101" s="1"/>
  <c r="F34" i="101"/>
  <c r="CB34" i="101" s="1"/>
  <c r="F33" i="101"/>
  <c r="F32" i="101"/>
  <c r="CB32" i="101" s="1"/>
  <c r="F31" i="101"/>
  <c r="CB31" i="101" s="1"/>
  <c r="F30" i="101"/>
  <c r="CB30" i="101" s="1"/>
  <c r="F29" i="101"/>
  <c r="CB29" i="101" s="1"/>
  <c r="F28" i="101"/>
  <c r="CB28" i="101" s="1"/>
  <c r="F27" i="101"/>
  <c r="S25" i="101"/>
  <c r="R25" i="101"/>
  <c r="Q25" i="101"/>
  <c r="P25" i="101"/>
  <c r="O25" i="101"/>
  <c r="N25" i="101"/>
  <c r="M25" i="101"/>
  <c r="L25" i="101"/>
  <c r="K25" i="101"/>
  <c r="J25" i="101"/>
  <c r="I25" i="101"/>
  <c r="H25" i="101"/>
  <c r="G25" i="101"/>
  <c r="E25" i="101"/>
  <c r="F24" i="101"/>
  <c r="CB24" i="101" s="1"/>
  <c r="F23" i="101"/>
  <c r="CB23" i="101" s="1"/>
  <c r="F22" i="101"/>
  <c r="CB22" i="101" s="1"/>
  <c r="F21" i="101"/>
  <c r="CB21" i="101" s="1"/>
  <c r="F20" i="101"/>
  <c r="CB20" i="101" s="1"/>
  <c r="F19" i="101"/>
  <c r="CB19" i="101" s="1"/>
  <c r="F18" i="101"/>
  <c r="CB18" i="101" s="1"/>
  <c r="F17" i="101"/>
  <c r="CB17" i="101" s="1"/>
  <c r="CB16" i="101"/>
  <c r="CB14" i="101"/>
  <c r="CC13" i="101"/>
  <c r="CC7" i="101" s="1"/>
  <c r="CB13" i="101"/>
  <c r="CC12" i="101"/>
  <c r="CB12" i="101"/>
  <c r="F11" i="101"/>
  <c r="CB10" i="101"/>
  <c r="CC5" i="101"/>
  <c r="CB5" i="101"/>
  <c r="BA1" i="101"/>
  <c r="E98" i="100"/>
  <c r="S97" i="100"/>
  <c r="R97" i="100"/>
  <c r="Q97" i="100"/>
  <c r="P97" i="100"/>
  <c r="O97" i="100"/>
  <c r="N97" i="100"/>
  <c r="M97" i="100"/>
  <c r="L97" i="100"/>
  <c r="K97" i="100"/>
  <c r="J97" i="100"/>
  <c r="I97" i="100"/>
  <c r="H97" i="100"/>
  <c r="G97" i="100"/>
  <c r="E92" i="100"/>
  <c r="F90" i="100" s="1"/>
  <c r="S91" i="100"/>
  <c r="R91" i="100"/>
  <c r="Q91" i="100"/>
  <c r="P91" i="100"/>
  <c r="O91" i="100"/>
  <c r="N91" i="100"/>
  <c r="M91" i="100"/>
  <c r="L91" i="100"/>
  <c r="K91" i="100"/>
  <c r="J91" i="100"/>
  <c r="I91" i="100"/>
  <c r="H91" i="100"/>
  <c r="G91" i="100"/>
  <c r="S85" i="100"/>
  <c r="R85" i="100"/>
  <c r="Q85" i="100"/>
  <c r="P85" i="100"/>
  <c r="O85" i="100"/>
  <c r="N85" i="100"/>
  <c r="M85" i="100"/>
  <c r="L85" i="100"/>
  <c r="K85" i="100"/>
  <c r="J85" i="100"/>
  <c r="I85" i="100"/>
  <c r="H85" i="100"/>
  <c r="G85" i="100"/>
  <c r="E85" i="100"/>
  <c r="F84" i="100"/>
  <c r="CA84" i="100" s="1"/>
  <c r="F83" i="100"/>
  <c r="F82" i="100"/>
  <c r="S80" i="100"/>
  <c r="R80" i="100"/>
  <c r="Q80" i="100"/>
  <c r="P80" i="100"/>
  <c r="O80" i="100"/>
  <c r="N80" i="100"/>
  <c r="M80" i="100"/>
  <c r="L80" i="100"/>
  <c r="K80" i="100"/>
  <c r="J80" i="100"/>
  <c r="I80" i="100"/>
  <c r="H80" i="100"/>
  <c r="G80" i="100"/>
  <c r="E80" i="100"/>
  <c r="F79" i="100"/>
  <c r="CB79" i="100" s="1"/>
  <c r="F78" i="100"/>
  <c r="F77" i="100"/>
  <c r="F71" i="100"/>
  <c r="E70" i="100"/>
  <c r="F69" i="100"/>
  <c r="S66" i="100"/>
  <c r="R66" i="100"/>
  <c r="Q66" i="100"/>
  <c r="P66" i="100"/>
  <c r="O66" i="100"/>
  <c r="N66" i="100"/>
  <c r="M66" i="100"/>
  <c r="L66" i="100"/>
  <c r="K66" i="100"/>
  <c r="J66" i="100"/>
  <c r="I66" i="100"/>
  <c r="H66" i="100"/>
  <c r="G66" i="100"/>
  <c r="E66" i="100"/>
  <c r="F64" i="100"/>
  <c r="F62" i="100"/>
  <c r="F60" i="100"/>
  <c r="F59" i="100"/>
  <c r="F58" i="100"/>
  <c r="F57" i="100"/>
  <c r="F56" i="100"/>
  <c r="F55" i="100"/>
  <c r="F54" i="100"/>
  <c r="F53" i="100"/>
  <c r="F52" i="100"/>
  <c r="F51" i="100"/>
  <c r="CI50" i="100"/>
  <c r="CH50" i="100"/>
  <c r="CG50" i="100"/>
  <c r="CF50" i="100"/>
  <c r="F50" i="100"/>
  <c r="F49" i="100"/>
  <c r="F48" i="100"/>
  <c r="CI47" i="100"/>
  <c r="CH47" i="100"/>
  <c r="CG47" i="100"/>
  <c r="CF47" i="100"/>
  <c r="F47" i="100"/>
  <c r="S44" i="100"/>
  <c r="R44" i="100"/>
  <c r="Q44" i="100"/>
  <c r="P44" i="100"/>
  <c r="O44" i="100"/>
  <c r="N44" i="100"/>
  <c r="M44" i="100"/>
  <c r="L44" i="100"/>
  <c r="K44" i="100"/>
  <c r="J44" i="100"/>
  <c r="I44" i="100"/>
  <c r="H44" i="100"/>
  <c r="G44" i="100"/>
  <c r="E44" i="100"/>
  <c r="F43" i="100"/>
  <c r="CK40" i="100"/>
  <c r="CJ40" i="100"/>
  <c r="CI40" i="100"/>
  <c r="CH40" i="100"/>
  <c r="CG40" i="100"/>
  <c r="CF40" i="100"/>
  <c r="F40" i="100"/>
  <c r="F39" i="100"/>
  <c r="F38" i="100"/>
  <c r="F37" i="100"/>
  <c r="F36" i="100"/>
  <c r="F35" i="100"/>
  <c r="F34" i="100"/>
  <c r="F33" i="100"/>
  <c r="F32" i="100"/>
  <c r="F31" i="100"/>
  <c r="F30" i="100"/>
  <c r="S28" i="100"/>
  <c r="Q28" i="100"/>
  <c r="P28" i="100"/>
  <c r="O28" i="100"/>
  <c r="N28" i="100"/>
  <c r="M28" i="100"/>
  <c r="L28" i="100"/>
  <c r="K28" i="100"/>
  <c r="J28" i="100"/>
  <c r="I28" i="100"/>
  <c r="H28" i="100"/>
  <c r="G28" i="100"/>
  <c r="E28" i="100"/>
  <c r="F27" i="100"/>
  <c r="R26" i="100"/>
  <c r="R28" i="100" s="1"/>
  <c r="F25" i="100"/>
  <c r="F24" i="100"/>
  <c r="F23" i="100"/>
  <c r="F22" i="100"/>
  <c r="F21" i="100"/>
  <c r="F20" i="100"/>
  <c r="F19" i="100"/>
  <c r="F18" i="100"/>
  <c r="F16" i="100"/>
  <c r="F15" i="100"/>
  <c r="F14" i="100"/>
  <c r="F13" i="100"/>
  <c r="F12" i="100"/>
  <c r="F11" i="100"/>
  <c r="CB5" i="100"/>
  <c r="BA1" i="100"/>
  <c r="BB100" i="100" s="1"/>
  <c r="J118" i="99"/>
  <c r="J119" i="99" s="1"/>
  <c r="G118" i="99"/>
  <c r="G119" i="99" s="1"/>
  <c r="J113" i="99"/>
  <c r="G113" i="99"/>
  <c r="G114" i="99" s="1"/>
  <c r="J112" i="99"/>
  <c r="J108" i="99"/>
  <c r="G108" i="99"/>
  <c r="G109" i="99" s="1"/>
  <c r="J107" i="99"/>
  <c r="J103" i="99"/>
  <c r="G103" i="99"/>
  <c r="G104" i="99" s="1"/>
  <c r="J102" i="99"/>
  <c r="J98" i="99"/>
  <c r="G98" i="99"/>
  <c r="G99" i="99" s="1"/>
  <c r="J97" i="99"/>
  <c r="J89" i="99"/>
  <c r="I89" i="99"/>
  <c r="G89" i="99"/>
  <c r="F89" i="99"/>
  <c r="E89" i="99"/>
  <c r="CI88" i="99"/>
  <c r="CD88" i="99"/>
  <c r="CA88" i="99"/>
  <c r="K88" i="99"/>
  <c r="H88" i="99"/>
  <c r="CI87" i="99"/>
  <c r="CD87" i="99"/>
  <c r="CA87" i="99"/>
  <c r="K87" i="99"/>
  <c r="H87" i="99"/>
  <c r="CI86" i="99"/>
  <c r="CD86" i="99"/>
  <c r="CA86" i="99"/>
  <c r="K86" i="99"/>
  <c r="H86" i="99"/>
  <c r="J84" i="99"/>
  <c r="I84" i="99"/>
  <c r="G84" i="99"/>
  <c r="F84" i="99"/>
  <c r="E84" i="99"/>
  <c r="CI83" i="99"/>
  <c r="CC83" i="99"/>
  <c r="CB83" i="99"/>
  <c r="K83" i="99"/>
  <c r="H83" i="99"/>
  <c r="CI82" i="99"/>
  <c r="CC82" i="99"/>
  <c r="CB82" i="99"/>
  <c r="K82" i="99"/>
  <c r="H82" i="99"/>
  <c r="CI81" i="99"/>
  <c r="CI10" i="99" s="1"/>
  <c r="CC81" i="99"/>
  <c r="CB81" i="99"/>
  <c r="K81" i="99"/>
  <c r="H81" i="99"/>
  <c r="CE76" i="99"/>
  <c r="CE10" i="99" s="1"/>
  <c r="K73" i="99"/>
  <c r="H73" i="99"/>
  <c r="I72" i="99"/>
  <c r="F72" i="99"/>
  <c r="E72" i="99"/>
  <c r="K71" i="99"/>
  <c r="H71" i="99"/>
  <c r="J68" i="99"/>
  <c r="I68" i="99"/>
  <c r="G68" i="99"/>
  <c r="F68" i="99"/>
  <c r="E68" i="99"/>
  <c r="CC66" i="99"/>
  <c r="CB66" i="99"/>
  <c r="K66" i="99"/>
  <c r="H66" i="99"/>
  <c r="K64" i="99"/>
  <c r="H64" i="99"/>
  <c r="CD62" i="99"/>
  <c r="CA62" i="99"/>
  <c r="K62" i="99"/>
  <c r="H62" i="99"/>
  <c r="CD61" i="99"/>
  <c r="CA61" i="99"/>
  <c r="K61" i="99"/>
  <c r="H61" i="99"/>
  <c r="CD60" i="99"/>
  <c r="CA60" i="99"/>
  <c r="K60" i="99"/>
  <c r="H60" i="99"/>
  <c r="CD59" i="99"/>
  <c r="CA59" i="99"/>
  <c r="K59" i="99"/>
  <c r="H59" i="99"/>
  <c r="CD58" i="99"/>
  <c r="CA58" i="99"/>
  <c r="K58" i="99"/>
  <c r="H58" i="99"/>
  <c r="CC57" i="99"/>
  <c r="CB57" i="99"/>
  <c r="K57" i="99"/>
  <c r="H57" i="99"/>
  <c r="CC56" i="99"/>
  <c r="CB56" i="99"/>
  <c r="K56" i="99"/>
  <c r="H56" i="99"/>
  <c r="CC55" i="99"/>
  <c r="CB55" i="99"/>
  <c r="K55" i="99"/>
  <c r="H55" i="99"/>
  <c r="CC54" i="99"/>
  <c r="CB54" i="99"/>
  <c r="K54" i="99"/>
  <c r="H54" i="99"/>
  <c r="CC53" i="99"/>
  <c r="CB53" i="99"/>
  <c r="K53" i="99"/>
  <c r="H53" i="99"/>
  <c r="CD52" i="99"/>
  <c r="CA52" i="99"/>
  <c r="K52" i="99"/>
  <c r="H52" i="99"/>
  <c r="CD51" i="99"/>
  <c r="CA51" i="99"/>
  <c r="K51" i="99"/>
  <c r="H51" i="99"/>
  <c r="CC50" i="99"/>
  <c r="CB50" i="99"/>
  <c r="K50" i="99"/>
  <c r="H50" i="99"/>
  <c r="CC49" i="99"/>
  <c r="CB49" i="99"/>
  <c r="K49" i="99"/>
  <c r="H49" i="99"/>
  <c r="CD48" i="99"/>
  <c r="CA48" i="99"/>
  <c r="K48" i="99"/>
  <c r="H48" i="99"/>
  <c r="CC47" i="99"/>
  <c r="CB47" i="99"/>
  <c r="K47" i="99"/>
  <c r="H47" i="99"/>
  <c r="J44" i="99"/>
  <c r="I44" i="99"/>
  <c r="G44" i="99"/>
  <c r="F44" i="99"/>
  <c r="E44" i="99"/>
  <c r="CP43" i="99"/>
  <c r="CO43" i="99"/>
  <c r="CM43" i="99"/>
  <c r="CL43" i="99"/>
  <c r="CC43" i="99"/>
  <c r="CB43" i="99"/>
  <c r="K43" i="99"/>
  <c r="H43" i="99"/>
  <c r="K42" i="99"/>
  <c r="H42" i="99"/>
  <c r="K41" i="99"/>
  <c r="H41" i="99"/>
  <c r="CP40" i="99"/>
  <c r="CO40" i="99"/>
  <c r="CN40" i="99"/>
  <c r="CM40" i="99"/>
  <c r="CL40" i="99"/>
  <c r="CC40" i="99"/>
  <c r="CB40" i="99"/>
  <c r="K40" i="99"/>
  <c r="H40" i="99"/>
  <c r="CC39" i="99"/>
  <c r="CB39" i="99"/>
  <c r="K39" i="99"/>
  <c r="H39" i="99"/>
  <c r="CC38" i="99"/>
  <c r="CB38" i="99"/>
  <c r="K38" i="99"/>
  <c r="H38" i="99"/>
  <c r="CC37" i="99"/>
  <c r="CB37" i="99"/>
  <c r="K37" i="99"/>
  <c r="H37" i="99"/>
  <c r="CC36" i="99"/>
  <c r="CB36" i="99"/>
  <c r="K36" i="99"/>
  <c r="H36" i="99"/>
  <c r="CD35" i="99"/>
  <c r="CA35" i="99"/>
  <c r="K35" i="99"/>
  <c r="H35" i="99"/>
  <c r="CD34" i="99"/>
  <c r="CA34" i="99"/>
  <c r="K34" i="99"/>
  <c r="H34" i="99"/>
  <c r="CD33" i="99"/>
  <c r="CA33" i="99"/>
  <c r="K33" i="99"/>
  <c r="H33" i="99"/>
  <c r="CD32" i="99"/>
  <c r="CA32" i="99"/>
  <c r="K32" i="99"/>
  <c r="H32" i="99"/>
  <c r="K31" i="99"/>
  <c r="H31" i="99"/>
  <c r="CC30" i="99"/>
  <c r="CB30" i="99"/>
  <c r="K30" i="99"/>
  <c r="H30" i="99"/>
  <c r="J28" i="99"/>
  <c r="J45" i="99" s="1"/>
  <c r="I28" i="99"/>
  <c r="I45" i="99" s="1"/>
  <c r="G28" i="99"/>
  <c r="G45" i="99" s="1"/>
  <c r="F28" i="99"/>
  <c r="F45" i="99" s="1"/>
  <c r="E28" i="99"/>
  <c r="E45" i="99" s="1"/>
  <c r="K27" i="99"/>
  <c r="H27" i="99"/>
  <c r="CD26" i="99"/>
  <c r="CA26" i="99"/>
  <c r="K26" i="99"/>
  <c r="H26" i="99"/>
  <c r="K25" i="99"/>
  <c r="H25" i="99"/>
  <c r="K24" i="99"/>
  <c r="H24" i="99"/>
  <c r="K23" i="99"/>
  <c r="H23" i="99"/>
  <c r="K22" i="99"/>
  <c r="H22" i="99"/>
  <c r="K21" i="99"/>
  <c r="H21" i="99"/>
  <c r="K20" i="99"/>
  <c r="H20" i="99"/>
  <c r="K19" i="99"/>
  <c r="H19" i="99"/>
  <c r="CD18" i="99"/>
  <c r="CA18" i="99"/>
  <c r="K18" i="99"/>
  <c r="H18" i="99"/>
  <c r="CD16" i="99"/>
  <c r="CA16" i="99"/>
  <c r="K16" i="99"/>
  <c r="H16" i="99"/>
  <c r="CD15" i="99"/>
  <c r="CA15" i="99"/>
  <c r="K15" i="99"/>
  <c r="H15" i="99"/>
  <c r="K14" i="99"/>
  <c r="H14" i="99"/>
  <c r="K13" i="99"/>
  <c r="H13" i="99"/>
  <c r="CB12" i="99"/>
  <c r="K12" i="99"/>
  <c r="H12" i="99"/>
  <c r="K11" i="99"/>
  <c r="H11" i="99"/>
  <c r="CB6" i="99"/>
  <c r="CB81" i="98"/>
  <c r="G80" i="98"/>
  <c r="F80" i="98"/>
  <c r="E80" i="98"/>
  <c r="CB79" i="98"/>
  <c r="CB78" i="98"/>
  <c r="CB77" i="98"/>
  <c r="CB76" i="98"/>
  <c r="G75" i="98"/>
  <c r="F75" i="98"/>
  <c r="E75" i="98"/>
  <c r="CA69" i="98"/>
  <c r="CB68" i="98"/>
  <c r="CA67" i="98"/>
  <c r="CA66" i="98"/>
  <c r="CA65" i="98"/>
  <c r="CA64" i="98"/>
  <c r="R59" i="98"/>
  <c r="Q59" i="98"/>
  <c r="E59" i="98"/>
  <c r="R57" i="98"/>
  <c r="Q57" i="98"/>
  <c r="CI31" i="98" s="1"/>
  <c r="P57" i="98"/>
  <c r="O57" i="98"/>
  <c r="N57" i="98"/>
  <c r="CH31" i="98" s="1"/>
  <c r="M57" i="98"/>
  <c r="L57" i="98"/>
  <c r="K57" i="98"/>
  <c r="CG31" i="98" s="1"/>
  <c r="J57" i="98"/>
  <c r="I57" i="98"/>
  <c r="H57" i="98"/>
  <c r="G57" i="98"/>
  <c r="F57" i="98"/>
  <c r="E57" i="98"/>
  <c r="CE31" i="98" s="1"/>
  <c r="CB55" i="98"/>
  <c r="R50" i="98"/>
  <c r="Q50" i="98"/>
  <c r="P50" i="98"/>
  <c r="O50" i="98"/>
  <c r="N50" i="98"/>
  <c r="M50" i="98"/>
  <c r="L50" i="98"/>
  <c r="K50" i="98"/>
  <c r="J50" i="98"/>
  <c r="I50" i="98"/>
  <c r="H50" i="98"/>
  <c r="G50" i="98"/>
  <c r="F50" i="98"/>
  <c r="E50" i="98"/>
  <c r="CA49" i="98"/>
  <c r="CA48" i="98"/>
  <c r="CA47" i="98"/>
  <c r="CA46" i="98"/>
  <c r="CA45" i="98"/>
  <c r="CA44" i="98"/>
  <c r="CA43" i="98"/>
  <c r="CA42" i="98"/>
  <c r="CA41" i="98"/>
  <c r="R37" i="98"/>
  <c r="Q37" i="98"/>
  <c r="P37" i="98"/>
  <c r="O37" i="98"/>
  <c r="N37" i="98"/>
  <c r="M37" i="98"/>
  <c r="L37" i="98"/>
  <c r="K37" i="98"/>
  <c r="J37" i="98"/>
  <c r="I37" i="98"/>
  <c r="H37" i="98"/>
  <c r="G37" i="98"/>
  <c r="F37" i="98"/>
  <c r="E37" i="98"/>
  <c r="CA36" i="98"/>
  <c r="CA35" i="98"/>
  <c r="CA34" i="98"/>
  <c r="CA33" i="98"/>
  <c r="CA32" i="98"/>
  <c r="CJ31" i="98"/>
  <c r="CF31" i="98"/>
  <c r="CA31" i="98"/>
  <c r="CA30" i="98"/>
  <c r="CE29" i="98"/>
  <c r="CA29" i="98"/>
  <c r="CA28" i="98"/>
  <c r="CS27" i="98"/>
  <c r="CR27" i="98"/>
  <c r="CQ27" i="98"/>
  <c r="CP27" i="98"/>
  <c r="CO27" i="98"/>
  <c r="CN27" i="98"/>
  <c r="CM27" i="98"/>
  <c r="CL27" i="98"/>
  <c r="CK27" i="98"/>
  <c r="CJ27" i="98"/>
  <c r="CI27" i="98"/>
  <c r="CH27" i="98"/>
  <c r="CG27" i="98"/>
  <c r="CF27" i="98"/>
  <c r="CE27" i="98"/>
  <c r="CB24" i="98"/>
  <c r="R23" i="98"/>
  <c r="R25" i="98" s="1"/>
  <c r="Q23" i="98"/>
  <c r="Q25" i="98" s="1"/>
  <c r="P23" i="98"/>
  <c r="P25" i="98" s="1"/>
  <c r="O23" i="98"/>
  <c r="O25" i="98" s="1"/>
  <c r="N23" i="98"/>
  <c r="N25" i="98" s="1"/>
  <c r="M23" i="98"/>
  <c r="M25" i="98" s="1"/>
  <c r="L23" i="98"/>
  <c r="L25" i="98" s="1"/>
  <c r="K23" i="98"/>
  <c r="K25" i="98" s="1"/>
  <c r="J23" i="98"/>
  <c r="J25" i="98" s="1"/>
  <c r="I23" i="98"/>
  <c r="I25" i="98" s="1"/>
  <c r="H23" i="98"/>
  <c r="H25" i="98" s="1"/>
  <c r="G23" i="98"/>
  <c r="G25" i="98" s="1"/>
  <c r="F23" i="98"/>
  <c r="F25" i="98" s="1"/>
  <c r="E23" i="98"/>
  <c r="E25" i="98" s="1"/>
  <c r="CB22" i="98"/>
  <c r="CB21" i="98"/>
  <c r="CB20" i="98"/>
  <c r="CB19" i="98"/>
  <c r="CB18" i="98"/>
  <c r="R16" i="98"/>
  <c r="Q16" i="98"/>
  <c r="P16" i="98"/>
  <c r="O16" i="98"/>
  <c r="N16" i="98"/>
  <c r="M16" i="98"/>
  <c r="L16" i="98"/>
  <c r="K16" i="98"/>
  <c r="J16" i="98"/>
  <c r="I16" i="98"/>
  <c r="H16" i="98"/>
  <c r="G16" i="98"/>
  <c r="F16" i="98"/>
  <c r="E16" i="98"/>
  <c r="CB15" i="98"/>
  <c r="CB14" i="98"/>
  <c r="CB13" i="98"/>
  <c r="CB12" i="98"/>
  <c r="CB11" i="98"/>
  <c r="CB5" i="98"/>
  <c r="BA1" i="98"/>
  <c r="BB69" i="98" s="1"/>
  <c r="CC91" i="97"/>
  <c r="CB91" i="97"/>
  <c r="CG90" i="97"/>
  <c r="CG8" i="97" s="1"/>
  <c r="K90" i="97"/>
  <c r="CE87" i="97"/>
  <c r="CE8" i="97" s="1"/>
  <c r="CA87" i="97"/>
  <c r="K87" i="97"/>
  <c r="H87" i="97"/>
  <c r="K85" i="97"/>
  <c r="H85" i="97"/>
  <c r="CC84" i="97"/>
  <c r="CB84" i="97"/>
  <c r="K84" i="97"/>
  <c r="H84" i="97"/>
  <c r="J83" i="97"/>
  <c r="J52" i="97" s="1"/>
  <c r="I83" i="97"/>
  <c r="I52" i="97" s="1"/>
  <c r="G83" i="97"/>
  <c r="F83" i="97"/>
  <c r="F52" i="97" s="1"/>
  <c r="E83" i="97"/>
  <c r="E52" i="97" s="1"/>
  <c r="CD82" i="97"/>
  <c r="CA82" i="97"/>
  <c r="K82" i="97"/>
  <c r="H82" i="97"/>
  <c r="CC81" i="97"/>
  <c r="CB81" i="97"/>
  <c r="K81" i="97"/>
  <c r="K83" i="97" s="1"/>
  <c r="H81" i="97"/>
  <c r="H83" i="97" s="1"/>
  <c r="CB75" i="97"/>
  <c r="K75" i="97"/>
  <c r="H75" i="97"/>
  <c r="CO73" i="97"/>
  <c r="CL73" i="97"/>
  <c r="CK73" i="97"/>
  <c r="J73" i="97"/>
  <c r="K73" i="97" s="1"/>
  <c r="G73" i="97"/>
  <c r="H73" i="97" s="1"/>
  <c r="K72" i="97"/>
  <c r="H72" i="97"/>
  <c r="K71" i="97"/>
  <c r="H71" i="97"/>
  <c r="J70" i="97"/>
  <c r="CP66" i="97" s="1"/>
  <c r="I70" i="97"/>
  <c r="CO66" i="97" s="1"/>
  <c r="G70" i="97"/>
  <c r="CM66" i="97" s="1"/>
  <c r="F70" i="97"/>
  <c r="CL66" i="97" s="1"/>
  <c r="E70" i="97"/>
  <c r="CK66" i="97" s="1"/>
  <c r="J69" i="97"/>
  <c r="K69" i="97" s="1"/>
  <c r="G69" i="97"/>
  <c r="J67" i="97"/>
  <c r="K67" i="97" s="1"/>
  <c r="G67" i="97"/>
  <c r="J66" i="97"/>
  <c r="K66" i="97" s="1"/>
  <c r="G66" i="97"/>
  <c r="J65" i="97"/>
  <c r="CP73" i="97" s="1"/>
  <c r="G65" i="97"/>
  <c r="CM73" i="97" s="1"/>
  <c r="CB64" i="97"/>
  <c r="K64" i="97"/>
  <c r="H64" i="97"/>
  <c r="CB63" i="97"/>
  <c r="K63" i="97"/>
  <c r="H63" i="97"/>
  <c r="J53" i="97"/>
  <c r="K53" i="97" s="1"/>
  <c r="G53" i="97"/>
  <c r="H53" i="97" s="1"/>
  <c r="G52" i="97"/>
  <c r="K51" i="97"/>
  <c r="H51" i="97"/>
  <c r="J50" i="97"/>
  <c r="I50" i="97"/>
  <c r="G50" i="97"/>
  <c r="F50" i="97"/>
  <c r="E50" i="97"/>
  <c r="K49" i="97"/>
  <c r="H49" i="97"/>
  <c r="K48" i="97"/>
  <c r="H48" i="97"/>
  <c r="J47" i="97"/>
  <c r="K47" i="97" s="1"/>
  <c r="G47" i="97"/>
  <c r="H47" i="97" s="1"/>
  <c r="K23" i="97"/>
  <c r="H23" i="97"/>
  <c r="K21" i="97"/>
  <c r="H21" i="97"/>
  <c r="CD20" i="97"/>
  <c r="CA20" i="97"/>
  <c r="K20" i="97"/>
  <c r="H20" i="97"/>
  <c r="CD17" i="97"/>
  <c r="CA17" i="97"/>
  <c r="K17" i="97"/>
  <c r="H17" i="97"/>
  <c r="K16" i="97"/>
  <c r="H16" i="97"/>
  <c r="CC15" i="97"/>
  <c r="CB15" i="97"/>
  <c r="K15" i="97"/>
  <c r="H15" i="97"/>
  <c r="J14" i="97"/>
  <c r="J19" i="97" s="1"/>
  <c r="J22" i="97" s="1"/>
  <c r="I14" i="97"/>
  <c r="I19" i="97" s="1"/>
  <c r="I22" i="97" s="1"/>
  <c r="G14" i="97"/>
  <c r="G19" i="97" s="1"/>
  <c r="G22" i="97" s="1"/>
  <c r="F14" i="97"/>
  <c r="F19" i="97" s="1"/>
  <c r="F22" i="97" s="1"/>
  <c r="E14" i="97"/>
  <c r="E19" i="97" s="1"/>
  <c r="E22" i="97" s="1"/>
  <c r="CC13" i="97"/>
  <c r="CB13" i="97"/>
  <c r="K13" i="97"/>
  <c r="H13" i="97"/>
  <c r="CC12" i="97"/>
  <c r="CB12" i="97"/>
  <c r="K12" i="97"/>
  <c r="H12" i="97"/>
  <c r="CD11" i="97"/>
  <c r="CA11" i="97"/>
  <c r="K11" i="97"/>
  <c r="H11" i="97"/>
  <c r="CD10" i="97"/>
  <c r="CA10" i="97"/>
  <c r="K10" i="97"/>
  <c r="H10" i="97"/>
  <c r="H14" i="97" s="1"/>
  <c r="CF8" i="97"/>
  <c r="CB6" i="97"/>
  <c r="S86" i="96"/>
  <c r="R86" i="96"/>
  <c r="Q86" i="96"/>
  <c r="P86" i="96"/>
  <c r="O86" i="96"/>
  <c r="N86" i="96"/>
  <c r="M86" i="96"/>
  <c r="L86" i="96"/>
  <c r="K86" i="96"/>
  <c r="J86" i="96"/>
  <c r="I86" i="96"/>
  <c r="H86" i="96"/>
  <c r="G86" i="96"/>
  <c r="E86" i="96"/>
  <c r="CB85" i="96"/>
  <c r="F85" i="96"/>
  <c r="CA84" i="96"/>
  <c r="F84" i="96"/>
  <c r="CG75" i="96"/>
  <c r="CF75" i="96"/>
  <c r="CE75" i="96"/>
  <c r="CB75" i="96"/>
  <c r="F75" i="96"/>
  <c r="S73" i="96"/>
  <c r="R73" i="96"/>
  <c r="Q73" i="96"/>
  <c r="P73" i="96"/>
  <c r="O73" i="96"/>
  <c r="N73" i="96"/>
  <c r="M73" i="96"/>
  <c r="L73" i="96"/>
  <c r="K73" i="96"/>
  <c r="J73" i="96"/>
  <c r="I73" i="96"/>
  <c r="H73" i="96"/>
  <c r="F73" i="96" s="1"/>
  <c r="G73" i="96"/>
  <c r="E73" i="96"/>
  <c r="F72" i="96"/>
  <c r="CG71" i="96"/>
  <c r="CF71" i="96"/>
  <c r="CE71" i="96"/>
  <c r="F71" i="96"/>
  <c r="CA70" i="96"/>
  <c r="F70" i="96"/>
  <c r="S69" i="96"/>
  <c r="R69" i="96"/>
  <c r="Q69" i="96"/>
  <c r="P69" i="96"/>
  <c r="O69" i="96"/>
  <c r="N69" i="96"/>
  <c r="M69" i="96"/>
  <c r="L69" i="96"/>
  <c r="K69" i="96"/>
  <c r="J69" i="96"/>
  <c r="I69" i="96"/>
  <c r="H69" i="96"/>
  <c r="G69" i="96"/>
  <c r="E69" i="96"/>
  <c r="S67" i="96"/>
  <c r="R67" i="96"/>
  <c r="Q67" i="96"/>
  <c r="P67" i="96"/>
  <c r="O67" i="96"/>
  <c r="N67" i="96"/>
  <c r="M67" i="96"/>
  <c r="L67" i="96"/>
  <c r="K67" i="96"/>
  <c r="J67" i="96"/>
  <c r="I67" i="96"/>
  <c r="H67" i="96"/>
  <c r="G67" i="96"/>
  <c r="E67" i="96"/>
  <c r="S66" i="96"/>
  <c r="R66" i="96"/>
  <c r="Q66" i="96"/>
  <c r="P66" i="96"/>
  <c r="O66" i="96"/>
  <c r="N66" i="96"/>
  <c r="M66" i="96"/>
  <c r="L66" i="96"/>
  <c r="K66" i="96"/>
  <c r="J66" i="96"/>
  <c r="I66" i="96"/>
  <c r="H66" i="96"/>
  <c r="G66" i="96"/>
  <c r="E66" i="96"/>
  <c r="F65" i="96"/>
  <c r="CB64" i="96"/>
  <c r="F64" i="96"/>
  <c r="CB63" i="96"/>
  <c r="F63" i="96"/>
  <c r="CG53" i="96"/>
  <c r="CE53" i="96"/>
  <c r="S53" i="96"/>
  <c r="R53" i="96"/>
  <c r="Q53" i="96"/>
  <c r="P53" i="96"/>
  <c r="O53" i="96"/>
  <c r="N53" i="96"/>
  <c r="M53" i="96"/>
  <c r="L53" i="96"/>
  <c r="K53" i="96"/>
  <c r="J53" i="96"/>
  <c r="I53" i="96"/>
  <c r="H53" i="96"/>
  <c r="G53" i="96"/>
  <c r="E53" i="96"/>
  <c r="F52" i="96"/>
  <c r="F51" i="96"/>
  <c r="S50" i="96"/>
  <c r="R50" i="96"/>
  <c r="Q50" i="96"/>
  <c r="P50" i="96"/>
  <c r="O50" i="96"/>
  <c r="N50" i="96"/>
  <c r="M50" i="96"/>
  <c r="L50" i="96"/>
  <c r="K50" i="96"/>
  <c r="J50" i="96"/>
  <c r="I50" i="96"/>
  <c r="H50" i="96"/>
  <c r="G50" i="96"/>
  <c r="E50" i="96"/>
  <c r="F49" i="96"/>
  <c r="F48" i="96"/>
  <c r="E47" i="96"/>
  <c r="F21" i="96"/>
  <c r="CA20" i="96"/>
  <c r="F20" i="96"/>
  <c r="CA17" i="96"/>
  <c r="F17" i="96"/>
  <c r="S16" i="96"/>
  <c r="R16" i="96"/>
  <c r="Q16" i="96"/>
  <c r="P16" i="96"/>
  <c r="O16" i="96"/>
  <c r="N16" i="96"/>
  <c r="M16" i="96"/>
  <c r="L16" i="96"/>
  <c r="K16" i="96"/>
  <c r="J16" i="96"/>
  <c r="I16" i="96"/>
  <c r="H16" i="96"/>
  <c r="G16" i="96"/>
  <c r="E16" i="96"/>
  <c r="CB15" i="96"/>
  <c r="F15" i="96"/>
  <c r="S14" i="96"/>
  <c r="S19" i="96" s="1"/>
  <c r="S22" i="96" s="1"/>
  <c r="R14" i="96"/>
  <c r="R19" i="96" s="1"/>
  <c r="R22" i="96" s="1"/>
  <c r="Q14" i="96"/>
  <c r="Q19" i="96" s="1"/>
  <c r="Q22" i="96" s="1"/>
  <c r="P14" i="96"/>
  <c r="P19" i="96" s="1"/>
  <c r="P22" i="96" s="1"/>
  <c r="O14" i="96"/>
  <c r="O19" i="96" s="1"/>
  <c r="O22" i="96" s="1"/>
  <c r="N14" i="96"/>
  <c r="N19" i="96" s="1"/>
  <c r="N22" i="96" s="1"/>
  <c r="M14" i="96"/>
  <c r="M19" i="96" s="1"/>
  <c r="M22" i="96" s="1"/>
  <c r="L14" i="96"/>
  <c r="L19" i="96" s="1"/>
  <c r="L22" i="96" s="1"/>
  <c r="K14" i="96"/>
  <c r="K19" i="96" s="1"/>
  <c r="K22" i="96" s="1"/>
  <c r="J14" i="96"/>
  <c r="J19" i="96" s="1"/>
  <c r="J22" i="96" s="1"/>
  <c r="I14" i="96"/>
  <c r="I19" i="96" s="1"/>
  <c r="I22" i="96" s="1"/>
  <c r="H14" i="96"/>
  <c r="H19" i="96" s="1"/>
  <c r="H22" i="96" s="1"/>
  <c r="G14" i="96"/>
  <c r="G19" i="96" s="1"/>
  <c r="E14" i="96"/>
  <c r="F13" i="96"/>
  <c r="CG12" i="96"/>
  <c r="CF12" i="96"/>
  <c r="CE12" i="96"/>
  <c r="F12" i="96"/>
  <c r="F11" i="96"/>
  <c r="CI10" i="96"/>
  <c r="CH10" i="96"/>
  <c r="CG10" i="96"/>
  <c r="CF10" i="96"/>
  <c r="CE10" i="96"/>
  <c r="F10" i="96"/>
  <c r="CI9" i="96"/>
  <c r="CH9" i="96"/>
  <c r="CG9" i="96"/>
  <c r="CF9" i="96"/>
  <c r="CE9" i="96"/>
  <c r="CB5" i="96"/>
  <c r="BA1" i="96"/>
  <c r="J68" i="95"/>
  <c r="J67" i="95"/>
  <c r="J66" i="95"/>
  <c r="J65" i="95"/>
  <c r="J61" i="95"/>
  <c r="J60" i="95"/>
  <c r="G60" i="95"/>
  <c r="J59" i="95"/>
  <c r="G59" i="95"/>
  <c r="J58" i="95"/>
  <c r="G58" i="95"/>
  <c r="J57" i="95"/>
  <c r="G57" i="95"/>
  <c r="J56" i="95"/>
  <c r="G56" i="95"/>
  <c r="J47" i="95"/>
  <c r="G47" i="95"/>
  <c r="J46" i="95"/>
  <c r="G46" i="95"/>
  <c r="J45" i="95"/>
  <c r="J44" i="95"/>
  <c r="G44" i="95"/>
  <c r="J43" i="95"/>
  <c r="G43" i="95"/>
  <c r="J42" i="95"/>
  <c r="G42" i="95"/>
  <c r="I39" i="95"/>
  <c r="H39" i="95"/>
  <c r="F39" i="95"/>
  <c r="E39" i="95"/>
  <c r="J38" i="95"/>
  <c r="G38" i="95"/>
  <c r="J37" i="95"/>
  <c r="G37" i="95"/>
  <c r="J36" i="95"/>
  <c r="G36" i="95"/>
  <c r="J35" i="95"/>
  <c r="G35" i="95"/>
  <c r="J34" i="95"/>
  <c r="G34" i="95"/>
  <c r="I24" i="95"/>
  <c r="H24" i="95"/>
  <c r="F24" i="95"/>
  <c r="E24" i="95"/>
  <c r="D24" i="95"/>
  <c r="J23" i="95"/>
  <c r="G23" i="95"/>
  <c r="I20" i="95"/>
  <c r="H20" i="95"/>
  <c r="F20" i="95"/>
  <c r="E20" i="95"/>
  <c r="D20" i="95"/>
  <c r="J19" i="95"/>
  <c r="G19" i="95"/>
  <c r="J18" i="95"/>
  <c r="G18" i="95"/>
  <c r="I17" i="95"/>
  <c r="H17" i="95"/>
  <c r="F17" i="95"/>
  <c r="E17" i="95"/>
  <c r="D17" i="95"/>
  <c r="I14" i="95"/>
  <c r="H14" i="95"/>
  <c r="F14" i="95"/>
  <c r="E14" i="95"/>
  <c r="D14" i="95"/>
  <c r="J13" i="95"/>
  <c r="J17" i="95" s="1"/>
  <c r="G13" i="95"/>
  <c r="G17" i="95" s="1"/>
  <c r="J12" i="95"/>
  <c r="G12" i="95"/>
  <c r="CK134" i="94"/>
  <c r="CK133" i="94"/>
  <c r="CK132" i="94"/>
  <c r="CK131" i="94"/>
  <c r="CK130" i="94"/>
  <c r="P130" i="94"/>
  <c r="O130" i="94"/>
  <c r="M130" i="94"/>
  <c r="L130" i="94"/>
  <c r="J130" i="94"/>
  <c r="I130" i="94"/>
  <c r="G130" i="94"/>
  <c r="F130" i="94"/>
  <c r="CK129" i="94"/>
  <c r="N129" i="94"/>
  <c r="K129" i="94"/>
  <c r="H129" i="94"/>
  <c r="E129" i="94"/>
  <c r="CK128" i="94"/>
  <c r="N128" i="94"/>
  <c r="K128" i="94"/>
  <c r="H128" i="94"/>
  <c r="E128" i="94"/>
  <c r="CK127" i="94"/>
  <c r="N127" i="94"/>
  <c r="K127" i="94"/>
  <c r="H127" i="94"/>
  <c r="E127" i="94"/>
  <c r="CK126" i="94"/>
  <c r="N126" i="94"/>
  <c r="K126" i="94"/>
  <c r="H126" i="94"/>
  <c r="E126" i="94"/>
  <c r="CK118" i="94"/>
  <c r="K117" i="94"/>
  <c r="I117" i="94"/>
  <c r="G117" i="94"/>
  <c r="E117" i="94"/>
  <c r="K116" i="94"/>
  <c r="K118" i="94" s="1"/>
  <c r="I116" i="94"/>
  <c r="I118" i="94" s="1"/>
  <c r="G116" i="94"/>
  <c r="G118" i="94" s="1"/>
  <c r="E116" i="94"/>
  <c r="E118" i="94" s="1"/>
  <c r="J109" i="94"/>
  <c r="H109" i="94"/>
  <c r="G109" i="94"/>
  <c r="CC108" i="94"/>
  <c r="K108" i="94"/>
  <c r="CH108" i="94" s="1"/>
  <c r="I108" i="94"/>
  <c r="CC107" i="94"/>
  <c r="K107" i="94"/>
  <c r="CH107" i="94" s="1"/>
  <c r="I107" i="94"/>
  <c r="CC106" i="94"/>
  <c r="K106" i="94"/>
  <c r="CH106" i="94" s="1"/>
  <c r="I106" i="94"/>
  <c r="CC105" i="94"/>
  <c r="K105" i="94"/>
  <c r="CH105" i="94" s="1"/>
  <c r="I105" i="94"/>
  <c r="CC104" i="94"/>
  <c r="K104" i="94"/>
  <c r="CH104" i="94" s="1"/>
  <c r="I104" i="94"/>
  <c r="CC103" i="94"/>
  <c r="K103" i="94"/>
  <c r="CH103" i="94" s="1"/>
  <c r="I103" i="94"/>
  <c r="CC102" i="94"/>
  <c r="K102" i="94"/>
  <c r="CH102" i="94" s="1"/>
  <c r="I102" i="94"/>
  <c r="CC101" i="94"/>
  <c r="K101" i="94"/>
  <c r="CH101" i="94" s="1"/>
  <c r="I101" i="94"/>
  <c r="CC100" i="94"/>
  <c r="K100" i="94"/>
  <c r="CH100" i="94" s="1"/>
  <c r="I100" i="94"/>
  <c r="CC99" i="94"/>
  <c r="K99" i="94"/>
  <c r="CH99" i="94" s="1"/>
  <c r="I99" i="94"/>
  <c r="CC98" i="94"/>
  <c r="K98" i="94"/>
  <c r="CH98" i="94" s="1"/>
  <c r="I98" i="94"/>
  <c r="CC97" i="94"/>
  <c r="K97" i="94"/>
  <c r="CH97" i="94" s="1"/>
  <c r="I97" i="94"/>
  <c r="CC96" i="94"/>
  <c r="K96" i="94"/>
  <c r="CH96" i="94" s="1"/>
  <c r="I96" i="94"/>
  <c r="CC95" i="94"/>
  <c r="K95" i="94"/>
  <c r="CH95" i="94" s="1"/>
  <c r="I95" i="94"/>
  <c r="CC94" i="94"/>
  <c r="K94" i="94"/>
  <c r="CH94" i="94" s="1"/>
  <c r="I94" i="94"/>
  <c r="CC93" i="94"/>
  <c r="K93" i="94"/>
  <c r="CH93" i="94" s="1"/>
  <c r="I93" i="94"/>
  <c r="CC92" i="94"/>
  <c r="K92" i="94"/>
  <c r="CH92" i="94" s="1"/>
  <c r="I92" i="94"/>
  <c r="CC91" i="94"/>
  <c r="K91" i="94"/>
  <c r="CH91" i="94" s="1"/>
  <c r="I91" i="94"/>
  <c r="CC90" i="94"/>
  <c r="K90" i="94"/>
  <c r="CH90" i="94" s="1"/>
  <c r="I90" i="94"/>
  <c r="CC89" i="94"/>
  <c r="K89" i="94"/>
  <c r="CH89" i="94" s="1"/>
  <c r="I89" i="94"/>
  <c r="CC88" i="94"/>
  <c r="K88" i="94"/>
  <c r="CH88" i="94" s="1"/>
  <c r="I88" i="94"/>
  <c r="CC87" i="94"/>
  <c r="K87" i="94"/>
  <c r="CH87" i="94" s="1"/>
  <c r="I87" i="94"/>
  <c r="CC86" i="94"/>
  <c r="K86" i="94"/>
  <c r="CH86" i="94" s="1"/>
  <c r="I86" i="94"/>
  <c r="CC85" i="94"/>
  <c r="K85" i="94"/>
  <c r="CH85" i="94" s="1"/>
  <c r="I85" i="94"/>
  <c r="CC84" i="94"/>
  <c r="K84" i="94"/>
  <c r="CH84" i="94" s="1"/>
  <c r="I84" i="94"/>
  <c r="CC83" i="94"/>
  <c r="K83" i="94"/>
  <c r="CH83" i="94" s="1"/>
  <c r="I83" i="94"/>
  <c r="CC82" i="94"/>
  <c r="K82" i="94"/>
  <c r="CH82" i="94" s="1"/>
  <c r="I82" i="94"/>
  <c r="CC80" i="94"/>
  <c r="K80" i="94"/>
  <c r="CH80" i="94" s="1"/>
  <c r="I80" i="94"/>
  <c r="CC79" i="94"/>
  <c r="K79" i="94"/>
  <c r="CH79" i="94" s="1"/>
  <c r="I79" i="94"/>
  <c r="CC78" i="94"/>
  <c r="K78" i="94"/>
  <c r="CH78" i="94" s="1"/>
  <c r="I78" i="94"/>
  <c r="CC77" i="94"/>
  <c r="K77" i="94"/>
  <c r="CH77" i="94" s="1"/>
  <c r="I77" i="94"/>
  <c r="CC76" i="94"/>
  <c r="K76" i="94"/>
  <c r="CH76" i="94" s="1"/>
  <c r="I76" i="94"/>
  <c r="CC75" i="94"/>
  <c r="K75" i="94"/>
  <c r="CH75" i="94" s="1"/>
  <c r="I75" i="94"/>
  <c r="CC74" i="94"/>
  <c r="K74" i="94"/>
  <c r="CH74" i="94" s="1"/>
  <c r="I74" i="94"/>
  <c r="CC73" i="94"/>
  <c r="K73" i="94"/>
  <c r="CH73" i="94" s="1"/>
  <c r="I73" i="94"/>
  <c r="CC72" i="94"/>
  <c r="K72" i="94"/>
  <c r="CH72" i="94" s="1"/>
  <c r="I72" i="94"/>
  <c r="CC71" i="94"/>
  <c r="K71" i="94"/>
  <c r="CH71" i="94" s="1"/>
  <c r="I71" i="94"/>
  <c r="CC70" i="94"/>
  <c r="K70" i="94"/>
  <c r="CH70" i="94" s="1"/>
  <c r="I70" i="94"/>
  <c r="CC69" i="94"/>
  <c r="K69" i="94"/>
  <c r="CH69" i="94" s="1"/>
  <c r="I69" i="94"/>
  <c r="CC68" i="94"/>
  <c r="K68" i="94"/>
  <c r="CH68" i="94" s="1"/>
  <c r="I68" i="94"/>
  <c r="CC67" i="94"/>
  <c r="K67" i="94"/>
  <c r="CH67" i="94" s="1"/>
  <c r="I67" i="94"/>
  <c r="CC66" i="94"/>
  <c r="K66" i="94"/>
  <c r="CH66" i="94" s="1"/>
  <c r="I66" i="94"/>
  <c r="CC65" i="94"/>
  <c r="K65" i="94"/>
  <c r="CH65" i="94" s="1"/>
  <c r="I65" i="94"/>
  <c r="CC64" i="94"/>
  <c r="K64" i="94"/>
  <c r="CH64" i="94" s="1"/>
  <c r="I64" i="94"/>
  <c r="CC63" i="94"/>
  <c r="K63" i="94"/>
  <c r="CH63" i="94" s="1"/>
  <c r="I63" i="94"/>
  <c r="CC62" i="94"/>
  <c r="K62" i="94"/>
  <c r="CH62" i="94" s="1"/>
  <c r="I62" i="94"/>
  <c r="CC61" i="94"/>
  <c r="K61" i="94"/>
  <c r="CH61" i="94" s="1"/>
  <c r="I61" i="94"/>
  <c r="CC60" i="94"/>
  <c r="K60" i="94"/>
  <c r="CH60" i="94" s="1"/>
  <c r="I60" i="94"/>
  <c r="CC59" i="94"/>
  <c r="K59" i="94"/>
  <c r="CH59" i="94" s="1"/>
  <c r="I59" i="94"/>
  <c r="CC58" i="94"/>
  <c r="K58" i="94"/>
  <c r="CH58" i="94" s="1"/>
  <c r="I58" i="94"/>
  <c r="CC57" i="94"/>
  <c r="K57" i="94"/>
  <c r="CH57" i="94" s="1"/>
  <c r="I57" i="94"/>
  <c r="CC56" i="94"/>
  <c r="K56" i="94"/>
  <c r="CH56" i="94" s="1"/>
  <c r="I56" i="94"/>
  <c r="CC55" i="94"/>
  <c r="K55" i="94"/>
  <c r="CH55" i="94" s="1"/>
  <c r="I55" i="94"/>
  <c r="CC54" i="94"/>
  <c r="K54" i="94"/>
  <c r="CH54" i="94" s="1"/>
  <c r="I54" i="94"/>
  <c r="CC53" i="94"/>
  <c r="K53" i="94"/>
  <c r="CH53" i="94" s="1"/>
  <c r="I53" i="94"/>
  <c r="CC52" i="94"/>
  <c r="K52" i="94"/>
  <c r="CH52" i="94" s="1"/>
  <c r="I52" i="94"/>
  <c r="CC51" i="94"/>
  <c r="K51" i="94"/>
  <c r="CH51" i="94" s="1"/>
  <c r="I51" i="94"/>
  <c r="CC50" i="94"/>
  <c r="K50" i="94"/>
  <c r="CH50" i="94" s="1"/>
  <c r="I50" i="94"/>
  <c r="CC49" i="94"/>
  <c r="K49" i="94"/>
  <c r="CH49" i="94" s="1"/>
  <c r="I49" i="94"/>
  <c r="CC48" i="94"/>
  <c r="K48" i="94"/>
  <c r="CH48" i="94" s="1"/>
  <c r="I48" i="94"/>
  <c r="CC47" i="94"/>
  <c r="K47" i="94"/>
  <c r="CH47" i="94" s="1"/>
  <c r="I47" i="94"/>
  <c r="CC46" i="94"/>
  <c r="K46" i="94"/>
  <c r="CH46" i="94" s="1"/>
  <c r="I46" i="94"/>
  <c r="CC45" i="94"/>
  <c r="K45" i="94"/>
  <c r="CH45" i="94" s="1"/>
  <c r="I45" i="94"/>
  <c r="CC44" i="94"/>
  <c r="K44" i="94"/>
  <c r="CH44" i="94" s="1"/>
  <c r="I44" i="94"/>
  <c r="CC43" i="94"/>
  <c r="K43" i="94"/>
  <c r="CH43" i="94" s="1"/>
  <c r="I43" i="94"/>
  <c r="CC42" i="94"/>
  <c r="K42" i="94"/>
  <c r="CH42" i="94" s="1"/>
  <c r="I42" i="94"/>
  <c r="CC41" i="94"/>
  <c r="K41" i="94"/>
  <c r="CH41" i="94" s="1"/>
  <c r="I41" i="94"/>
  <c r="CC40" i="94"/>
  <c r="K40" i="94"/>
  <c r="CH40" i="94" s="1"/>
  <c r="I40" i="94"/>
  <c r="CC39" i="94"/>
  <c r="K39" i="94"/>
  <c r="CH39" i="94" s="1"/>
  <c r="I39" i="94"/>
  <c r="CC38" i="94"/>
  <c r="K38" i="94"/>
  <c r="CH38" i="94" s="1"/>
  <c r="I38" i="94"/>
  <c r="CC37" i="94"/>
  <c r="K37" i="94"/>
  <c r="CH37" i="94" s="1"/>
  <c r="I37" i="94"/>
  <c r="CC36" i="94"/>
  <c r="K36" i="94"/>
  <c r="CH36" i="94" s="1"/>
  <c r="I36" i="94"/>
  <c r="CC35" i="94"/>
  <c r="K35" i="94"/>
  <c r="CH35" i="94" s="1"/>
  <c r="I35" i="94"/>
  <c r="CC34" i="94"/>
  <c r="K34" i="94"/>
  <c r="CH34" i="94" s="1"/>
  <c r="I34" i="94"/>
  <c r="CC33" i="94"/>
  <c r="K33" i="94"/>
  <c r="CH33" i="94" s="1"/>
  <c r="I33" i="94"/>
  <c r="CC32" i="94"/>
  <c r="K32" i="94"/>
  <c r="CH32" i="94" s="1"/>
  <c r="I32" i="94"/>
  <c r="CC31" i="94"/>
  <c r="K31" i="94"/>
  <c r="CH31" i="94" s="1"/>
  <c r="I31" i="94"/>
  <c r="CC30" i="94"/>
  <c r="K30" i="94"/>
  <c r="CH30" i="94" s="1"/>
  <c r="I30" i="94"/>
  <c r="CC29" i="94"/>
  <c r="K29" i="94"/>
  <c r="CH29" i="94" s="1"/>
  <c r="I29" i="94"/>
  <c r="CC28" i="94"/>
  <c r="K28" i="94"/>
  <c r="CH28" i="94" s="1"/>
  <c r="I28" i="94"/>
  <c r="CC27" i="94"/>
  <c r="K27" i="94"/>
  <c r="CH27" i="94" s="1"/>
  <c r="I27" i="94"/>
  <c r="CC26" i="94"/>
  <c r="K26" i="94"/>
  <c r="CH26" i="94" s="1"/>
  <c r="I26" i="94"/>
  <c r="CC25" i="94"/>
  <c r="K25" i="94"/>
  <c r="CH25" i="94" s="1"/>
  <c r="I25" i="94"/>
  <c r="CC24" i="94"/>
  <c r="K24" i="94"/>
  <c r="CH24" i="94" s="1"/>
  <c r="I24" i="94"/>
  <c r="CC23" i="94"/>
  <c r="K23" i="94"/>
  <c r="CH23" i="94" s="1"/>
  <c r="I23" i="94"/>
  <c r="CC22" i="94"/>
  <c r="K22" i="94"/>
  <c r="CH22" i="94" s="1"/>
  <c r="I22" i="94"/>
  <c r="CC21" i="94"/>
  <c r="K21" i="94"/>
  <c r="CH21" i="94" s="1"/>
  <c r="I21" i="94"/>
  <c r="CC20" i="94"/>
  <c r="K20" i="94"/>
  <c r="CH20" i="94" s="1"/>
  <c r="I20" i="94"/>
  <c r="CC19" i="94"/>
  <c r="K19" i="94"/>
  <c r="CH19" i="94" s="1"/>
  <c r="I19" i="94"/>
  <c r="CC18" i="94"/>
  <c r="K18" i="94"/>
  <c r="CH18" i="94" s="1"/>
  <c r="I18" i="94"/>
  <c r="CC17" i="94"/>
  <c r="K17" i="94"/>
  <c r="CH17" i="94" s="1"/>
  <c r="I17" i="94"/>
  <c r="CC16" i="94"/>
  <c r="K16" i="94"/>
  <c r="CH16" i="94" s="1"/>
  <c r="I16" i="94"/>
  <c r="CC15" i="94"/>
  <c r="K15" i="94"/>
  <c r="CH15" i="94" s="1"/>
  <c r="I15" i="94"/>
  <c r="CC14" i="94"/>
  <c r="K14" i="94"/>
  <c r="CH14" i="94" s="1"/>
  <c r="I14" i="94"/>
  <c r="CC13" i="94"/>
  <c r="K13" i="94"/>
  <c r="I13" i="94"/>
  <c r="CA11" i="94"/>
  <c r="CB9" i="94"/>
  <c r="I115" i="93"/>
  <c r="H115" i="93"/>
  <c r="F115" i="93"/>
  <c r="E115" i="93"/>
  <c r="L114" i="93"/>
  <c r="K114" i="93"/>
  <c r="J114" i="93"/>
  <c r="G114" i="93"/>
  <c r="L113" i="93"/>
  <c r="K113" i="93"/>
  <c r="J113" i="93"/>
  <c r="G113" i="93"/>
  <c r="L112" i="93"/>
  <c r="L115" i="93" s="1"/>
  <c r="K112" i="93"/>
  <c r="K115" i="93" s="1"/>
  <c r="J112" i="93"/>
  <c r="J115" i="93" s="1"/>
  <c r="G112" i="93"/>
  <c r="G115" i="93" s="1"/>
  <c r="H105" i="93"/>
  <c r="H104" i="93"/>
  <c r="H103" i="93"/>
  <c r="H102" i="93"/>
  <c r="CB95" i="93"/>
  <c r="G95" i="93"/>
  <c r="CB91" i="93"/>
  <c r="G91" i="93"/>
  <c r="CB87" i="93"/>
  <c r="G87" i="93"/>
  <c r="CB86" i="93"/>
  <c r="G86" i="93"/>
  <c r="CB85" i="93"/>
  <c r="G85" i="93"/>
  <c r="CB84" i="93"/>
  <c r="G84" i="93"/>
  <c r="CB83" i="93"/>
  <c r="G83" i="93"/>
  <c r="CB82" i="93"/>
  <c r="G82" i="93"/>
  <c r="L71" i="93"/>
  <c r="K71" i="93"/>
  <c r="J71" i="93"/>
  <c r="G71" i="93"/>
  <c r="L70" i="93"/>
  <c r="K70" i="93"/>
  <c r="J70" i="93"/>
  <c r="G70" i="93"/>
  <c r="I69" i="93"/>
  <c r="I72" i="93" s="1"/>
  <c r="H69" i="93"/>
  <c r="H72" i="93" s="1"/>
  <c r="F69" i="93"/>
  <c r="F72" i="93" s="1"/>
  <c r="E69" i="93"/>
  <c r="E72" i="93" s="1"/>
  <c r="L68" i="93"/>
  <c r="K68" i="93"/>
  <c r="J68" i="93"/>
  <c r="G68" i="93"/>
  <c r="L67" i="93"/>
  <c r="K67" i="93"/>
  <c r="J67" i="93"/>
  <c r="L66" i="93"/>
  <c r="K66" i="93"/>
  <c r="G66" i="93"/>
  <c r="L65" i="93"/>
  <c r="K65" i="93"/>
  <c r="CB65" i="93" s="1"/>
  <c r="J65" i="93"/>
  <c r="G65" i="93"/>
  <c r="L64" i="93"/>
  <c r="K64" i="93"/>
  <c r="CB64" i="93" s="1"/>
  <c r="J64" i="93"/>
  <c r="G64" i="93"/>
  <c r="L63" i="93"/>
  <c r="K63" i="93"/>
  <c r="CB63" i="93" s="1"/>
  <c r="J63" i="93"/>
  <c r="G63" i="93"/>
  <c r="L62" i="93"/>
  <c r="K62" i="93"/>
  <c r="M62" i="93" s="1"/>
  <c r="J62" i="93"/>
  <c r="G62" i="93"/>
  <c r="L61" i="93"/>
  <c r="K61" i="93"/>
  <c r="M61" i="93" s="1"/>
  <c r="J61" i="93"/>
  <c r="G61" i="93"/>
  <c r="L60" i="93"/>
  <c r="K60" i="93"/>
  <c r="M60" i="93" s="1"/>
  <c r="J60" i="93"/>
  <c r="G60" i="93"/>
  <c r="L59" i="93"/>
  <c r="K59" i="93"/>
  <c r="M59" i="93" s="1"/>
  <c r="J59" i="93"/>
  <c r="G59" i="93"/>
  <c r="L58" i="93"/>
  <c r="K58" i="93"/>
  <c r="M58" i="93" s="1"/>
  <c r="J58" i="93"/>
  <c r="G58" i="93"/>
  <c r="L57" i="93"/>
  <c r="K57" i="93"/>
  <c r="CB57" i="93" s="1"/>
  <c r="J57" i="93"/>
  <c r="G57" i="93"/>
  <c r="L56" i="93"/>
  <c r="K56" i="93"/>
  <c r="CB56" i="93" s="1"/>
  <c r="J56" i="93"/>
  <c r="G56" i="93"/>
  <c r="L55" i="93"/>
  <c r="K55" i="93"/>
  <c r="J55" i="93"/>
  <c r="G55" i="93"/>
  <c r="I53" i="93"/>
  <c r="H53" i="93"/>
  <c r="F53" i="93"/>
  <c r="E53" i="93"/>
  <c r="L52" i="93"/>
  <c r="K52" i="93"/>
  <c r="M52" i="93" s="1"/>
  <c r="J52" i="93"/>
  <c r="G52" i="93"/>
  <c r="L51" i="93"/>
  <c r="K51" i="93"/>
  <c r="CA51" i="93" s="1"/>
  <c r="J51" i="93"/>
  <c r="G51" i="93"/>
  <c r="L50" i="93"/>
  <c r="K50" i="93"/>
  <c r="CB50" i="93" s="1"/>
  <c r="J50" i="93"/>
  <c r="G50" i="93"/>
  <c r="L49" i="93"/>
  <c r="K49" i="93"/>
  <c r="M49" i="93" s="1"/>
  <c r="J49" i="93"/>
  <c r="G49" i="93"/>
  <c r="L48" i="93"/>
  <c r="K48" i="93"/>
  <c r="CB48" i="93" s="1"/>
  <c r="J48" i="93"/>
  <c r="G48" i="93"/>
  <c r="L47" i="93"/>
  <c r="K47" i="93"/>
  <c r="CA47" i="93" s="1"/>
  <c r="J47" i="93"/>
  <c r="G47" i="93"/>
  <c r="CB45" i="93"/>
  <c r="L45" i="93"/>
  <c r="L53" i="93" s="1"/>
  <c r="K45" i="93"/>
  <c r="J45" i="93"/>
  <c r="G45" i="93"/>
  <c r="L42" i="93"/>
  <c r="K42" i="93"/>
  <c r="M41" i="93"/>
  <c r="M40" i="93"/>
  <c r="M39" i="93"/>
  <c r="CB38" i="93"/>
  <c r="M38" i="93"/>
  <c r="M37" i="93"/>
  <c r="M36" i="93"/>
  <c r="M35" i="93"/>
  <c r="M34" i="93"/>
  <c r="M33" i="93"/>
  <c r="M32" i="93"/>
  <c r="M31" i="93"/>
  <c r="M30" i="93"/>
  <c r="M29" i="93"/>
  <c r="M28" i="93"/>
  <c r="M27" i="93"/>
  <c r="CB26" i="93"/>
  <c r="M26" i="93"/>
  <c r="CB25" i="93"/>
  <c r="M25" i="93"/>
  <c r="CA24" i="93"/>
  <c r="M24" i="93"/>
  <c r="CA23" i="93"/>
  <c r="M23" i="93"/>
  <c r="CB22" i="93"/>
  <c r="M22" i="93"/>
  <c r="L20" i="93"/>
  <c r="K20" i="93"/>
  <c r="M19" i="93"/>
  <c r="CB18" i="93"/>
  <c r="M18" i="93"/>
  <c r="M17" i="93"/>
  <c r="CB16" i="93"/>
  <c r="M16" i="93"/>
  <c r="M15" i="93"/>
  <c r="CA14" i="93"/>
  <c r="M14" i="93"/>
  <c r="CA13" i="93"/>
  <c r="M13" i="93"/>
  <c r="CB11" i="93"/>
  <c r="M11" i="93"/>
  <c r="CB5" i="93"/>
  <c r="J86" i="92"/>
  <c r="J85" i="92"/>
  <c r="T77" i="92"/>
  <c r="T76" i="92"/>
  <c r="T75" i="92"/>
  <c r="T74" i="92"/>
  <c r="T71" i="92"/>
  <c r="T70" i="92"/>
  <c r="T69" i="92"/>
  <c r="T68" i="92"/>
  <c r="T67" i="92"/>
  <c r="T66" i="92"/>
  <c r="T65" i="92"/>
  <c r="U61" i="92"/>
  <c r="K55" i="92"/>
  <c r="H55" i="92"/>
  <c r="K54" i="92"/>
  <c r="H54" i="92"/>
  <c r="K53" i="92"/>
  <c r="H53" i="92"/>
  <c r="P49" i="92"/>
  <c r="O49" i="92"/>
  <c r="N49" i="92"/>
  <c r="K49" i="92"/>
  <c r="J49" i="92"/>
  <c r="H49" i="92"/>
  <c r="G49" i="92"/>
  <c r="F49" i="92"/>
  <c r="Q48" i="92"/>
  <c r="P48" i="92"/>
  <c r="O48" i="92"/>
  <c r="N48" i="92"/>
  <c r="K48" i="92"/>
  <c r="J48" i="92"/>
  <c r="H48" i="92"/>
  <c r="G48" i="92"/>
  <c r="F48" i="92"/>
  <c r="Q47" i="92"/>
  <c r="L47" i="92"/>
  <c r="I47" i="92"/>
  <c r="L46" i="92"/>
  <c r="I46" i="92"/>
  <c r="P45" i="92"/>
  <c r="O45" i="92"/>
  <c r="N45" i="92"/>
  <c r="CH44" i="92"/>
  <c r="CH45" i="92" s="1"/>
  <c r="CH50" i="92" s="1"/>
  <c r="CG44" i="92"/>
  <c r="CG45" i="92" s="1"/>
  <c r="CG50" i="92" s="1"/>
  <c r="CF44" i="92"/>
  <c r="CF45" i="92" s="1"/>
  <c r="CF50" i="92" s="1"/>
  <c r="CE44" i="92"/>
  <c r="CE45" i="92" s="1"/>
  <c r="CE50" i="92" s="1"/>
  <c r="CD44" i="92"/>
  <c r="CD45" i="92" s="1"/>
  <c r="CD50" i="92" s="1"/>
  <c r="CC44" i="92"/>
  <c r="CC45" i="92" s="1"/>
  <c r="CC50" i="92" s="1"/>
  <c r="CB44" i="92"/>
  <c r="CB45" i="92" s="1"/>
  <c r="CB50" i="92" s="1"/>
  <c r="Q44" i="92"/>
  <c r="P44" i="92"/>
  <c r="O44" i="92"/>
  <c r="N44" i="92"/>
  <c r="K44" i="92"/>
  <c r="K45" i="92" s="1"/>
  <c r="J44" i="92"/>
  <c r="J45" i="92" s="1"/>
  <c r="H44" i="92"/>
  <c r="H45" i="92" s="1"/>
  <c r="G44" i="92"/>
  <c r="G45" i="92" s="1"/>
  <c r="F44" i="92"/>
  <c r="F45" i="92" s="1"/>
  <c r="Q43" i="92"/>
  <c r="L43" i="92"/>
  <c r="I43" i="92"/>
  <c r="CH42" i="92"/>
  <c r="CE42" i="92"/>
  <c r="L42" i="92"/>
  <c r="I42" i="92"/>
  <c r="Q38" i="92"/>
  <c r="P38" i="92"/>
  <c r="O38" i="92"/>
  <c r="N38" i="92"/>
  <c r="R37" i="92"/>
  <c r="Q37" i="92"/>
  <c r="P37" i="92"/>
  <c r="O37" i="92"/>
  <c r="N37" i="92"/>
  <c r="Q36" i="92"/>
  <c r="K35" i="92"/>
  <c r="K36" i="92" s="1"/>
  <c r="H35" i="92"/>
  <c r="H36" i="92" s="1"/>
  <c r="G35" i="92"/>
  <c r="G36" i="92" s="1"/>
  <c r="G37" i="92" s="1"/>
  <c r="G86" i="92" s="1"/>
  <c r="F35" i="92"/>
  <c r="F36" i="92" s="1"/>
  <c r="F37" i="92" s="1"/>
  <c r="F86" i="92" s="1"/>
  <c r="K34" i="92"/>
  <c r="L34" i="92" s="1"/>
  <c r="H34" i="92"/>
  <c r="G34" i="92"/>
  <c r="F34" i="92"/>
  <c r="L33" i="92"/>
  <c r="I33" i="92"/>
  <c r="K32" i="92"/>
  <c r="L32" i="92" s="1"/>
  <c r="H32" i="92"/>
  <c r="G32" i="92"/>
  <c r="F32" i="92"/>
  <c r="Q31" i="92"/>
  <c r="P31" i="92"/>
  <c r="O31" i="92"/>
  <c r="N31" i="92"/>
  <c r="R30" i="92"/>
  <c r="Q30" i="92"/>
  <c r="P30" i="92"/>
  <c r="O30" i="92"/>
  <c r="N30" i="92"/>
  <c r="Q28" i="92"/>
  <c r="K28" i="92"/>
  <c r="K29" i="92" s="1"/>
  <c r="H28" i="92"/>
  <c r="H29" i="92" s="1"/>
  <c r="G28" i="92"/>
  <c r="G29" i="92" s="1"/>
  <c r="G30" i="92" s="1"/>
  <c r="F28" i="92"/>
  <c r="F29" i="92" s="1"/>
  <c r="F30" i="92" s="1"/>
  <c r="L27" i="92"/>
  <c r="I27" i="92"/>
  <c r="L26" i="92"/>
  <c r="I26" i="92"/>
  <c r="L25" i="92"/>
  <c r="I25" i="92"/>
  <c r="Q24" i="92"/>
  <c r="P24" i="92"/>
  <c r="O24" i="92"/>
  <c r="N24" i="92"/>
  <c r="R23" i="92"/>
  <c r="Q23" i="92"/>
  <c r="P23" i="92"/>
  <c r="O23" i="92"/>
  <c r="N23" i="92"/>
  <c r="F23" i="92"/>
  <c r="F24" i="92" s="1"/>
  <c r="Q22" i="92"/>
  <c r="L22" i="92"/>
  <c r="I22" i="92"/>
  <c r="K21" i="92"/>
  <c r="K23" i="92" s="1"/>
  <c r="J21" i="92"/>
  <c r="J23" i="92" s="1"/>
  <c r="J24" i="92" s="1"/>
  <c r="H21" i="92"/>
  <c r="H23" i="92" s="1"/>
  <c r="G21" i="92"/>
  <c r="G23" i="92" s="1"/>
  <c r="G24" i="92" s="1"/>
  <c r="L20" i="92"/>
  <c r="I20" i="92"/>
  <c r="Q19" i="92"/>
  <c r="P19" i="92"/>
  <c r="O19" i="92"/>
  <c r="N19" i="92"/>
  <c r="R18" i="92"/>
  <c r="Q18" i="92"/>
  <c r="P18" i="92"/>
  <c r="O18" i="92"/>
  <c r="N18" i="92"/>
  <c r="F18" i="92"/>
  <c r="F19" i="92" s="1"/>
  <c r="F84" i="92" s="1"/>
  <c r="H17" i="92"/>
  <c r="H18" i="92" s="1"/>
  <c r="Q16" i="92"/>
  <c r="H16" i="92"/>
  <c r="F16" i="92"/>
  <c r="Q15" i="92"/>
  <c r="P15" i="92"/>
  <c r="O15" i="92"/>
  <c r="N15" i="92"/>
  <c r="J15" i="92"/>
  <c r="J83" i="92" s="1"/>
  <c r="R14" i="92"/>
  <c r="Q14" i="92"/>
  <c r="P14" i="92"/>
  <c r="O14" i="92"/>
  <c r="N14" i="92"/>
  <c r="K14" i="92"/>
  <c r="K15" i="92" s="1"/>
  <c r="H14" i="92"/>
  <c r="H15" i="92" s="1"/>
  <c r="G14" i="92"/>
  <c r="G15" i="92" s="1"/>
  <c r="G83" i="92" s="1"/>
  <c r="F14" i="92"/>
  <c r="F15" i="92" s="1"/>
  <c r="F83" i="92" s="1"/>
  <c r="L13" i="92"/>
  <c r="I13" i="92"/>
  <c r="Q12" i="92"/>
  <c r="L12" i="92"/>
  <c r="I12" i="92"/>
  <c r="BC80" i="91"/>
  <c r="F80" i="91"/>
  <c r="E80" i="91"/>
  <c r="BC78" i="91"/>
  <c r="F78" i="91"/>
  <c r="E78" i="91"/>
  <c r="BC77" i="91"/>
  <c r="F77" i="91"/>
  <c r="E77" i="91"/>
  <c r="BC76" i="91"/>
  <c r="F76" i="91"/>
  <c r="E76" i="91"/>
  <c r="BC58" i="91"/>
  <c r="BC75" i="91" s="1"/>
  <c r="F58" i="91"/>
  <c r="F75" i="91" s="1"/>
  <c r="E58" i="91"/>
  <c r="E75" i="91" s="1"/>
  <c r="BC48" i="91"/>
  <c r="F47" i="91"/>
  <c r="F48" i="91" s="1"/>
  <c r="E47" i="91"/>
  <c r="E48" i="91" s="1"/>
  <c r="P27" i="91"/>
  <c r="P32" i="91" s="1"/>
  <c r="O27" i="91"/>
  <c r="O32" i="91" s="1"/>
  <c r="N27" i="91"/>
  <c r="N32" i="91" s="1"/>
  <c r="M27" i="91"/>
  <c r="M32" i="91" s="1"/>
  <c r="L27" i="91"/>
  <c r="L32" i="91" s="1"/>
  <c r="K27" i="91"/>
  <c r="K32" i="91" s="1"/>
  <c r="J27" i="91"/>
  <c r="J32" i="91" s="1"/>
  <c r="I27" i="91"/>
  <c r="I32" i="91" s="1"/>
  <c r="H27" i="91"/>
  <c r="H32" i="91" s="1"/>
  <c r="G27" i="91"/>
  <c r="G32" i="91" s="1"/>
  <c r="F27" i="91"/>
  <c r="F32" i="91" s="1"/>
  <c r="CB5" i="91"/>
  <c r="F62" i="90"/>
  <c r="E62" i="90"/>
  <c r="E62" i="28" s="1"/>
  <c r="CA61" i="90"/>
  <c r="G61" i="90"/>
  <c r="G60" i="90"/>
  <c r="CA59" i="90"/>
  <c r="G59" i="90"/>
  <c r="CA58" i="90"/>
  <c r="G58" i="90"/>
  <c r="G57" i="90"/>
  <c r="F37" i="90"/>
  <c r="F45" i="28" s="1"/>
  <c r="E37" i="90"/>
  <c r="E45" i="28" s="1"/>
  <c r="G36" i="90"/>
  <c r="G44" i="28" s="1"/>
  <c r="G35" i="90"/>
  <c r="G43" i="28" s="1"/>
  <c r="G34" i="90"/>
  <c r="G42" i="28" s="1"/>
  <c r="G33" i="90"/>
  <c r="G41" i="28" s="1"/>
  <c r="G32" i="90"/>
  <c r="G40" i="28" s="1"/>
  <c r="G31" i="90"/>
  <c r="G39" i="28" s="1"/>
  <c r="G16" i="90"/>
  <c r="F16" i="90"/>
  <c r="E16" i="90"/>
  <c r="H15" i="90"/>
  <c r="H14" i="90"/>
  <c r="H13" i="90"/>
  <c r="H12" i="90"/>
  <c r="H11" i="90"/>
  <c r="CB7" i="90"/>
  <c r="CB5" i="90"/>
  <c r="E214" i="89"/>
  <c r="E208" i="89"/>
  <c r="E196" i="89"/>
  <c r="E190" i="89"/>
  <c r="BC162" i="89"/>
  <c r="CB162" i="89" s="1"/>
  <c r="BC159" i="89"/>
  <c r="CB159" i="89" s="1"/>
  <c r="BC156" i="89"/>
  <c r="E155" i="89"/>
  <c r="BC154" i="89"/>
  <c r="BC153" i="89"/>
  <c r="CA153" i="89" s="1"/>
  <c r="BC152" i="89"/>
  <c r="CB152" i="89" s="1"/>
  <c r="BC151" i="89"/>
  <c r="BC150" i="89"/>
  <c r="BC149" i="89"/>
  <c r="CB149" i="89" s="1"/>
  <c r="BC148" i="89"/>
  <c r="F133" i="89"/>
  <c r="E133" i="89"/>
  <c r="F116" i="89"/>
  <c r="E116" i="89"/>
  <c r="CA105" i="89"/>
  <c r="E104" i="89"/>
  <c r="CB103" i="89"/>
  <c r="CB102" i="89"/>
  <c r="CB101" i="89"/>
  <c r="CB94" i="89"/>
  <c r="CB93" i="89"/>
  <c r="CB92" i="89"/>
  <c r="E83" i="89"/>
  <c r="CB82" i="89"/>
  <c r="CB81" i="89"/>
  <c r="CB80" i="89"/>
  <c r="E77" i="89"/>
  <c r="CB76" i="89"/>
  <c r="CF75" i="89"/>
  <c r="CB75" i="89"/>
  <c r="F61" i="89"/>
  <c r="E61" i="89"/>
  <c r="F43" i="89"/>
  <c r="E43" i="89"/>
  <c r="CA33" i="89"/>
  <c r="E32" i="89"/>
  <c r="CB31" i="89"/>
  <c r="CB30" i="89"/>
  <c r="CB29" i="89"/>
  <c r="CB22" i="89"/>
  <c r="CB21" i="89"/>
  <c r="CB20" i="89"/>
  <c r="E16" i="89"/>
  <c r="E15" i="89"/>
  <c r="E14" i="89"/>
  <c r="E12" i="89"/>
  <c r="CB11" i="89"/>
  <c r="CC10" i="89"/>
  <c r="CB10" i="89"/>
  <c r="CB5" i="89"/>
  <c r="CA55" i="88"/>
  <c r="CA53" i="88"/>
  <c r="CA52" i="88"/>
  <c r="CC27" i="88"/>
  <c r="CA25" i="88"/>
  <c r="CD21" i="88"/>
  <c r="CA21" i="88"/>
  <c r="CA20" i="88"/>
  <c r="CB7" i="88"/>
  <c r="CB5" i="88"/>
  <c r="M103" i="87"/>
  <c r="H103" i="87"/>
  <c r="F102" i="87"/>
  <c r="F101" i="87"/>
  <c r="F99" i="87"/>
  <c r="F98" i="87"/>
  <c r="F97" i="87"/>
  <c r="F96" i="87"/>
  <c r="F94" i="87"/>
  <c r="M92" i="87"/>
  <c r="H92" i="87"/>
  <c r="H104" i="87" s="1"/>
  <c r="E92" i="87"/>
  <c r="F91" i="87"/>
  <c r="F90" i="87"/>
  <c r="F88" i="87"/>
  <c r="F87" i="87"/>
  <c r="F86" i="87"/>
  <c r="F85" i="87"/>
  <c r="F83" i="87"/>
  <c r="E67" i="87"/>
  <c r="E55" i="87"/>
  <c r="CA53" i="87"/>
  <c r="CA52" i="87"/>
  <c r="BJ30" i="87"/>
  <c r="BI30" i="87"/>
  <c r="BG30" i="87"/>
  <c r="BF30" i="87"/>
  <c r="BE30" i="87"/>
  <c r="BD30" i="87"/>
  <c r="BB30" i="87"/>
  <c r="E30" i="87"/>
  <c r="N29" i="87"/>
  <c r="BJ29" i="87" s="1"/>
  <c r="M29" i="87"/>
  <c r="BI29" i="87" s="1"/>
  <c r="K29" i="87"/>
  <c r="BG29" i="87" s="1"/>
  <c r="J29" i="87"/>
  <c r="BF29" i="87" s="1"/>
  <c r="I29" i="87"/>
  <c r="BE29" i="87" s="1"/>
  <c r="H29" i="87"/>
  <c r="BD29" i="87" s="1"/>
  <c r="F29" i="87"/>
  <c r="BB29" i="87" s="1"/>
  <c r="BJ26" i="87"/>
  <c r="BI26" i="87"/>
  <c r="BG26" i="87"/>
  <c r="BF26" i="87"/>
  <c r="BE26" i="87"/>
  <c r="BD26" i="87"/>
  <c r="BB26" i="87"/>
  <c r="E26" i="87"/>
  <c r="BJ25" i="87"/>
  <c r="BI25" i="87"/>
  <c r="BG25" i="87"/>
  <c r="BF25" i="87"/>
  <c r="BE25" i="87"/>
  <c r="BA25" i="87" s="1"/>
  <c r="CA25" i="87" s="1"/>
  <c r="BD25" i="87"/>
  <c r="BB25" i="87"/>
  <c r="E25" i="87"/>
  <c r="BJ23" i="87"/>
  <c r="BI23" i="87"/>
  <c r="BG23" i="87"/>
  <c r="BF23" i="87"/>
  <c r="BE23" i="87"/>
  <c r="BD23" i="87"/>
  <c r="BB23" i="87"/>
  <c r="E23" i="87"/>
  <c r="BJ22" i="87"/>
  <c r="BI22" i="87"/>
  <c r="BG22" i="87"/>
  <c r="BF22" i="87"/>
  <c r="BE22" i="87"/>
  <c r="BD22" i="87"/>
  <c r="BB22" i="87"/>
  <c r="E22" i="87"/>
  <c r="BJ21" i="87"/>
  <c r="BI21" i="87"/>
  <c r="BG21" i="87"/>
  <c r="BF21" i="87"/>
  <c r="BE21" i="87"/>
  <c r="BD21" i="87"/>
  <c r="BB21" i="87"/>
  <c r="E21" i="87"/>
  <c r="BJ20" i="87"/>
  <c r="BI20" i="87"/>
  <c r="BG20" i="87"/>
  <c r="BF20" i="87"/>
  <c r="BE20" i="87"/>
  <c r="BD20" i="87"/>
  <c r="BB20" i="87"/>
  <c r="E20" i="87"/>
  <c r="BJ19" i="87"/>
  <c r="BI19" i="87"/>
  <c r="BG19" i="87"/>
  <c r="BF19" i="87"/>
  <c r="BE19" i="87"/>
  <c r="BD19" i="87"/>
  <c r="BB19" i="87"/>
  <c r="E19" i="87"/>
  <c r="BJ17" i="87"/>
  <c r="BI17" i="87"/>
  <c r="BG17" i="87"/>
  <c r="BF17" i="87"/>
  <c r="BE17" i="87"/>
  <c r="BD17" i="87"/>
  <c r="BB17" i="87"/>
  <c r="E17" i="87"/>
  <c r="BJ16" i="87"/>
  <c r="BI16" i="87"/>
  <c r="BG16" i="87"/>
  <c r="BE16" i="87"/>
  <c r="BD16" i="87"/>
  <c r="BB16" i="87"/>
  <c r="E16" i="87"/>
  <c r="N14" i="87"/>
  <c r="M14" i="87"/>
  <c r="K14" i="87"/>
  <c r="J14" i="87"/>
  <c r="I14" i="87"/>
  <c r="H14" i="87"/>
  <c r="F14" i="87"/>
  <c r="N11" i="87"/>
  <c r="M11" i="87"/>
  <c r="K11" i="87"/>
  <c r="K15" i="87" s="1"/>
  <c r="J11" i="87"/>
  <c r="I11" i="87"/>
  <c r="H11" i="87"/>
  <c r="F11" i="87"/>
  <c r="F15" i="87" s="1"/>
  <c r="CB7" i="87"/>
  <c r="CB5" i="87"/>
  <c r="L139" i="86"/>
  <c r="L138" i="86"/>
  <c r="I138" i="86"/>
  <c r="H138" i="86"/>
  <c r="L135" i="86"/>
  <c r="K135" i="86"/>
  <c r="I135" i="86"/>
  <c r="H135" i="86"/>
  <c r="F135" i="86"/>
  <c r="E135" i="86"/>
  <c r="K133" i="86"/>
  <c r="F133" i="86"/>
  <c r="E133" i="86"/>
  <c r="L132" i="86"/>
  <c r="K132" i="86"/>
  <c r="I132" i="86"/>
  <c r="H132" i="86"/>
  <c r="F132" i="86"/>
  <c r="E132" i="86"/>
  <c r="L131" i="86"/>
  <c r="K131" i="86"/>
  <c r="I131" i="86"/>
  <c r="H131" i="86"/>
  <c r="F131" i="86"/>
  <c r="E131" i="86"/>
  <c r="L130" i="86"/>
  <c r="K130" i="86"/>
  <c r="I130" i="86"/>
  <c r="H130" i="86"/>
  <c r="H134" i="86" s="1"/>
  <c r="H136" i="86" s="1"/>
  <c r="F130" i="86"/>
  <c r="E130" i="86"/>
  <c r="L122" i="86"/>
  <c r="L121" i="86"/>
  <c r="L119" i="86"/>
  <c r="K119" i="86"/>
  <c r="K118" i="86"/>
  <c r="F118" i="86"/>
  <c r="E118" i="86"/>
  <c r="L117" i="86"/>
  <c r="K117" i="86"/>
  <c r="I117" i="86"/>
  <c r="H117" i="86"/>
  <c r="F117" i="86"/>
  <c r="E117" i="86"/>
  <c r="L116" i="86"/>
  <c r="K116" i="86"/>
  <c r="I116" i="86"/>
  <c r="H116" i="86"/>
  <c r="F116" i="86"/>
  <c r="E116" i="86"/>
  <c r="L115" i="86"/>
  <c r="K115" i="86"/>
  <c r="I115" i="86"/>
  <c r="H115" i="86"/>
  <c r="F115" i="86"/>
  <c r="E115" i="86"/>
  <c r="E100" i="86"/>
  <c r="CA91" i="86"/>
  <c r="J82" i="86"/>
  <c r="CA79" i="86"/>
  <c r="J79" i="86"/>
  <c r="G79" i="86"/>
  <c r="I78" i="86"/>
  <c r="I80" i="86" s="1"/>
  <c r="I83" i="86" s="1"/>
  <c r="H78" i="86"/>
  <c r="F78" i="86"/>
  <c r="F80" i="86" s="1"/>
  <c r="E78" i="86"/>
  <c r="CA77" i="86"/>
  <c r="G77" i="86"/>
  <c r="J76" i="86"/>
  <c r="G76" i="86"/>
  <c r="J75" i="86"/>
  <c r="G75" i="86"/>
  <c r="J74" i="86"/>
  <c r="J78" i="86" s="1"/>
  <c r="J80" i="86" s="1"/>
  <c r="J83" i="86" s="1"/>
  <c r="G74" i="86"/>
  <c r="J71" i="86"/>
  <c r="CA68" i="86"/>
  <c r="J68" i="86"/>
  <c r="G68" i="86"/>
  <c r="I67" i="86"/>
  <c r="I69" i="86" s="1"/>
  <c r="I72" i="86" s="1"/>
  <c r="H67" i="86"/>
  <c r="F67" i="86"/>
  <c r="F69" i="86" s="1"/>
  <c r="E67" i="86"/>
  <c r="CA66" i="86"/>
  <c r="G66" i="86"/>
  <c r="J65" i="86"/>
  <c r="G65" i="86"/>
  <c r="J64" i="86"/>
  <c r="G64" i="86"/>
  <c r="J63" i="86"/>
  <c r="J67" i="86" s="1"/>
  <c r="J69" i="86" s="1"/>
  <c r="J72" i="86" s="1"/>
  <c r="G63" i="86"/>
  <c r="J60" i="86"/>
  <c r="J138" i="86" s="1"/>
  <c r="CA57" i="86"/>
  <c r="J57" i="86"/>
  <c r="J135" i="86" s="1"/>
  <c r="G57" i="86"/>
  <c r="G135" i="86" s="1"/>
  <c r="I56" i="86"/>
  <c r="I58" i="86" s="1"/>
  <c r="I61" i="86" s="1"/>
  <c r="I139" i="86" s="1"/>
  <c r="H56" i="86"/>
  <c r="F56" i="86"/>
  <c r="F58" i="86" s="1"/>
  <c r="E56" i="86"/>
  <c r="CA55" i="86"/>
  <c r="G55" i="86"/>
  <c r="G133" i="86" s="1"/>
  <c r="J54" i="86"/>
  <c r="J132" i="86" s="1"/>
  <c r="G54" i="86"/>
  <c r="G132" i="86" s="1"/>
  <c r="J53" i="86"/>
  <c r="J131" i="86" s="1"/>
  <c r="G53" i="86"/>
  <c r="G131" i="86" s="1"/>
  <c r="J52" i="86"/>
  <c r="J130" i="86" s="1"/>
  <c r="J134" i="86" s="1"/>
  <c r="J136" i="86" s="1"/>
  <c r="G52" i="86"/>
  <c r="G130" i="86" s="1"/>
  <c r="CA44" i="86"/>
  <c r="I35" i="86"/>
  <c r="H35" i="86"/>
  <c r="I33" i="86"/>
  <c r="H33" i="86"/>
  <c r="F33" i="86"/>
  <c r="E33" i="86"/>
  <c r="CA32" i="86"/>
  <c r="G32" i="86"/>
  <c r="J31" i="86"/>
  <c r="G31" i="86"/>
  <c r="J30" i="86"/>
  <c r="G30" i="86"/>
  <c r="J29" i="86"/>
  <c r="J35" i="86" s="1"/>
  <c r="G29" i="86"/>
  <c r="G33" i="86" s="1"/>
  <c r="I26" i="86"/>
  <c r="H26" i="86"/>
  <c r="I24" i="86"/>
  <c r="H24" i="86"/>
  <c r="F24" i="86"/>
  <c r="E24" i="86"/>
  <c r="CA23" i="86"/>
  <c r="G23" i="86"/>
  <c r="J22" i="86"/>
  <c r="G22" i="86"/>
  <c r="J21" i="86"/>
  <c r="G21" i="86"/>
  <c r="J20" i="86"/>
  <c r="J26" i="86" s="1"/>
  <c r="G20" i="86"/>
  <c r="I17" i="86"/>
  <c r="H17" i="86"/>
  <c r="I15" i="86"/>
  <c r="H15" i="86"/>
  <c r="F15" i="86"/>
  <c r="E15" i="86"/>
  <c r="CA14" i="86"/>
  <c r="G14" i="86"/>
  <c r="J13" i="86"/>
  <c r="G13" i="86"/>
  <c r="J12" i="86"/>
  <c r="G12" i="86"/>
  <c r="J11" i="86"/>
  <c r="G11" i="86"/>
  <c r="CB5" i="86"/>
  <c r="CF85" i="85"/>
  <c r="CE85" i="85"/>
  <c r="CD85" i="85"/>
  <c r="CF36" i="85"/>
  <c r="CG34" i="85"/>
  <c r="CG33" i="85"/>
  <c r="CG32" i="85"/>
  <c r="CG31" i="85"/>
  <c r="CG30" i="85"/>
  <c r="CG29" i="85"/>
  <c r="CG28" i="85"/>
  <c r="CG27" i="85"/>
  <c r="CG26" i="85"/>
  <c r="CG23" i="85"/>
  <c r="CG22" i="85"/>
  <c r="CG21" i="85"/>
  <c r="CG20" i="85"/>
  <c r="CG19" i="85"/>
  <c r="CG18" i="85"/>
  <c r="CG17" i="85"/>
  <c r="CG16" i="85"/>
  <c r="CG14" i="85"/>
  <c r="CG13" i="85"/>
  <c r="CF13" i="85"/>
  <c r="CG12" i="85"/>
  <c r="CC12" i="85"/>
  <c r="CB5" i="85"/>
  <c r="AM262" i="84"/>
  <c r="AL262" i="84"/>
  <c r="AK262" i="84"/>
  <c r="AJ262" i="84"/>
  <c r="AI262" i="84"/>
  <c r="AH262" i="84"/>
  <c r="AG262" i="84"/>
  <c r="AF262" i="84"/>
  <c r="AE262" i="84"/>
  <c r="AD262" i="84"/>
  <c r="AC262" i="84"/>
  <c r="V262" i="84"/>
  <c r="H262" i="84"/>
  <c r="E260" i="84"/>
  <c r="AM259" i="84"/>
  <c r="AL259" i="84"/>
  <c r="AK259" i="84"/>
  <c r="AJ259" i="84"/>
  <c r="AI259" i="84"/>
  <c r="AH259" i="84"/>
  <c r="AG259" i="84"/>
  <c r="AF259" i="84"/>
  <c r="AE259" i="84"/>
  <c r="AD259" i="84"/>
  <c r="AC259" i="84"/>
  <c r="V259" i="84"/>
  <c r="H259" i="84"/>
  <c r="E257" i="84"/>
  <c r="AM255" i="84"/>
  <c r="AL255" i="84"/>
  <c r="AK255" i="84"/>
  <c r="AJ255" i="84"/>
  <c r="AI255" i="84"/>
  <c r="AH255" i="84"/>
  <c r="AG255" i="84"/>
  <c r="AF255" i="84"/>
  <c r="AE255" i="84"/>
  <c r="AD255" i="84"/>
  <c r="AC255" i="84"/>
  <c r="V255" i="84"/>
  <c r="H255" i="84"/>
  <c r="E253" i="84"/>
  <c r="AM252" i="84"/>
  <c r="AL252" i="84"/>
  <c r="AK252" i="84"/>
  <c r="AJ252" i="84"/>
  <c r="AI252" i="84"/>
  <c r="AH252" i="84"/>
  <c r="AG252" i="84"/>
  <c r="AF252" i="84"/>
  <c r="AE252" i="84"/>
  <c r="AD252" i="84"/>
  <c r="AC252" i="84"/>
  <c r="V252" i="84"/>
  <c r="H252" i="84"/>
  <c r="E250" i="84"/>
  <c r="AM238" i="84"/>
  <c r="AL238" i="84"/>
  <c r="AK238" i="84"/>
  <c r="AJ238" i="84"/>
  <c r="AI238" i="84"/>
  <c r="AH238" i="84"/>
  <c r="AG238" i="84"/>
  <c r="AF238" i="84"/>
  <c r="AE238" i="84"/>
  <c r="AD238" i="84"/>
  <c r="AC238" i="84"/>
  <c r="H238" i="84"/>
  <c r="E236" i="84"/>
  <c r="E27" i="84" s="1"/>
  <c r="AM235" i="84"/>
  <c r="AL235" i="84"/>
  <c r="AK235" i="84"/>
  <c r="AJ235" i="84"/>
  <c r="AI235" i="84"/>
  <c r="AH235" i="84"/>
  <c r="AG235" i="84"/>
  <c r="AF235" i="84"/>
  <c r="AE235" i="84"/>
  <c r="AD235" i="84"/>
  <c r="AC235" i="84"/>
  <c r="H235" i="84"/>
  <c r="E233" i="84"/>
  <c r="AM222" i="84"/>
  <c r="AL222" i="84"/>
  <c r="AK222" i="84"/>
  <c r="AJ222" i="84"/>
  <c r="AI222" i="84"/>
  <c r="AH222" i="84"/>
  <c r="AG222" i="84"/>
  <c r="AF222" i="84"/>
  <c r="AE222" i="84"/>
  <c r="AD222" i="84"/>
  <c r="AC222" i="84"/>
  <c r="H222" i="84"/>
  <c r="E220" i="84"/>
  <c r="AM219" i="84"/>
  <c r="AL219" i="84"/>
  <c r="AK219" i="84"/>
  <c r="AJ219" i="84"/>
  <c r="AI219" i="84"/>
  <c r="AH219" i="84"/>
  <c r="AG219" i="84"/>
  <c r="AF219" i="84"/>
  <c r="AE219" i="84"/>
  <c r="AD219" i="84"/>
  <c r="AC219" i="84"/>
  <c r="H219" i="84"/>
  <c r="E217" i="84"/>
  <c r="E13" i="84" s="1"/>
  <c r="E169" i="84"/>
  <c r="E164" i="84"/>
  <c r="I156" i="84"/>
  <c r="F156" i="84"/>
  <c r="E156" i="84"/>
  <c r="H155" i="84"/>
  <c r="H154" i="84"/>
  <c r="AM148" i="84"/>
  <c r="AL148" i="84"/>
  <c r="AK148" i="84"/>
  <c r="AJ148" i="84"/>
  <c r="AI148" i="84"/>
  <c r="AH148" i="84"/>
  <c r="AG148" i="84"/>
  <c r="AF148" i="84"/>
  <c r="AE148" i="84"/>
  <c r="AD148" i="84"/>
  <c r="AC148" i="84"/>
  <c r="H148" i="84"/>
  <c r="E148" i="84"/>
  <c r="BC148" i="84" s="1"/>
  <c r="BC147" i="84"/>
  <c r="F147" i="84"/>
  <c r="BC146" i="84"/>
  <c r="F146" i="84"/>
  <c r="BC145" i="84"/>
  <c r="F145" i="84"/>
  <c r="AM143" i="84"/>
  <c r="AL143" i="84"/>
  <c r="AK143" i="84"/>
  <c r="AK149" i="84" s="1"/>
  <c r="AJ143" i="84"/>
  <c r="AI143" i="84"/>
  <c r="AH143" i="84"/>
  <c r="AG143" i="84"/>
  <c r="AG149" i="84" s="1"/>
  <c r="AF143" i="84"/>
  <c r="AE143" i="84"/>
  <c r="AD143" i="84"/>
  <c r="AC143" i="84"/>
  <c r="AC149" i="84" s="1"/>
  <c r="H143" i="84"/>
  <c r="E143" i="84"/>
  <c r="BC142" i="84"/>
  <c r="F142" i="84"/>
  <c r="BC141" i="84"/>
  <c r="F141" i="84"/>
  <c r="BC140" i="84"/>
  <c r="F140" i="84"/>
  <c r="F143" i="84" s="1"/>
  <c r="H132" i="84"/>
  <c r="E132" i="84"/>
  <c r="E93" i="84" s="1"/>
  <c r="E101" i="84" s="1"/>
  <c r="BC131" i="84"/>
  <c r="F131" i="84"/>
  <c r="BC130" i="84"/>
  <c r="F130" i="84"/>
  <c r="H128" i="84"/>
  <c r="H83" i="84" s="1"/>
  <c r="E128" i="84"/>
  <c r="BC127" i="84"/>
  <c r="F127" i="84"/>
  <c r="BC126" i="84"/>
  <c r="F126" i="84"/>
  <c r="F128" i="84" s="1"/>
  <c r="I119" i="84"/>
  <c r="F119" i="84"/>
  <c r="E119" i="84"/>
  <c r="H118" i="84"/>
  <c r="H117" i="84"/>
  <c r="F112" i="84"/>
  <c r="CH111" i="84"/>
  <c r="H111" i="84"/>
  <c r="H110" i="84"/>
  <c r="H109" i="84"/>
  <c r="AM101" i="84"/>
  <c r="AL101" i="84"/>
  <c r="AK101" i="84"/>
  <c r="AJ101" i="84"/>
  <c r="AI101" i="84"/>
  <c r="AH101" i="84"/>
  <c r="AG101" i="84"/>
  <c r="AF101" i="84"/>
  <c r="AE101" i="84"/>
  <c r="AD101" i="84"/>
  <c r="AC101" i="84"/>
  <c r="H101" i="84"/>
  <c r="BC100" i="84"/>
  <c r="F100" i="84"/>
  <c r="BC99" i="84"/>
  <c r="F99" i="84"/>
  <c r="BC98" i="84"/>
  <c r="F98" i="84"/>
  <c r="BC97" i="84"/>
  <c r="F97" i="84"/>
  <c r="BC96" i="84"/>
  <c r="F96" i="84"/>
  <c r="BC95" i="84"/>
  <c r="F95" i="84"/>
  <c r="BC94" i="84"/>
  <c r="F94" i="84"/>
  <c r="F93" i="84"/>
  <c r="AM91" i="84"/>
  <c r="AL91" i="84"/>
  <c r="AK91" i="84"/>
  <c r="AK102" i="84" s="1"/>
  <c r="AJ91" i="84"/>
  <c r="AI91" i="84"/>
  <c r="AH91" i="84"/>
  <c r="AG91" i="84"/>
  <c r="AG102" i="84" s="1"/>
  <c r="AF91" i="84"/>
  <c r="AE91" i="84"/>
  <c r="AD91" i="84"/>
  <c r="AC91" i="84"/>
  <c r="AC102" i="84" s="1"/>
  <c r="BC90" i="84"/>
  <c r="F90" i="84"/>
  <c r="BC89" i="84"/>
  <c r="F89" i="84"/>
  <c r="BC88" i="84"/>
  <c r="F88" i="84"/>
  <c r="BC87" i="84"/>
  <c r="F87" i="84"/>
  <c r="BC86" i="84"/>
  <c r="F86" i="84"/>
  <c r="CF85" i="84"/>
  <c r="CE85" i="84"/>
  <c r="CD85" i="84"/>
  <c r="BC85" i="84"/>
  <c r="F85" i="84"/>
  <c r="BC84" i="84"/>
  <c r="F84" i="84"/>
  <c r="F82" i="84"/>
  <c r="F81" i="84"/>
  <c r="I72" i="84"/>
  <c r="F72" i="84"/>
  <c r="E72" i="84"/>
  <c r="H71" i="84"/>
  <c r="H70" i="84"/>
  <c r="AM64" i="84"/>
  <c r="AL64" i="84"/>
  <c r="AK64" i="84"/>
  <c r="AJ64" i="84"/>
  <c r="AI64" i="84"/>
  <c r="AH64" i="84"/>
  <c r="AG64" i="84"/>
  <c r="AF64" i="84"/>
  <c r="AE64" i="84"/>
  <c r="AD64" i="84"/>
  <c r="AC64" i="84"/>
  <c r="H64" i="84"/>
  <c r="E64" i="84"/>
  <c r="BC63" i="84"/>
  <c r="F63" i="84"/>
  <c r="BC62" i="84"/>
  <c r="F62" i="84"/>
  <c r="BC61" i="84"/>
  <c r="F61" i="84"/>
  <c r="F64" i="84" s="1"/>
  <c r="AM59" i="84"/>
  <c r="AL59" i="84"/>
  <c r="AK59" i="84"/>
  <c r="AJ59" i="84"/>
  <c r="AI59" i="84"/>
  <c r="AH59" i="84"/>
  <c r="AG59" i="84"/>
  <c r="AF59" i="84"/>
  <c r="AE59" i="84"/>
  <c r="AD59" i="84"/>
  <c r="AC59" i="84"/>
  <c r="H59" i="84"/>
  <c r="E59" i="84"/>
  <c r="BC58" i="84"/>
  <c r="F58" i="84"/>
  <c r="BC57" i="84"/>
  <c r="F57" i="84"/>
  <c r="BC56" i="84"/>
  <c r="F56" i="84"/>
  <c r="I44" i="84"/>
  <c r="F44" i="84"/>
  <c r="E44" i="84"/>
  <c r="H43" i="84"/>
  <c r="H42" i="84"/>
  <c r="H44" i="84" s="1"/>
  <c r="BC40" i="84"/>
  <c r="F40" i="84"/>
  <c r="BC39" i="84"/>
  <c r="F39" i="84"/>
  <c r="BC38" i="84"/>
  <c r="F38" i="84"/>
  <c r="CG34" i="84"/>
  <c r="BC34" i="84"/>
  <c r="F34" i="84"/>
  <c r="CG33" i="84"/>
  <c r="BC33" i="84"/>
  <c r="F33" i="84"/>
  <c r="CG32" i="84"/>
  <c r="BC32" i="84"/>
  <c r="F32" i="84"/>
  <c r="AM31" i="84"/>
  <c r="AL31" i="84"/>
  <c r="AK31" i="84"/>
  <c r="AJ31" i="84"/>
  <c r="AI31" i="84"/>
  <c r="AH31" i="84"/>
  <c r="AG31" i="84"/>
  <c r="AF31" i="84"/>
  <c r="AE31" i="84"/>
  <c r="AD31" i="84"/>
  <c r="AC31" i="84"/>
  <c r="H31" i="84"/>
  <c r="F31" i="84"/>
  <c r="E31" i="84"/>
  <c r="AM30" i="84"/>
  <c r="AL30" i="84"/>
  <c r="AK30" i="84"/>
  <c r="AJ30" i="84"/>
  <c r="AI30" i="84"/>
  <c r="AH30" i="84"/>
  <c r="AG30" i="84"/>
  <c r="AF30" i="84"/>
  <c r="AE30" i="84"/>
  <c r="AD30" i="84"/>
  <c r="AC30" i="84"/>
  <c r="H30" i="84"/>
  <c r="F30" i="84" s="1"/>
  <c r="E30" i="84"/>
  <c r="CG29" i="84"/>
  <c r="BC29" i="84"/>
  <c r="F29" i="84"/>
  <c r="AM28" i="84"/>
  <c r="AL28" i="84"/>
  <c r="AK28" i="84"/>
  <c r="AJ28" i="84"/>
  <c r="AI28" i="84"/>
  <c r="AH28" i="84"/>
  <c r="AG28" i="84"/>
  <c r="AF28" i="84"/>
  <c r="AE28" i="84"/>
  <c r="AD28" i="84"/>
  <c r="AC28" i="84"/>
  <c r="H28" i="84"/>
  <c r="F28" i="84" s="1"/>
  <c r="AM27" i="84"/>
  <c r="AL27" i="84"/>
  <c r="AK27" i="84"/>
  <c r="AJ27" i="84"/>
  <c r="AI27" i="84"/>
  <c r="AH27" i="84"/>
  <c r="AG27" i="84"/>
  <c r="AF27" i="84"/>
  <c r="AE27" i="84"/>
  <c r="AD27" i="84"/>
  <c r="AC27" i="84"/>
  <c r="H27" i="84"/>
  <c r="F27" i="84" s="1"/>
  <c r="F26" i="84"/>
  <c r="E26" i="84"/>
  <c r="CG23" i="84"/>
  <c r="BC23" i="84"/>
  <c r="F23" i="84"/>
  <c r="CG22" i="84"/>
  <c r="BC22" i="84"/>
  <c r="F22" i="84"/>
  <c r="CG21" i="84"/>
  <c r="BC21" i="84"/>
  <c r="F21" i="84"/>
  <c r="CG20" i="84"/>
  <c r="BC20" i="84"/>
  <c r="F20" i="84"/>
  <c r="CG19" i="84"/>
  <c r="BC19" i="84"/>
  <c r="F19" i="84"/>
  <c r="AM18" i="84"/>
  <c r="AL18" i="84"/>
  <c r="AK18" i="84"/>
  <c r="AJ18" i="84"/>
  <c r="AI18" i="84"/>
  <c r="AH18" i="84"/>
  <c r="AG18" i="84"/>
  <c r="AF18" i="84"/>
  <c r="AE18" i="84"/>
  <c r="AD18" i="84"/>
  <c r="AC18" i="84"/>
  <c r="H18" i="84"/>
  <c r="F18" i="84" s="1"/>
  <c r="E18" i="84"/>
  <c r="AM17" i="84"/>
  <c r="AL17" i="84"/>
  <c r="AK17" i="84"/>
  <c r="AJ17" i="84"/>
  <c r="AI17" i="84"/>
  <c r="AH17" i="84"/>
  <c r="AG17" i="84"/>
  <c r="AF17" i="84"/>
  <c r="AE17" i="84"/>
  <c r="AD17" i="84"/>
  <c r="AC17" i="84"/>
  <c r="H17" i="84"/>
  <c r="F17" i="84" s="1"/>
  <c r="E17" i="84"/>
  <c r="E269" i="84" s="1"/>
  <c r="AC269" i="84" s="1"/>
  <c r="CG16" i="84"/>
  <c r="BC16" i="84"/>
  <c r="F16" i="84"/>
  <c r="AM14" i="84"/>
  <c r="AL14" i="84"/>
  <c r="AK14" i="84"/>
  <c r="AJ14" i="84"/>
  <c r="AI14" i="84"/>
  <c r="AH14" i="84"/>
  <c r="AG14" i="84"/>
  <c r="AF14" i="84"/>
  <c r="AE14" i="84"/>
  <c r="AD14" i="84"/>
  <c r="AC14" i="84"/>
  <c r="H14" i="84"/>
  <c r="F14" i="84" s="1"/>
  <c r="AM13" i="84"/>
  <c r="AL13" i="84"/>
  <c r="AK13" i="84"/>
  <c r="AJ13" i="84"/>
  <c r="AI13" i="84"/>
  <c r="AH13" i="84"/>
  <c r="AG13" i="84"/>
  <c r="AF13" i="84"/>
  <c r="AE13" i="84"/>
  <c r="AD13" i="84"/>
  <c r="AC13" i="84"/>
  <c r="H13" i="84"/>
  <c r="F13" i="84" s="1"/>
  <c r="F12" i="84"/>
  <c r="E12" i="84"/>
  <c r="CB5" i="84"/>
  <c r="CA190" i="83"/>
  <c r="CA189" i="83"/>
  <c r="CB187" i="83"/>
  <c r="CA186" i="83"/>
  <c r="CB185" i="83"/>
  <c r="CB184" i="83"/>
  <c r="CB183" i="83"/>
  <c r="CB180" i="83"/>
  <c r="CB178" i="83"/>
  <c r="CB176" i="83"/>
  <c r="CA137" i="83"/>
  <c r="CA136" i="83"/>
  <c r="CB134" i="83"/>
  <c r="CB132" i="83"/>
  <c r="CB131" i="83"/>
  <c r="CB112" i="83"/>
  <c r="CB111" i="83"/>
  <c r="CB104" i="83"/>
  <c r="CB103" i="83"/>
  <c r="CB102" i="83"/>
  <c r="CB101" i="83"/>
  <c r="CB100" i="83"/>
  <c r="CB99" i="83"/>
  <c r="CB94" i="83"/>
  <c r="CB92" i="83"/>
  <c r="CB91" i="83"/>
  <c r="CB76" i="83"/>
  <c r="CB75" i="83"/>
  <c r="CB74" i="83"/>
  <c r="CG56" i="83"/>
  <c r="CB56" i="83"/>
  <c r="CG55" i="83"/>
  <c r="CB55" i="83"/>
  <c r="CG54" i="83"/>
  <c r="CG53" i="83"/>
  <c r="CB53" i="83"/>
  <c r="CG51" i="83"/>
  <c r="CB51" i="83"/>
  <c r="CG50" i="83"/>
  <c r="CA50" i="83"/>
  <c r="CG49" i="83"/>
  <c r="CB49" i="83"/>
  <c r="CG48" i="83"/>
  <c r="CB48" i="83"/>
  <c r="CG47" i="83"/>
  <c r="CB47" i="83"/>
  <c r="CG46" i="83"/>
  <c r="CB46" i="83"/>
  <c r="CG45" i="83"/>
  <c r="CB45" i="83"/>
  <c r="CG44" i="83"/>
  <c r="CB44" i="83"/>
  <c r="CG41" i="83"/>
  <c r="CB41" i="83"/>
  <c r="CG40" i="83"/>
  <c r="CB40" i="83"/>
  <c r="CG39" i="83"/>
  <c r="CB39" i="83"/>
  <c r="CG38" i="83"/>
  <c r="CB38" i="83"/>
  <c r="CB37" i="83"/>
  <c r="CG36" i="83"/>
  <c r="CB36" i="83"/>
  <c r="CG35" i="83"/>
  <c r="CA35" i="83"/>
  <c r="CG34" i="83"/>
  <c r="CC34" i="83"/>
  <c r="CB34" i="83"/>
  <c r="CG33" i="83"/>
  <c r="CF33" i="83"/>
  <c r="CB33" i="83"/>
  <c r="CG32" i="83"/>
  <c r="CB32" i="83"/>
  <c r="CG31" i="83"/>
  <c r="CB31" i="83"/>
  <c r="CG30" i="83"/>
  <c r="CG7" i="83" s="1"/>
  <c r="CE30" i="83"/>
  <c r="CB30" i="83"/>
  <c r="CG29" i="83"/>
  <c r="CB29" i="83"/>
  <c r="CB5" i="83"/>
  <c r="AM292" i="82"/>
  <c r="AL292" i="82"/>
  <c r="AK292" i="82"/>
  <c r="AJ292" i="82"/>
  <c r="AI292" i="82"/>
  <c r="AH292" i="82"/>
  <c r="AG292" i="82"/>
  <c r="AF292" i="82"/>
  <c r="AE292" i="82"/>
  <c r="AD292" i="82"/>
  <c r="AC292" i="82"/>
  <c r="V292" i="82"/>
  <c r="H292" i="82"/>
  <c r="E292" i="82"/>
  <c r="AM291" i="82"/>
  <c r="AL291" i="82"/>
  <c r="AK291" i="82"/>
  <c r="AJ291" i="82"/>
  <c r="AI291" i="82"/>
  <c r="AH291" i="82"/>
  <c r="AG291" i="82"/>
  <c r="AF291" i="82"/>
  <c r="AE291" i="82"/>
  <c r="AD291" i="82"/>
  <c r="AC291" i="82"/>
  <c r="V291" i="82"/>
  <c r="H291" i="82"/>
  <c r="AM289" i="82"/>
  <c r="AL289" i="82"/>
  <c r="AK289" i="82"/>
  <c r="AJ289" i="82"/>
  <c r="AI289" i="82"/>
  <c r="AH289" i="82"/>
  <c r="AG289" i="82"/>
  <c r="AF289" i="82"/>
  <c r="AE289" i="82"/>
  <c r="AD289" i="82"/>
  <c r="AC289" i="82"/>
  <c r="V289" i="82"/>
  <c r="H289" i="82"/>
  <c r="E289" i="82"/>
  <c r="AM288" i="82"/>
  <c r="AL288" i="82"/>
  <c r="AK288" i="82"/>
  <c r="AJ288" i="82"/>
  <c r="AI288" i="82"/>
  <c r="AH288" i="82"/>
  <c r="AG288" i="82"/>
  <c r="AF288" i="82"/>
  <c r="AE288" i="82"/>
  <c r="AD288" i="82"/>
  <c r="AC288" i="82"/>
  <c r="V288" i="82"/>
  <c r="H288" i="82"/>
  <c r="AM273" i="82"/>
  <c r="AL273" i="82"/>
  <c r="AK273" i="82"/>
  <c r="AJ273" i="82"/>
  <c r="AI273" i="82"/>
  <c r="AH273" i="82"/>
  <c r="AG273" i="82"/>
  <c r="AF273" i="82"/>
  <c r="AE273" i="82"/>
  <c r="AD273" i="82"/>
  <c r="AC273" i="82"/>
  <c r="V273" i="82"/>
  <c r="H273" i="82"/>
  <c r="E273" i="82"/>
  <c r="AM270" i="82"/>
  <c r="AL270" i="82"/>
  <c r="AK270" i="82"/>
  <c r="AJ270" i="82"/>
  <c r="AI270" i="82"/>
  <c r="AH270" i="82"/>
  <c r="AG270" i="82"/>
  <c r="AF270" i="82"/>
  <c r="AE270" i="82"/>
  <c r="AD270" i="82"/>
  <c r="AC270" i="82"/>
  <c r="V270" i="82"/>
  <c r="H270" i="82"/>
  <c r="E270" i="82"/>
  <c r="AM266" i="82"/>
  <c r="AL266" i="82"/>
  <c r="AK266" i="82"/>
  <c r="AJ266" i="82"/>
  <c r="AI266" i="82"/>
  <c r="AH266" i="82"/>
  <c r="AG266" i="82"/>
  <c r="AF266" i="82"/>
  <c r="AE266" i="82"/>
  <c r="AD266" i="82"/>
  <c r="AC266" i="82"/>
  <c r="V266" i="82"/>
  <c r="H266" i="82"/>
  <c r="E266" i="82"/>
  <c r="AM263" i="82"/>
  <c r="AL263" i="82"/>
  <c r="AK263" i="82"/>
  <c r="AJ263" i="82"/>
  <c r="AI263" i="82"/>
  <c r="AH263" i="82"/>
  <c r="AG263" i="82"/>
  <c r="AF263" i="82"/>
  <c r="AE263" i="82"/>
  <c r="AD263" i="82"/>
  <c r="AC263" i="82"/>
  <c r="V263" i="82"/>
  <c r="H263" i="82"/>
  <c r="E263" i="82"/>
  <c r="AM252" i="82"/>
  <c r="AL252" i="82"/>
  <c r="AK252" i="82"/>
  <c r="AJ252" i="82"/>
  <c r="AI252" i="82"/>
  <c r="AH252" i="82"/>
  <c r="AG252" i="82"/>
  <c r="AF252" i="82"/>
  <c r="AE252" i="82"/>
  <c r="AD252" i="82"/>
  <c r="AC252" i="82"/>
  <c r="V252" i="82"/>
  <c r="H252" i="82"/>
  <c r="E252" i="82"/>
  <c r="AM249" i="82"/>
  <c r="AL249" i="82"/>
  <c r="AK249" i="82"/>
  <c r="AJ249" i="82"/>
  <c r="AI249" i="82"/>
  <c r="AH249" i="82"/>
  <c r="AG249" i="82"/>
  <c r="AF249" i="82"/>
  <c r="AE249" i="82"/>
  <c r="AD249" i="82"/>
  <c r="AC249" i="82"/>
  <c r="V249" i="82"/>
  <c r="H249" i="82"/>
  <c r="E249" i="82"/>
  <c r="AM246" i="82"/>
  <c r="AL246" i="82"/>
  <c r="AK246" i="82"/>
  <c r="AJ246" i="82"/>
  <c r="AI246" i="82"/>
  <c r="AH246" i="82"/>
  <c r="AG246" i="82"/>
  <c r="AF246" i="82"/>
  <c r="AE246" i="82"/>
  <c r="AD246" i="82"/>
  <c r="AC246" i="82"/>
  <c r="V246" i="82"/>
  <c r="H246" i="82"/>
  <c r="E246" i="82"/>
  <c r="AM236" i="82"/>
  <c r="AL236" i="82"/>
  <c r="AK236" i="82"/>
  <c r="AJ236" i="82"/>
  <c r="AI236" i="82"/>
  <c r="AH236" i="82"/>
  <c r="AG236" i="82"/>
  <c r="AF236" i="82"/>
  <c r="AE236" i="82"/>
  <c r="AD236" i="82"/>
  <c r="AC236" i="82"/>
  <c r="V236" i="82"/>
  <c r="H236" i="82"/>
  <c r="E236" i="82"/>
  <c r="AM233" i="82"/>
  <c r="AL233" i="82"/>
  <c r="AK233" i="82"/>
  <c r="AJ233" i="82"/>
  <c r="AI233" i="82"/>
  <c r="AH233" i="82"/>
  <c r="AG233" i="82"/>
  <c r="AF233" i="82"/>
  <c r="AE233" i="82"/>
  <c r="AD233" i="82"/>
  <c r="AC233" i="82"/>
  <c r="V233" i="82"/>
  <c r="H233" i="82"/>
  <c r="E233" i="82"/>
  <c r="AM230" i="82"/>
  <c r="AL230" i="82"/>
  <c r="AK230" i="82"/>
  <c r="AJ230" i="82"/>
  <c r="AI230" i="82"/>
  <c r="AH230" i="82"/>
  <c r="AG230" i="82"/>
  <c r="AF230" i="82"/>
  <c r="AE230" i="82"/>
  <c r="AD230" i="82"/>
  <c r="AC230" i="82"/>
  <c r="V230" i="82"/>
  <c r="H230" i="82"/>
  <c r="E230" i="82"/>
  <c r="H203" i="82"/>
  <c r="AM201" i="82"/>
  <c r="AL201" i="82"/>
  <c r="AK201" i="82"/>
  <c r="AJ201" i="82"/>
  <c r="AI201" i="82"/>
  <c r="AH201" i="82"/>
  <c r="AG201" i="82"/>
  <c r="AF201" i="82"/>
  <c r="AE201" i="82"/>
  <c r="AD201" i="82"/>
  <c r="AC201" i="82"/>
  <c r="V201" i="82"/>
  <c r="H201" i="82"/>
  <c r="E201" i="82"/>
  <c r="BC201" i="82" s="1"/>
  <c r="F200" i="82"/>
  <c r="F201" i="82" s="1"/>
  <c r="CA190" i="82"/>
  <c r="BC190" i="82"/>
  <c r="CA189" i="82"/>
  <c r="BC189" i="82"/>
  <c r="CB187" i="82"/>
  <c r="CA186" i="82"/>
  <c r="CB185" i="82"/>
  <c r="CB184" i="82"/>
  <c r="BC184" i="82"/>
  <c r="CB183" i="82"/>
  <c r="E181" i="82"/>
  <c r="CB180" i="82"/>
  <c r="CB178" i="82"/>
  <c r="CB176" i="82"/>
  <c r="CA137" i="82"/>
  <c r="BC137" i="82"/>
  <c r="F137" i="82"/>
  <c r="CA136" i="82"/>
  <c r="BC136" i="82"/>
  <c r="F136" i="82"/>
  <c r="CB134" i="82"/>
  <c r="BC134" i="82"/>
  <c r="F134" i="82"/>
  <c r="V133" i="82"/>
  <c r="H133" i="82"/>
  <c r="H135" i="82" s="1"/>
  <c r="H138" i="82" s="1"/>
  <c r="E133" i="82"/>
  <c r="E135" i="82" s="1"/>
  <c r="CB132" i="82"/>
  <c r="BC132" i="82"/>
  <c r="F132" i="82"/>
  <c r="CB131" i="82"/>
  <c r="BC131" i="82"/>
  <c r="F131" i="82"/>
  <c r="BC130" i="82"/>
  <c r="F130" i="82"/>
  <c r="H115" i="82"/>
  <c r="AM113" i="82"/>
  <c r="AL113" i="82"/>
  <c r="AK113" i="82"/>
  <c r="AJ113" i="82"/>
  <c r="AI113" i="82"/>
  <c r="AH113" i="82"/>
  <c r="AG113" i="82"/>
  <c r="AF113" i="82"/>
  <c r="AE113" i="82"/>
  <c r="AD113" i="82"/>
  <c r="AC113" i="82"/>
  <c r="H113" i="82"/>
  <c r="E113" i="82"/>
  <c r="CB112" i="82"/>
  <c r="BC112" i="82"/>
  <c r="F112" i="82"/>
  <c r="CB111" i="82"/>
  <c r="BC111" i="82"/>
  <c r="F111" i="82"/>
  <c r="CB104" i="82"/>
  <c r="CB103" i="82"/>
  <c r="CB102" i="82"/>
  <c r="CB101" i="82"/>
  <c r="CB100" i="82"/>
  <c r="CB99" i="82"/>
  <c r="CB94" i="82"/>
  <c r="CB92" i="82"/>
  <c r="CB91" i="82"/>
  <c r="E88" i="82"/>
  <c r="E77" i="82"/>
  <c r="CB76" i="82"/>
  <c r="CB75" i="82"/>
  <c r="CB74" i="82"/>
  <c r="I64" i="82"/>
  <c r="F64" i="82"/>
  <c r="E64" i="82"/>
  <c r="H63" i="82"/>
  <c r="H62" i="82"/>
  <c r="BC60" i="82"/>
  <c r="CG56" i="82"/>
  <c r="CB56" i="82"/>
  <c r="BC56" i="82"/>
  <c r="F56" i="82"/>
  <c r="CG55" i="82"/>
  <c r="CB55" i="82"/>
  <c r="BC55" i="82"/>
  <c r="F55" i="82"/>
  <c r="CG54" i="82"/>
  <c r="BC54" i="82"/>
  <c r="F54" i="82"/>
  <c r="CG53" i="82"/>
  <c r="CB53" i="82"/>
  <c r="BC53" i="82"/>
  <c r="F53" i="82"/>
  <c r="BC52" i="82"/>
  <c r="F52" i="82"/>
  <c r="CG51" i="82"/>
  <c r="CB51" i="82"/>
  <c r="BC51" i="82"/>
  <c r="F51" i="82"/>
  <c r="CG50" i="82"/>
  <c r="CA50" i="82"/>
  <c r="BC50" i="82"/>
  <c r="F50" i="82"/>
  <c r="AM49" i="82"/>
  <c r="AL49" i="82"/>
  <c r="AK49" i="82"/>
  <c r="AJ49" i="82"/>
  <c r="AI49" i="82"/>
  <c r="AH49" i="82"/>
  <c r="AG49" i="82"/>
  <c r="AF49" i="82"/>
  <c r="AE49" i="82"/>
  <c r="AD49" i="82"/>
  <c r="AC49" i="82"/>
  <c r="V49" i="82"/>
  <c r="H49" i="82"/>
  <c r="E49" i="82"/>
  <c r="AM48" i="82"/>
  <c r="AL48" i="82"/>
  <c r="AK48" i="82"/>
  <c r="AJ48" i="82"/>
  <c r="AI48" i="82"/>
  <c r="AH48" i="82"/>
  <c r="AG48" i="82"/>
  <c r="AF48" i="82"/>
  <c r="AE48" i="82"/>
  <c r="AD48" i="82"/>
  <c r="AC48" i="82"/>
  <c r="H48" i="82"/>
  <c r="F48" i="82" s="1"/>
  <c r="E48" i="82"/>
  <c r="CG47" i="82"/>
  <c r="CB47" i="82"/>
  <c r="BC47" i="82"/>
  <c r="F47" i="82"/>
  <c r="F292" i="82" s="1"/>
  <c r="AM46" i="82"/>
  <c r="AL46" i="82"/>
  <c r="AK46" i="82"/>
  <c r="AJ46" i="82"/>
  <c r="AI46" i="82"/>
  <c r="AH46" i="82"/>
  <c r="AG46" i="82"/>
  <c r="AF46" i="82"/>
  <c r="AE46" i="82"/>
  <c r="AD46" i="82"/>
  <c r="AC46" i="82"/>
  <c r="H46" i="82"/>
  <c r="F46" i="82" s="1"/>
  <c r="E46" i="82"/>
  <c r="AM45" i="82"/>
  <c r="AL45" i="82"/>
  <c r="AK45" i="82"/>
  <c r="AJ45" i="82"/>
  <c r="AI45" i="82"/>
  <c r="AH45" i="82"/>
  <c r="AG45" i="82"/>
  <c r="AF45" i="82"/>
  <c r="AE45" i="82"/>
  <c r="AD45" i="82"/>
  <c r="AC45" i="82"/>
  <c r="H45" i="82"/>
  <c r="F45" i="82" s="1"/>
  <c r="E45" i="82"/>
  <c r="CG45" i="82" s="1"/>
  <c r="F44" i="82"/>
  <c r="F291" i="82" s="1"/>
  <c r="E44" i="82"/>
  <c r="CG41" i="82"/>
  <c r="CB41" i="82"/>
  <c r="BC41" i="82"/>
  <c r="F41" i="82"/>
  <c r="CG40" i="82"/>
  <c r="CB40" i="82"/>
  <c r="BC40" i="82"/>
  <c r="F40" i="82"/>
  <c r="CG39" i="82"/>
  <c r="CB39" i="82"/>
  <c r="BC39" i="82"/>
  <c r="F39" i="82"/>
  <c r="CG38" i="82"/>
  <c r="CB38" i="82"/>
  <c r="BC38" i="82"/>
  <c r="F38" i="82"/>
  <c r="CB37" i="82"/>
  <c r="BC37" i="82"/>
  <c r="F37" i="82"/>
  <c r="CG36" i="82"/>
  <c r="CB36" i="82"/>
  <c r="BC36" i="82"/>
  <c r="F36" i="82"/>
  <c r="CG35" i="82"/>
  <c r="CA35" i="82"/>
  <c r="BC35" i="82"/>
  <c r="F35" i="82"/>
  <c r="CC34" i="82"/>
  <c r="AM34" i="82"/>
  <c r="AL34" i="82"/>
  <c r="AK34" i="82"/>
  <c r="AJ34" i="82"/>
  <c r="AI34" i="82"/>
  <c r="AH34" i="82"/>
  <c r="AG34" i="82"/>
  <c r="AF34" i="82"/>
  <c r="AE34" i="82"/>
  <c r="AD34" i="82"/>
  <c r="AC34" i="82"/>
  <c r="V34" i="82"/>
  <c r="H34" i="82"/>
  <c r="E34" i="82"/>
  <c r="CG34" i="82" s="1"/>
  <c r="AM33" i="82"/>
  <c r="AL33" i="82"/>
  <c r="AK33" i="82"/>
  <c r="AJ33" i="82"/>
  <c r="AI33" i="82"/>
  <c r="AH33" i="82"/>
  <c r="AG33" i="82"/>
  <c r="AF33" i="82"/>
  <c r="AE33" i="82"/>
  <c r="AD33" i="82"/>
  <c r="AC33" i="82"/>
  <c r="H33" i="82"/>
  <c r="F33" i="82" s="1"/>
  <c r="E33" i="82"/>
  <c r="CG32" i="82"/>
  <c r="CB32" i="82"/>
  <c r="BC32" i="82"/>
  <c r="F32" i="82"/>
  <c r="F289" i="82" s="1"/>
  <c r="AM31" i="82"/>
  <c r="AL31" i="82"/>
  <c r="AK31" i="82"/>
  <c r="AJ31" i="82"/>
  <c r="AI31" i="82"/>
  <c r="AH31" i="82"/>
  <c r="AG31" i="82"/>
  <c r="AF31" i="82"/>
  <c r="AE31" i="82"/>
  <c r="AD31" i="82"/>
  <c r="AC31" i="82"/>
  <c r="H31" i="82"/>
  <c r="F31" i="82" s="1"/>
  <c r="E31" i="82"/>
  <c r="AM30" i="82"/>
  <c r="AL30" i="82"/>
  <c r="AL42" i="82" s="1"/>
  <c r="AK30" i="82"/>
  <c r="AJ30" i="82"/>
  <c r="AI30" i="82"/>
  <c r="AH30" i="82"/>
  <c r="AH42" i="82" s="1"/>
  <c r="AG30" i="82"/>
  <c r="AF30" i="82"/>
  <c r="AE30" i="82"/>
  <c r="AD30" i="82"/>
  <c r="AD42" i="82" s="1"/>
  <c r="AC30" i="82"/>
  <c r="H30" i="82"/>
  <c r="E30" i="82"/>
  <c r="F29" i="82"/>
  <c r="F288" i="82" s="1"/>
  <c r="F290" i="82" s="1"/>
  <c r="E29" i="82"/>
  <c r="CB5" i="82"/>
  <c r="CA247" i="81"/>
  <c r="CA243" i="81"/>
  <c r="CA242" i="81"/>
  <c r="CA239" i="81"/>
  <c r="CA238" i="81"/>
  <c r="CD230" i="81"/>
  <c r="CA105" i="81"/>
  <c r="CB103" i="81"/>
  <c r="CA102" i="81"/>
  <c r="CA101" i="81"/>
  <c r="CB100" i="81"/>
  <c r="CH76" i="81"/>
  <c r="CH71" i="81"/>
  <c r="CB53" i="81"/>
  <c r="CB52" i="81"/>
  <c r="CB51" i="81"/>
  <c r="CB50" i="81"/>
  <c r="CB49" i="81"/>
  <c r="CB48" i="81"/>
  <c r="CB37" i="81"/>
  <c r="CB36" i="81"/>
  <c r="CA23" i="81"/>
  <c r="CA7" i="81" s="1"/>
  <c r="CA22" i="81"/>
  <c r="CA21" i="81"/>
  <c r="CB20" i="81"/>
  <c r="CB17" i="81"/>
  <c r="CB16" i="81"/>
  <c r="CB5" i="81"/>
  <c r="CA247" i="80"/>
  <c r="O247" i="80"/>
  <c r="O244" i="80"/>
  <c r="CA243" i="80"/>
  <c r="O243" i="80"/>
  <c r="CA242" i="80"/>
  <c r="O242" i="80"/>
  <c r="N241" i="80"/>
  <c r="M241" i="80"/>
  <c r="L241" i="80"/>
  <c r="K241" i="80"/>
  <c r="J241" i="80"/>
  <c r="I241" i="80"/>
  <c r="H241" i="80"/>
  <c r="G241" i="80"/>
  <c r="F241" i="80"/>
  <c r="E241" i="80"/>
  <c r="O240" i="80"/>
  <c r="CA239" i="80"/>
  <c r="O239" i="80"/>
  <c r="CA238" i="80"/>
  <c r="O238" i="80"/>
  <c r="O237" i="80"/>
  <c r="O236" i="80"/>
  <c r="O235" i="80"/>
  <c r="N234" i="80"/>
  <c r="O233" i="80"/>
  <c r="M229" i="80"/>
  <c r="L229" i="80"/>
  <c r="K229" i="80"/>
  <c r="J229" i="80"/>
  <c r="I229" i="80"/>
  <c r="H229" i="80"/>
  <c r="G229" i="80"/>
  <c r="F229" i="80"/>
  <c r="E229" i="80"/>
  <c r="N107" i="80"/>
  <c r="L106" i="80"/>
  <c r="K106" i="80"/>
  <c r="L105" i="80"/>
  <c r="CA105" i="80" s="1"/>
  <c r="K105" i="80"/>
  <c r="M104" i="80"/>
  <c r="J104" i="80"/>
  <c r="I104" i="80"/>
  <c r="H104" i="80"/>
  <c r="G104" i="80"/>
  <c r="F104" i="80"/>
  <c r="E104" i="80"/>
  <c r="CB103" i="80"/>
  <c r="L103" i="80"/>
  <c r="K103" i="80"/>
  <c r="L102" i="80"/>
  <c r="K102" i="80"/>
  <c r="L101" i="80"/>
  <c r="CD101" i="80" s="1"/>
  <c r="K101" i="80"/>
  <c r="CB100" i="80"/>
  <c r="L100" i="80"/>
  <c r="K100" i="80"/>
  <c r="L99" i="80"/>
  <c r="K99" i="80"/>
  <c r="L98" i="80"/>
  <c r="K98" i="80"/>
  <c r="M97" i="80"/>
  <c r="J97" i="80"/>
  <c r="I97" i="80"/>
  <c r="H97" i="80"/>
  <c r="G97" i="80"/>
  <c r="F97" i="80"/>
  <c r="E97" i="80"/>
  <c r="L96" i="80"/>
  <c r="K96" i="80"/>
  <c r="K92" i="80"/>
  <c r="T76" i="80"/>
  <c r="S76" i="80"/>
  <c r="Q76" i="80"/>
  <c r="P76" i="80"/>
  <c r="O76" i="80"/>
  <c r="N76" i="80"/>
  <c r="M76" i="80"/>
  <c r="L76" i="80"/>
  <c r="K76" i="80"/>
  <c r="J76" i="80"/>
  <c r="I76" i="80"/>
  <c r="H76" i="80"/>
  <c r="G76" i="80"/>
  <c r="U75" i="80"/>
  <c r="U74" i="80"/>
  <c r="T71" i="80"/>
  <c r="S71" i="80"/>
  <c r="Q71" i="80"/>
  <c r="P71" i="80"/>
  <c r="O71" i="80"/>
  <c r="N71" i="80"/>
  <c r="M71" i="80"/>
  <c r="L71" i="80"/>
  <c r="K71" i="80"/>
  <c r="J71" i="80"/>
  <c r="I71" i="80"/>
  <c r="H71" i="80"/>
  <c r="G71" i="80"/>
  <c r="U70" i="80"/>
  <c r="U69" i="80"/>
  <c r="CB53" i="80"/>
  <c r="H52" i="80"/>
  <c r="G52" i="80"/>
  <c r="F52" i="80"/>
  <c r="E52" i="80"/>
  <c r="H51" i="80"/>
  <c r="G51" i="80"/>
  <c r="CE50" i="80" s="1"/>
  <c r="F51" i="80"/>
  <c r="E51" i="80"/>
  <c r="H50" i="80"/>
  <c r="G50" i="80"/>
  <c r="F50" i="80"/>
  <c r="F48" i="80" s="1"/>
  <c r="E50" i="80"/>
  <c r="H49" i="80"/>
  <c r="G49" i="80"/>
  <c r="F49" i="80"/>
  <c r="E49" i="80"/>
  <c r="E38" i="80"/>
  <c r="CB37" i="80"/>
  <c r="CB36" i="80"/>
  <c r="F25" i="80"/>
  <c r="E25" i="80"/>
  <c r="CI23" i="80"/>
  <c r="CA23" i="80"/>
  <c r="CA22" i="80"/>
  <c r="CA21" i="80"/>
  <c r="BC21" i="80"/>
  <c r="CC20" i="80"/>
  <c r="CB20" i="80"/>
  <c r="BC20" i="80"/>
  <c r="BC19" i="80"/>
  <c r="CB17" i="80"/>
  <c r="E11" i="80"/>
  <c r="E16" i="80" s="1"/>
  <c r="CB16" i="80" s="1"/>
  <c r="CB5" i="80"/>
  <c r="CB79" i="79"/>
  <c r="CD63" i="79"/>
  <c r="CB62" i="79"/>
  <c r="CB61" i="79"/>
  <c r="CB59" i="79"/>
  <c r="CB58" i="79"/>
  <c r="CB57" i="79"/>
  <c r="CA54" i="79"/>
  <c r="CA52" i="79"/>
  <c r="CB50" i="79"/>
  <c r="CA48" i="79"/>
  <c r="CB47" i="79"/>
  <c r="CB46" i="79"/>
  <c r="CA45" i="79"/>
  <c r="CA31" i="79"/>
  <c r="CA28" i="79"/>
  <c r="CB27" i="79"/>
  <c r="CA26" i="79"/>
  <c r="CB22" i="79"/>
  <c r="CB21" i="79"/>
  <c r="CB20" i="79"/>
  <c r="CB19" i="79"/>
  <c r="CB5" i="79"/>
  <c r="CB79" i="78"/>
  <c r="J79" i="78"/>
  <c r="I78" i="78"/>
  <c r="I80" i="78" s="1"/>
  <c r="I80" i="19" s="1"/>
  <c r="H78" i="78"/>
  <c r="H80" i="78" s="1"/>
  <c r="H80" i="19" s="1"/>
  <c r="G78" i="78"/>
  <c r="G80" i="78" s="1"/>
  <c r="G80" i="19" s="1"/>
  <c r="F78" i="78"/>
  <c r="F80" i="78" s="1"/>
  <c r="F80" i="19" s="1"/>
  <c r="E78" i="78"/>
  <c r="E80" i="78" s="1"/>
  <c r="J76" i="78"/>
  <c r="CB62" i="78"/>
  <c r="J62" i="78"/>
  <c r="CB61" i="78"/>
  <c r="J61" i="78"/>
  <c r="I60" i="78"/>
  <c r="I63" i="78" s="1"/>
  <c r="H60" i="78"/>
  <c r="H63" i="78" s="1"/>
  <c r="G60" i="78"/>
  <c r="G63" i="78" s="1"/>
  <c r="F60" i="78"/>
  <c r="F63" i="78" s="1"/>
  <c r="E60" i="78"/>
  <c r="E63" i="78" s="1"/>
  <c r="CB59" i="78"/>
  <c r="J59" i="78"/>
  <c r="CB58" i="78"/>
  <c r="J58" i="78"/>
  <c r="CB57" i="78"/>
  <c r="J57" i="78"/>
  <c r="CA54" i="78"/>
  <c r="J53" i="78"/>
  <c r="CA52" i="78"/>
  <c r="J52" i="78"/>
  <c r="CB50" i="78"/>
  <c r="J50" i="78"/>
  <c r="I49" i="78"/>
  <c r="H49" i="78"/>
  <c r="G49" i="78"/>
  <c r="F49" i="78"/>
  <c r="E49" i="78"/>
  <c r="CA48" i="78"/>
  <c r="J48" i="78"/>
  <c r="CB47" i="78"/>
  <c r="J47" i="78"/>
  <c r="CB46" i="78"/>
  <c r="J46" i="78"/>
  <c r="CA45" i="78"/>
  <c r="J45" i="78"/>
  <c r="J44" i="78"/>
  <c r="J43" i="78"/>
  <c r="J40" i="78"/>
  <c r="J35" i="78"/>
  <c r="I35" i="78"/>
  <c r="H35" i="78"/>
  <c r="G35" i="78"/>
  <c r="F35" i="78"/>
  <c r="E35" i="78"/>
  <c r="J32" i="78"/>
  <c r="CA31" i="78"/>
  <c r="J31" i="78"/>
  <c r="I30" i="78"/>
  <c r="H30" i="78"/>
  <c r="G30" i="78"/>
  <c r="F30" i="78"/>
  <c r="E30" i="78"/>
  <c r="J29" i="78"/>
  <c r="CA28" i="78"/>
  <c r="J28" i="78"/>
  <c r="CB27" i="78"/>
  <c r="J27" i="78"/>
  <c r="CA26" i="78"/>
  <c r="J26" i="78"/>
  <c r="J25" i="78"/>
  <c r="J24" i="78"/>
  <c r="J23" i="78"/>
  <c r="CB22" i="78"/>
  <c r="J22" i="78"/>
  <c r="CB21" i="78"/>
  <c r="J21" i="78"/>
  <c r="CB20" i="78"/>
  <c r="J20" i="78"/>
  <c r="CB19" i="78"/>
  <c r="J19" i="78"/>
  <c r="J18" i="78"/>
  <c r="J17" i="78"/>
  <c r="J15" i="78"/>
  <c r="J11" i="78"/>
  <c r="I11" i="78"/>
  <c r="H11" i="78"/>
  <c r="G11" i="78"/>
  <c r="F11" i="78"/>
  <c r="E11" i="78"/>
  <c r="CB5" i="78"/>
  <c r="CB185" i="77"/>
  <c r="CB182" i="77"/>
  <c r="CB115" i="77"/>
  <c r="CB114" i="77"/>
  <c r="CB107" i="77"/>
  <c r="CB106" i="77"/>
  <c r="CB105" i="77"/>
  <c r="CB104" i="77"/>
  <c r="CB103" i="77"/>
  <c r="CB102" i="77"/>
  <c r="CB100" i="77"/>
  <c r="CB99" i="77"/>
  <c r="CB98" i="77"/>
  <c r="CB97" i="77"/>
  <c r="CB96" i="77"/>
  <c r="CK72" i="77"/>
  <c r="CB70" i="77"/>
  <c r="CB69" i="77"/>
  <c r="CB68" i="77"/>
  <c r="CB66" i="77"/>
  <c r="CB65" i="77"/>
  <c r="CB64" i="77"/>
  <c r="CA56" i="77"/>
  <c r="CA54" i="77"/>
  <c r="CB52" i="77"/>
  <c r="CA50" i="77"/>
  <c r="CB49" i="77"/>
  <c r="CA47" i="77"/>
  <c r="CA33" i="77"/>
  <c r="CB31" i="77"/>
  <c r="CA30" i="77"/>
  <c r="CA28" i="77"/>
  <c r="CB25" i="77"/>
  <c r="CB24" i="77"/>
  <c r="CB23" i="77"/>
  <c r="CB22" i="77"/>
  <c r="CB5" i="77"/>
  <c r="E186" i="76"/>
  <c r="CB185" i="76"/>
  <c r="CB182" i="76"/>
  <c r="CB115" i="76"/>
  <c r="H115" i="76"/>
  <c r="CB114" i="76"/>
  <c r="H114" i="76"/>
  <c r="CB107" i="76"/>
  <c r="CB106" i="76"/>
  <c r="CB105" i="76"/>
  <c r="CB104" i="76"/>
  <c r="CB103" i="76"/>
  <c r="CB102" i="76"/>
  <c r="CB100" i="76"/>
  <c r="CB99" i="76"/>
  <c r="CB98" i="76"/>
  <c r="CB97" i="76"/>
  <c r="CB96" i="76"/>
  <c r="M87" i="76"/>
  <c r="L86" i="76"/>
  <c r="L88" i="76" s="1"/>
  <c r="K86" i="76"/>
  <c r="K88" i="76" s="1"/>
  <c r="J86" i="76"/>
  <c r="J88" i="76" s="1"/>
  <c r="J88" i="18" s="1"/>
  <c r="I86" i="76"/>
  <c r="I88" i="76" s="1"/>
  <c r="H86" i="76"/>
  <c r="H88" i="76" s="1"/>
  <c r="G86" i="76"/>
  <c r="G88" i="76" s="1"/>
  <c r="F86" i="76"/>
  <c r="F88" i="76" s="1"/>
  <c r="F88" i="18" s="1"/>
  <c r="E86" i="76"/>
  <c r="E88" i="76" s="1"/>
  <c r="M84" i="76"/>
  <c r="CB70" i="76"/>
  <c r="M70" i="76"/>
  <c r="CB69" i="76"/>
  <c r="M69" i="76"/>
  <c r="CB68" i="76"/>
  <c r="M68" i="76"/>
  <c r="L67" i="76"/>
  <c r="K67" i="76"/>
  <c r="J67" i="76"/>
  <c r="I67" i="76"/>
  <c r="H67" i="76"/>
  <c r="G67" i="76"/>
  <c r="F67" i="76"/>
  <c r="E67" i="76"/>
  <c r="CB66" i="76"/>
  <c r="M66" i="76"/>
  <c r="CB65" i="76"/>
  <c r="M65" i="76"/>
  <c r="CB64" i="76"/>
  <c r="M64" i="76"/>
  <c r="CA56" i="76"/>
  <c r="M55" i="76"/>
  <c r="CA54" i="76"/>
  <c r="M54" i="76"/>
  <c r="CB52" i="76"/>
  <c r="M52" i="76"/>
  <c r="L51" i="76"/>
  <c r="K51" i="76"/>
  <c r="J51" i="76"/>
  <c r="I51" i="76"/>
  <c r="H51" i="76"/>
  <c r="G51" i="76"/>
  <c r="F51" i="76"/>
  <c r="E51" i="76"/>
  <c r="CA50" i="76"/>
  <c r="M50" i="76"/>
  <c r="CB49" i="76"/>
  <c r="M49" i="76"/>
  <c r="M48" i="76"/>
  <c r="CA47" i="76"/>
  <c r="M47" i="76"/>
  <c r="M46" i="76"/>
  <c r="M45" i="76"/>
  <c r="M42" i="76"/>
  <c r="L37" i="76"/>
  <c r="K37" i="76"/>
  <c r="J37" i="76"/>
  <c r="I37" i="76"/>
  <c r="H37" i="76"/>
  <c r="G37" i="76"/>
  <c r="F37" i="76"/>
  <c r="E37" i="76"/>
  <c r="M34" i="76"/>
  <c r="CA33" i="76"/>
  <c r="M33" i="76"/>
  <c r="L32" i="76"/>
  <c r="K32" i="76"/>
  <c r="J32" i="76"/>
  <c r="I32" i="76"/>
  <c r="H32" i="76"/>
  <c r="G32" i="76"/>
  <c r="F32" i="76"/>
  <c r="E32" i="76"/>
  <c r="CB31" i="76"/>
  <c r="M31" i="76"/>
  <c r="CA30" i="76"/>
  <c r="M30" i="76"/>
  <c r="M29" i="76"/>
  <c r="CA28" i="76"/>
  <c r="M28" i="76"/>
  <c r="M27" i="76"/>
  <c r="M26" i="76"/>
  <c r="CB25" i="76"/>
  <c r="M25" i="76"/>
  <c r="CB24" i="76"/>
  <c r="M24" i="76"/>
  <c r="CB23" i="76"/>
  <c r="M23" i="76"/>
  <c r="CB22" i="76"/>
  <c r="M22" i="76"/>
  <c r="H21" i="76"/>
  <c r="M20" i="76"/>
  <c r="M19" i="76"/>
  <c r="M17" i="76"/>
  <c r="M13" i="76"/>
  <c r="L13" i="76"/>
  <c r="K13" i="76"/>
  <c r="J13" i="76"/>
  <c r="I13" i="76"/>
  <c r="H13" i="76"/>
  <c r="G13" i="76"/>
  <c r="F13" i="76"/>
  <c r="E13" i="76"/>
  <c r="CB5" i="76"/>
  <c r="CA85" i="75"/>
  <c r="CC67" i="75"/>
  <c r="BC67" i="75"/>
  <c r="CB67" i="75" s="1"/>
  <c r="AE66" i="75"/>
  <c r="AE69" i="75" s="1"/>
  <c r="AC66" i="75"/>
  <c r="AC69" i="75" s="1"/>
  <c r="AA66" i="75"/>
  <c r="AA69" i="75" s="1"/>
  <c r="Y66" i="75"/>
  <c r="Y69" i="75" s="1"/>
  <c r="W66" i="75"/>
  <c r="W69" i="75" s="1"/>
  <c r="U66" i="75"/>
  <c r="U69" i="75" s="1"/>
  <c r="S66" i="75"/>
  <c r="S69" i="75" s="1"/>
  <c r="R66" i="75"/>
  <c r="R69" i="75" s="1"/>
  <c r="Q66" i="75"/>
  <c r="Q69" i="75" s="1"/>
  <c r="P66" i="75"/>
  <c r="P69" i="75" s="1"/>
  <c r="O66" i="75"/>
  <c r="O69" i="75" s="1"/>
  <c r="CC64" i="75"/>
  <c r="BC64" i="75"/>
  <c r="CB64" i="75" s="1"/>
  <c r="H63" i="75"/>
  <c r="E63" i="75"/>
  <c r="CC62" i="75"/>
  <c r="BC62" i="75"/>
  <c r="CB62" i="75" s="1"/>
  <c r="CC61" i="75"/>
  <c r="BC61" i="75"/>
  <c r="H59" i="75"/>
  <c r="E59" i="75"/>
  <c r="CC58" i="75"/>
  <c r="BC58" i="75"/>
  <c r="CB58" i="75" s="1"/>
  <c r="CC57" i="75"/>
  <c r="BC57" i="75"/>
  <c r="CC55" i="75"/>
  <c r="BC55" i="75"/>
  <c r="CB55" i="75" s="1"/>
  <c r="CC54" i="75"/>
  <c r="BC54" i="75"/>
  <c r="CB54" i="75" s="1"/>
  <c r="BC47" i="75"/>
  <c r="H46" i="75"/>
  <c r="E46" i="75"/>
  <c r="BC45" i="75"/>
  <c r="BC44" i="75"/>
  <c r="BC43" i="75"/>
  <c r="BC42" i="75"/>
  <c r="E41" i="75"/>
  <c r="BC40" i="75"/>
  <c r="CA40" i="75" s="1"/>
  <c r="BC39" i="75"/>
  <c r="E38" i="75"/>
  <c r="BC37" i="75"/>
  <c r="CA37" i="75" s="1"/>
  <c r="BC36" i="75"/>
  <c r="E35" i="75"/>
  <c r="BC34" i="75"/>
  <c r="CA34" i="75" s="1"/>
  <c r="BC33" i="75"/>
  <c r="BC35" i="75" s="1"/>
  <c r="E32" i="75"/>
  <c r="BC31" i="75"/>
  <c r="CA31" i="75" s="1"/>
  <c r="BC30" i="75"/>
  <c r="AE22" i="75"/>
  <c r="AC22" i="75"/>
  <c r="AA22" i="75"/>
  <c r="Y22" i="75"/>
  <c r="W22" i="75"/>
  <c r="U22" i="75"/>
  <c r="S22" i="75"/>
  <c r="R22" i="75"/>
  <c r="Q22" i="75"/>
  <c r="P22" i="75"/>
  <c r="O22" i="75"/>
  <c r="E22" i="75"/>
  <c r="CC21" i="75"/>
  <c r="BC21" i="75"/>
  <c r="CB21" i="75" s="1"/>
  <c r="CC20" i="75"/>
  <c r="BC20" i="75"/>
  <c r="CB20" i="75" s="1"/>
  <c r="CC19" i="75"/>
  <c r="BC19" i="75"/>
  <c r="CB19" i="75" s="1"/>
  <c r="CC18" i="75"/>
  <c r="BC18" i="75"/>
  <c r="CB18" i="75" s="1"/>
  <c r="CC17" i="75"/>
  <c r="BC17" i="75"/>
  <c r="CB17" i="75" s="1"/>
  <c r="CC16" i="75"/>
  <c r="BC16" i="75"/>
  <c r="AE14" i="75"/>
  <c r="AE23" i="75" s="1"/>
  <c r="AC14" i="75"/>
  <c r="AC23" i="75" s="1"/>
  <c r="AA14" i="75"/>
  <c r="AA23" i="75" s="1"/>
  <c r="Y14" i="75"/>
  <c r="Y23" i="75" s="1"/>
  <c r="W14" i="75"/>
  <c r="W23" i="75" s="1"/>
  <c r="U14" i="75"/>
  <c r="U23" i="75" s="1"/>
  <c r="S14" i="75"/>
  <c r="S23" i="75" s="1"/>
  <c r="R14" i="75"/>
  <c r="R23" i="75" s="1"/>
  <c r="Q14" i="75"/>
  <c r="Q23" i="75" s="1"/>
  <c r="P14" i="75"/>
  <c r="P23" i="75" s="1"/>
  <c r="O14" i="75"/>
  <c r="O23" i="75" s="1"/>
  <c r="E14" i="75"/>
  <c r="CC13" i="75"/>
  <c r="BC13" i="75"/>
  <c r="CB13" i="75" s="1"/>
  <c r="CC12" i="75"/>
  <c r="BC12" i="75"/>
  <c r="CB12" i="75" s="1"/>
  <c r="CC11" i="75"/>
  <c r="BC11" i="75"/>
  <c r="CB5" i="75"/>
  <c r="E44" i="74"/>
  <c r="D44" i="74"/>
  <c r="K17" i="74"/>
  <c r="J17" i="74"/>
  <c r="G17" i="74"/>
  <c r="F17" i="74"/>
  <c r="E17" i="74"/>
  <c r="D17" i="74"/>
  <c r="CE16" i="74"/>
  <c r="CD16" i="74"/>
  <c r="I16" i="74"/>
  <c r="H16" i="74"/>
  <c r="CE15" i="74"/>
  <c r="CD15" i="74"/>
  <c r="I15" i="74"/>
  <c r="H15" i="74"/>
  <c r="CE14" i="74"/>
  <c r="CD14" i="74"/>
  <c r="I14" i="74"/>
  <c r="H14" i="74"/>
  <c r="CE13" i="74"/>
  <c r="CD13" i="74"/>
  <c r="I13" i="74"/>
  <c r="H13" i="74"/>
  <c r="CE12" i="74"/>
  <c r="CD12" i="74"/>
  <c r="I12" i="74"/>
  <c r="H12" i="74"/>
  <c r="CE11" i="74"/>
  <c r="CD11" i="74"/>
  <c r="I11" i="74"/>
  <c r="H11" i="74"/>
  <c r="CE10" i="74"/>
  <c r="CE7" i="74" s="1"/>
  <c r="CD10" i="74"/>
  <c r="CD7" i="74" s="1"/>
  <c r="I10" i="74"/>
  <c r="H10" i="74"/>
  <c r="CB5" i="74"/>
  <c r="F125" i="73"/>
  <c r="E125" i="73"/>
  <c r="F125" i="15" s="1"/>
  <c r="G124" i="73"/>
  <c r="CA124" i="73" s="1"/>
  <c r="CA7" i="73" s="1"/>
  <c r="CD123" i="73"/>
  <c r="CD7" i="73" s="1"/>
  <c r="CB123" i="73"/>
  <c r="G123" i="73"/>
  <c r="CB116" i="73"/>
  <c r="CB114" i="73"/>
  <c r="H106" i="73"/>
  <c r="G106" i="73"/>
  <c r="F106" i="73"/>
  <c r="E106" i="73"/>
  <c r="CB105" i="73"/>
  <c r="CB104" i="73"/>
  <c r="H102" i="73"/>
  <c r="G102" i="73"/>
  <c r="F102" i="73"/>
  <c r="E102" i="73"/>
  <c r="CB101" i="73"/>
  <c r="CB100" i="73"/>
  <c r="CB94" i="73"/>
  <c r="CB93" i="73"/>
  <c r="F92" i="73"/>
  <c r="E92" i="73"/>
  <c r="CB91" i="73"/>
  <c r="CB90" i="73"/>
  <c r="CB82" i="73"/>
  <c r="E82" i="73"/>
  <c r="G81" i="73"/>
  <c r="F81" i="73"/>
  <c r="CB80" i="73"/>
  <c r="E80" i="73"/>
  <c r="CB79" i="73"/>
  <c r="E79" i="73"/>
  <c r="CB78" i="73"/>
  <c r="E78" i="73"/>
  <c r="CB77" i="73"/>
  <c r="E77" i="73"/>
  <c r="CB76" i="73"/>
  <c r="E76" i="73"/>
  <c r="CB75" i="73"/>
  <c r="E75" i="73"/>
  <c r="CB74" i="73"/>
  <c r="E74" i="73"/>
  <c r="CB73" i="73"/>
  <c r="E73" i="73"/>
  <c r="CB72" i="73"/>
  <c r="E72" i="73"/>
  <c r="CB22" i="73"/>
  <c r="BE22" i="73"/>
  <c r="BD22" i="73"/>
  <c r="BC22" i="73" s="1"/>
  <c r="E22" i="73"/>
  <c r="AE18" i="73"/>
  <c r="AC18" i="73"/>
  <c r="AA18" i="73"/>
  <c r="Y18" i="73"/>
  <c r="W18" i="73"/>
  <c r="U18" i="73"/>
  <c r="S18" i="73"/>
  <c r="R18" i="73"/>
  <c r="Q18" i="73"/>
  <c r="P18" i="73"/>
  <c r="O18" i="73"/>
  <c r="N18" i="73"/>
  <c r="G18" i="73"/>
  <c r="BE17" i="73"/>
  <c r="BD17" i="73"/>
  <c r="E17" i="73"/>
  <c r="BE14" i="73"/>
  <c r="BD14" i="73"/>
  <c r="E14" i="73"/>
  <c r="BE13" i="73"/>
  <c r="F13" i="73"/>
  <c r="BE12" i="73"/>
  <c r="F12" i="73"/>
  <c r="BE11" i="73"/>
  <c r="BD11" i="73"/>
  <c r="E11" i="73"/>
  <c r="CB5" i="73"/>
  <c r="G50" i="72"/>
  <c r="F50" i="72"/>
  <c r="E49" i="72"/>
  <c r="E48" i="72"/>
  <c r="E47" i="72"/>
  <c r="BC44" i="72"/>
  <c r="E44" i="72"/>
  <c r="E33" i="72"/>
  <c r="G32" i="72"/>
  <c r="F32" i="72"/>
  <c r="E31" i="72"/>
  <c r="E30" i="72"/>
  <c r="E29" i="72"/>
  <c r="G26" i="72"/>
  <c r="F26" i="72"/>
  <c r="E25" i="72"/>
  <c r="E24" i="72"/>
  <c r="E23" i="72"/>
  <c r="G20" i="72"/>
  <c r="F20" i="72"/>
  <c r="E19" i="72"/>
  <c r="E18" i="72"/>
  <c r="E17" i="72"/>
  <c r="BC14" i="72"/>
  <c r="E14" i="72"/>
  <c r="CB5" i="72"/>
  <c r="AC205" i="71"/>
  <c r="AB205" i="71"/>
  <c r="AA205" i="71"/>
  <c r="Y205" i="71"/>
  <c r="W205" i="71"/>
  <c r="U205" i="71"/>
  <c r="S205" i="71"/>
  <c r="Q205" i="71"/>
  <c r="O205" i="71"/>
  <c r="M205" i="71"/>
  <c r="L205" i="71"/>
  <c r="K205" i="71"/>
  <c r="J205" i="71"/>
  <c r="I205" i="71"/>
  <c r="BF204" i="71"/>
  <c r="BE204" i="71"/>
  <c r="BD204" i="71"/>
  <c r="AD204" i="71"/>
  <c r="E204" i="71" s="1"/>
  <c r="BF203" i="71"/>
  <c r="AD203" i="71"/>
  <c r="E203" i="71" s="1"/>
  <c r="BF202" i="71"/>
  <c r="AD202" i="71"/>
  <c r="E202" i="71" s="1"/>
  <c r="BF201" i="71"/>
  <c r="AD201" i="71"/>
  <c r="E201" i="71" s="1"/>
  <c r="BF200" i="71"/>
  <c r="AD200" i="71"/>
  <c r="E200" i="71" s="1"/>
  <c r="BF199" i="71"/>
  <c r="BE199" i="71"/>
  <c r="BD199" i="71"/>
  <c r="AD199" i="71"/>
  <c r="E199" i="71" s="1"/>
  <c r="BF198" i="71"/>
  <c r="BD198" i="71"/>
  <c r="AD198" i="71"/>
  <c r="E198" i="71" s="1"/>
  <c r="BF197" i="71"/>
  <c r="AD197" i="71"/>
  <c r="E197" i="71" s="1"/>
  <c r="BF196" i="71"/>
  <c r="AD196" i="71"/>
  <c r="E196" i="71" s="1"/>
  <c r="BF195" i="71"/>
  <c r="BE195" i="71"/>
  <c r="BD195" i="71"/>
  <c r="AD195" i="71"/>
  <c r="E195" i="71" s="1"/>
  <c r="BF194" i="71"/>
  <c r="BE194" i="71"/>
  <c r="BD194" i="71"/>
  <c r="AD194" i="71"/>
  <c r="E194" i="71" s="1"/>
  <c r="BF193" i="71"/>
  <c r="AD193" i="71"/>
  <c r="E193" i="71" s="1"/>
  <c r="BF192" i="71"/>
  <c r="AD192" i="71"/>
  <c r="E192" i="71"/>
  <c r="Y177" i="71"/>
  <c r="W177" i="71"/>
  <c r="U177" i="71"/>
  <c r="S177" i="71"/>
  <c r="Q177" i="71"/>
  <c r="O177" i="71"/>
  <c r="M177" i="71"/>
  <c r="L177" i="71"/>
  <c r="K177" i="71"/>
  <c r="J177" i="71"/>
  <c r="I177" i="71"/>
  <c r="E177" i="71"/>
  <c r="CF176" i="71"/>
  <c r="BC176" i="71"/>
  <c r="CB176" i="71" s="1"/>
  <c r="CF175" i="71"/>
  <c r="BC175" i="71"/>
  <c r="CB175" i="71" s="1"/>
  <c r="CF174" i="71"/>
  <c r="BC174" i="71"/>
  <c r="Y65" i="71"/>
  <c r="W65" i="71"/>
  <c r="U65" i="71"/>
  <c r="S65" i="71"/>
  <c r="Q65" i="71"/>
  <c r="O65" i="71"/>
  <c r="M65" i="71"/>
  <c r="L65" i="71"/>
  <c r="K65" i="71"/>
  <c r="J65" i="71"/>
  <c r="I65" i="71"/>
  <c r="F65" i="71"/>
  <c r="F66" i="71" s="1"/>
  <c r="E65" i="71"/>
  <c r="BC64" i="71"/>
  <c r="CB64" i="71" s="1"/>
  <c r="BC63" i="71"/>
  <c r="CH58" i="71"/>
  <c r="Y57" i="71"/>
  <c r="Y66" i="71" s="1"/>
  <c r="Y70" i="71" s="1"/>
  <c r="Y74" i="71" s="1"/>
  <c r="U57" i="71"/>
  <c r="S57" i="71"/>
  <c r="Q57" i="71"/>
  <c r="Q66" i="71" s="1"/>
  <c r="Q70" i="71" s="1"/>
  <c r="Q74" i="71" s="1"/>
  <c r="O57" i="71"/>
  <c r="M57" i="71"/>
  <c r="L57" i="71"/>
  <c r="K57" i="71"/>
  <c r="K66" i="71" s="1"/>
  <c r="K70" i="71" s="1"/>
  <c r="K74" i="71" s="1"/>
  <c r="J57" i="71"/>
  <c r="I57" i="71"/>
  <c r="Y47" i="71"/>
  <c r="W47" i="71"/>
  <c r="U47" i="71"/>
  <c r="S47" i="71"/>
  <c r="Q47" i="71"/>
  <c r="O47" i="71"/>
  <c r="M47" i="71"/>
  <c r="L47" i="71"/>
  <c r="K47" i="71"/>
  <c r="J47" i="71"/>
  <c r="I47" i="71"/>
  <c r="E47" i="71"/>
  <c r="BC46" i="71"/>
  <c r="CB46" i="71" s="1"/>
  <c r="BC45" i="71"/>
  <c r="CF43" i="71"/>
  <c r="BC43" i="71"/>
  <c r="CF42" i="71"/>
  <c r="BC42" i="71"/>
  <c r="BC41" i="71"/>
  <c r="W41" i="71"/>
  <c r="W57" i="71" s="1"/>
  <c r="W66" i="71" s="1"/>
  <c r="W70" i="71" s="1"/>
  <c r="W74" i="71" s="1"/>
  <c r="CF40" i="71"/>
  <c r="BC40" i="71"/>
  <c r="CF39" i="71"/>
  <c r="BC39" i="71"/>
  <c r="BG200" i="71" s="1"/>
  <c r="BC200" i="71" s="1"/>
  <c r="CM37" i="71"/>
  <c r="BC32" i="71"/>
  <c r="CB32" i="71" s="1"/>
  <c r="E31" i="71"/>
  <c r="CD30" i="71"/>
  <c r="BC29" i="71"/>
  <c r="CB29" i="71" s="1"/>
  <c r="E28" i="71"/>
  <c r="BC27" i="71"/>
  <c r="BC26" i="71"/>
  <c r="BC25" i="71"/>
  <c r="CB25" i="71" s="1"/>
  <c r="BC24" i="71"/>
  <c r="CB24" i="71" s="1"/>
  <c r="BC23" i="71"/>
  <c r="CB23" i="71" s="1"/>
  <c r="CF22" i="71"/>
  <c r="BC22" i="71"/>
  <c r="CF21" i="71"/>
  <c r="BC21" i="71"/>
  <c r="CF20" i="71"/>
  <c r="BC20" i="71"/>
  <c r="CF19" i="71"/>
  <c r="BC19" i="71"/>
  <c r="CF18" i="71"/>
  <c r="BC18" i="71"/>
  <c r="CF17" i="71"/>
  <c r="BC17" i="71"/>
  <c r="CF16" i="71"/>
  <c r="BC16" i="71"/>
  <c r="CF15" i="71"/>
  <c r="BC15" i="71"/>
  <c r="Y14" i="71"/>
  <c r="W14" i="71"/>
  <c r="U14" i="71"/>
  <c r="S14" i="71"/>
  <c r="Q14" i="71"/>
  <c r="O14" i="71"/>
  <c r="M14" i="71"/>
  <c r="L14" i="71"/>
  <c r="K14" i="71"/>
  <c r="J14" i="71"/>
  <c r="I14" i="71"/>
  <c r="E13" i="71"/>
  <c r="E12" i="71"/>
  <c r="E11" i="71"/>
  <c r="E10" i="71"/>
  <c r="CA7" i="71"/>
  <c r="CB5" i="71"/>
  <c r="E74" i="70"/>
  <c r="CB73" i="70"/>
  <c r="CB72" i="70"/>
  <c r="Z48" i="70"/>
  <c r="Y48" i="70"/>
  <c r="W48" i="70"/>
  <c r="U48" i="70"/>
  <c r="S48" i="70"/>
  <c r="Q48" i="70"/>
  <c r="O48" i="70"/>
  <c r="M48" i="70"/>
  <c r="L48" i="70"/>
  <c r="K48" i="70"/>
  <c r="J48" i="70"/>
  <c r="I48" i="70"/>
  <c r="Y47" i="70"/>
  <c r="W47" i="70"/>
  <c r="U47" i="70"/>
  <c r="S47" i="70"/>
  <c r="Q47" i="70"/>
  <c r="O47" i="70"/>
  <c r="M47" i="70"/>
  <c r="L47" i="70"/>
  <c r="K47" i="70"/>
  <c r="J47" i="70"/>
  <c r="I47" i="70"/>
  <c r="E47" i="70"/>
  <c r="CE46" i="70"/>
  <c r="BC46" i="70"/>
  <c r="CB46" i="70" s="1"/>
  <c r="CE45" i="70"/>
  <c r="BC45" i="70"/>
  <c r="Y44" i="70"/>
  <c r="W44" i="70"/>
  <c r="U44" i="70"/>
  <c r="S44" i="70"/>
  <c r="Q44" i="70"/>
  <c r="O44" i="70"/>
  <c r="M44" i="70"/>
  <c r="L44" i="70"/>
  <c r="K44" i="70"/>
  <c r="J44" i="70"/>
  <c r="I44" i="70"/>
  <c r="E44" i="70"/>
  <c r="CE43" i="70"/>
  <c r="BC43" i="70"/>
  <c r="CB43" i="70" s="1"/>
  <c r="CE42" i="70"/>
  <c r="BC42" i="70"/>
  <c r="Y41" i="70"/>
  <c r="W41" i="70"/>
  <c r="U41" i="70"/>
  <c r="S41" i="70"/>
  <c r="Q41" i="70"/>
  <c r="O41" i="70"/>
  <c r="M41" i="70"/>
  <c r="L41" i="70"/>
  <c r="K41" i="70"/>
  <c r="J41" i="70"/>
  <c r="I41" i="70"/>
  <c r="E41" i="70"/>
  <c r="CE40" i="70"/>
  <c r="BC40" i="70"/>
  <c r="CB40" i="70" s="1"/>
  <c r="CE39" i="70"/>
  <c r="BC39" i="70"/>
  <c r="CE38" i="70"/>
  <c r="BC38" i="70"/>
  <c r="CB38" i="70" s="1"/>
  <c r="CE37" i="70"/>
  <c r="BC37" i="70"/>
  <c r="CB37" i="70" s="1"/>
  <c r="CE36" i="70"/>
  <c r="BC36" i="70"/>
  <c r="CB36" i="70" s="1"/>
  <c r="Z34" i="70"/>
  <c r="Y34" i="70"/>
  <c r="W34" i="70"/>
  <c r="U34" i="70"/>
  <c r="S34" i="70"/>
  <c r="Q34" i="70"/>
  <c r="O34" i="70"/>
  <c r="M34" i="70"/>
  <c r="L34" i="70"/>
  <c r="K34" i="70"/>
  <c r="J34" i="70"/>
  <c r="I34" i="70"/>
  <c r="E34" i="70"/>
  <c r="CE33" i="70"/>
  <c r="BC33" i="70"/>
  <c r="CB33" i="70" s="1"/>
  <c r="CJ32" i="70"/>
  <c r="CE32" i="70"/>
  <c r="BC32" i="70"/>
  <c r="Z31" i="70"/>
  <c r="Y31" i="70"/>
  <c r="W31" i="70"/>
  <c r="U31" i="70"/>
  <c r="S31" i="70"/>
  <c r="Q31" i="70"/>
  <c r="O31" i="70"/>
  <c r="M31" i="70"/>
  <c r="L31" i="70"/>
  <c r="K31" i="70"/>
  <c r="J31" i="70"/>
  <c r="I31" i="70"/>
  <c r="F31" i="70"/>
  <c r="CE30" i="70"/>
  <c r="BC30" i="70"/>
  <c r="CB30" i="70" s="1"/>
  <c r="E29" i="70"/>
  <c r="CE28" i="70"/>
  <c r="BC28" i="70"/>
  <c r="CB28" i="70" s="1"/>
  <c r="CE27" i="70"/>
  <c r="BC27" i="70"/>
  <c r="CB27" i="70" s="1"/>
  <c r="CE26" i="70"/>
  <c r="BC26" i="70"/>
  <c r="BC23" i="70"/>
  <c r="CB23" i="70" s="1"/>
  <c r="BC22" i="70"/>
  <c r="CB22" i="70" s="1"/>
  <c r="BC21" i="70"/>
  <c r="CB21" i="70" s="1"/>
  <c r="BC20" i="70"/>
  <c r="Z19" i="70"/>
  <c r="Z24" i="70" s="1"/>
  <c r="Y19" i="70"/>
  <c r="Y24" i="70" s="1"/>
  <c r="W19" i="70"/>
  <c r="W24" i="70" s="1"/>
  <c r="U19" i="70"/>
  <c r="U24" i="70" s="1"/>
  <c r="U49" i="70" s="1"/>
  <c r="U53" i="70" s="1"/>
  <c r="U57" i="70" s="1"/>
  <c r="S19" i="70"/>
  <c r="S24" i="70" s="1"/>
  <c r="Q19" i="70"/>
  <c r="Q24" i="70" s="1"/>
  <c r="O19" i="70"/>
  <c r="O24" i="70" s="1"/>
  <c r="M19" i="70"/>
  <c r="M24" i="70" s="1"/>
  <c r="M49" i="70" s="1"/>
  <c r="M53" i="70" s="1"/>
  <c r="M57" i="70" s="1"/>
  <c r="L19" i="70"/>
  <c r="L24" i="70" s="1"/>
  <c r="K19" i="70"/>
  <c r="K24" i="70" s="1"/>
  <c r="J19" i="70"/>
  <c r="J24" i="70" s="1"/>
  <c r="I19" i="70"/>
  <c r="I24" i="70" s="1"/>
  <c r="I49" i="70" s="1"/>
  <c r="I53" i="70" s="1"/>
  <c r="I57" i="70" s="1"/>
  <c r="F19" i="70"/>
  <c r="E18" i="70"/>
  <c r="E17" i="70"/>
  <c r="E16" i="70"/>
  <c r="CG15" i="70"/>
  <c r="E15" i="70"/>
  <c r="CG14" i="70"/>
  <c r="E12" i="70"/>
  <c r="E11" i="70"/>
  <c r="CG10" i="70"/>
  <c r="E10" i="70"/>
  <c r="CB5" i="70"/>
  <c r="F176" i="69"/>
  <c r="F175" i="69" s="1"/>
  <c r="E176" i="69"/>
  <c r="E175" i="69" s="1"/>
  <c r="BC174" i="69"/>
  <c r="F177" i="11" s="1"/>
  <c r="BC173" i="69"/>
  <c r="F176" i="11" s="1"/>
  <c r="F172" i="69"/>
  <c r="F171" i="69" s="1"/>
  <c r="E172" i="69"/>
  <c r="E171" i="69" s="1"/>
  <c r="CB170" i="69"/>
  <c r="CB169" i="69"/>
  <c r="E162" i="69"/>
  <c r="E161" i="69"/>
  <c r="BC159" i="69"/>
  <c r="BC158" i="69"/>
  <c r="CA158" i="69" s="1"/>
  <c r="E157" i="69"/>
  <c r="E156" i="69"/>
  <c r="BC154" i="69"/>
  <c r="BC153" i="69"/>
  <c r="CB153" i="69" s="1"/>
  <c r="E144" i="69"/>
  <c r="E120" i="69" s="1"/>
  <c r="E124" i="69" s="1"/>
  <c r="E23" i="69" s="1"/>
  <c r="E141" i="69"/>
  <c r="E105" i="69" s="1"/>
  <c r="E109" i="69" s="1"/>
  <c r="E21" i="69" s="1"/>
  <c r="E137" i="69"/>
  <c r="E26" i="69" s="1"/>
  <c r="E131" i="69"/>
  <c r="CB129" i="69"/>
  <c r="E116" i="69"/>
  <c r="E22" i="69" s="1"/>
  <c r="E101" i="69"/>
  <c r="E20" i="69" s="1"/>
  <c r="E91" i="69"/>
  <c r="BC89" i="69"/>
  <c r="CA89" i="69" s="1"/>
  <c r="BC88" i="69"/>
  <c r="BC66" i="69"/>
  <c r="E65" i="69"/>
  <c r="BC64" i="69"/>
  <c r="BC63" i="69"/>
  <c r="E61" i="69"/>
  <c r="BC59" i="69"/>
  <c r="CB59" i="69" s="1"/>
  <c r="BC56" i="69"/>
  <c r="CA56" i="69" s="1"/>
  <c r="BC55" i="69"/>
  <c r="BC53" i="69"/>
  <c r="BC176" i="69" s="1"/>
  <c r="BC52" i="69"/>
  <c r="CA52" i="69" s="1"/>
  <c r="BC51" i="69"/>
  <c r="CA51" i="69" s="1"/>
  <c r="BC50" i="69"/>
  <c r="BC172" i="69" s="1"/>
  <c r="BC171" i="69" s="1"/>
  <c r="BC49" i="69"/>
  <c r="CB49" i="69" s="1"/>
  <c r="BC48" i="69"/>
  <c r="CB48" i="69" s="1"/>
  <c r="BC47" i="69"/>
  <c r="BC162" i="69" s="1"/>
  <c r="BC46" i="69"/>
  <c r="BC157" i="69" s="1"/>
  <c r="E43" i="69"/>
  <c r="BC42" i="69"/>
  <c r="CB42" i="69" s="1"/>
  <c r="BC41" i="69"/>
  <c r="CB41" i="69" s="1"/>
  <c r="BC40" i="69"/>
  <c r="CA40" i="69" s="1"/>
  <c r="BC39" i="69"/>
  <c r="CB39" i="69" s="1"/>
  <c r="BC38" i="69"/>
  <c r="CB38" i="69" s="1"/>
  <c r="BC37" i="69"/>
  <c r="BC36" i="69"/>
  <c r="CB36" i="69" s="1"/>
  <c r="BC35" i="69"/>
  <c r="CB35" i="69" s="1"/>
  <c r="BC34" i="69"/>
  <c r="CA34" i="69" s="1"/>
  <c r="BC33" i="69"/>
  <c r="CA33" i="69" s="1"/>
  <c r="BC32" i="69"/>
  <c r="CA32" i="69" s="1"/>
  <c r="BC31" i="69"/>
  <c r="CA31" i="69" s="1"/>
  <c r="CJ30" i="69"/>
  <c r="BC30" i="69"/>
  <c r="BC29" i="69"/>
  <c r="CA25" i="69"/>
  <c r="E24" i="69"/>
  <c r="BC19" i="69"/>
  <c r="CB19" i="69" s="1"/>
  <c r="BC18" i="69"/>
  <c r="BC17" i="69"/>
  <c r="CA17" i="69" s="1"/>
  <c r="BC16" i="69"/>
  <c r="CA15" i="69"/>
  <c r="CB12" i="69"/>
  <c r="CB5" i="69"/>
  <c r="F47" i="67"/>
  <c r="F46" i="67"/>
  <c r="I45" i="67"/>
  <c r="H45" i="67"/>
  <c r="E45" i="67"/>
  <c r="J44" i="67"/>
  <c r="J43" i="67"/>
  <c r="J42" i="67"/>
  <c r="CA41" i="67"/>
  <c r="J41" i="67"/>
  <c r="CA40" i="67"/>
  <c r="J40" i="67"/>
  <c r="CA39" i="67"/>
  <c r="CA7" i="67" s="1"/>
  <c r="J39" i="67"/>
  <c r="J38" i="67"/>
  <c r="J37" i="67"/>
  <c r="J36" i="67"/>
  <c r="CA35" i="67"/>
  <c r="J35" i="67"/>
  <c r="J34" i="67"/>
  <c r="F32" i="67"/>
  <c r="J31" i="67"/>
  <c r="J29" i="67"/>
  <c r="J28" i="67"/>
  <c r="J27" i="67"/>
  <c r="J26" i="67"/>
  <c r="J25" i="67"/>
  <c r="J24" i="67"/>
  <c r="J23" i="67"/>
  <c r="J22" i="67"/>
  <c r="J21" i="67"/>
  <c r="J20" i="67"/>
  <c r="J15" i="67"/>
  <c r="J10" i="67"/>
  <c r="I10" i="67"/>
  <c r="H10" i="67"/>
  <c r="F10" i="67"/>
  <c r="E10" i="67"/>
  <c r="CB5" i="67"/>
  <c r="J87" i="66"/>
  <c r="J86" i="66"/>
  <c r="G86" i="66"/>
  <c r="CB85" i="66"/>
  <c r="CM84" i="66"/>
  <c r="CB84" i="66"/>
  <c r="CB83" i="66"/>
  <c r="CB82" i="66"/>
  <c r="J81" i="66"/>
  <c r="G81" i="66"/>
  <c r="E81" i="66"/>
  <c r="F75" i="66"/>
  <c r="CD75" i="66" s="1"/>
  <c r="F74" i="66"/>
  <c r="CD74" i="66" s="1"/>
  <c r="CA71" i="66"/>
  <c r="K71" i="66"/>
  <c r="H71" i="66"/>
  <c r="J70" i="66"/>
  <c r="H70" i="66"/>
  <c r="J69" i="66"/>
  <c r="H69" i="66"/>
  <c r="J68" i="66"/>
  <c r="H68" i="66"/>
  <c r="J67" i="66"/>
  <c r="H67" i="66"/>
  <c r="CA66" i="66"/>
  <c r="K66" i="66"/>
  <c r="H66" i="66"/>
  <c r="J60" i="66"/>
  <c r="G60" i="66"/>
  <c r="E60" i="66"/>
  <c r="J58" i="66"/>
  <c r="CL33" i="66" s="1"/>
  <c r="I58" i="66"/>
  <c r="CK33" i="66" s="1"/>
  <c r="G58" i="66"/>
  <c r="CI33" i="66" s="1"/>
  <c r="F58" i="66"/>
  <c r="E58" i="66"/>
  <c r="CG33" i="66" s="1"/>
  <c r="K57" i="66"/>
  <c r="H57" i="66"/>
  <c r="CB56" i="66"/>
  <c r="K56" i="66"/>
  <c r="H56" i="66"/>
  <c r="K55" i="66"/>
  <c r="H55" i="66"/>
  <c r="K54" i="66"/>
  <c r="H54" i="66"/>
  <c r="J51" i="66"/>
  <c r="I51" i="66"/>
  <c r="G51" i="66"/>
  <c r="F51" i="66"/>
  <c r="E51" i="66"/>
  <c r="CA50" i="66"/>
  <c r="K50" i="66"/>
  <c r="H50" i="66"/>
  <c r="CA49" i="66"/>
  <c r="K49" i="66"/>
  <c r="H49" i="66"/>
  <c r="CA48" i="66"/>
  <c r="K48" i="66"/>
  <c r="CA47" i="66"/>
  <c r="K47" i="66"/>
  <c r="H47" i="66"/>
  <c r="CA46" i="66"/>
  <c r="K46" i="66"/>
  <c r="H46" i="66"/>
  <c r="CA45" i="66"/>
  <c r="K45" i="66"/>
  <c r="H45" i="66"/>
  <c r="K44" i="66"/>
  <c r="H44" i="66"/>
  <c r="CA43" i="66"/>
  <c r="K43" i="66"/>
  <c r="H43" i="66"/>
  <c r="CA42" i="66"/>
  <c r="K42" i="66"/>
  <c r="H42" i="66"/>
  <c r="CL39" i="66"/>
  <c r="CL40" i="66" s="1"/>
  <c r="CK39" i="66"/>
  <c r="CK40" i="66" s="1"/>
  <c r="CI39" i="66"/>
  <c r="CI40" i="66" s="1"/>
  <c r="CH39" i="66"/>
  <c r="CH40" i="66" s="1"/>
  <c r="CG39" i="66"/>
  <c r="CG40" i="66" s="1"/>
  <c r="J38" i="66"/>
  <c r="I38" i="66"/>
  <c r="G38" i="66"/>
  <c r="F38" i="66"/>
  <c r="E38" i="66"/>
  <c r="CA37" i="66"/>
  <c r="K37" i="66"/>
  <c r="H37" i="66"/>
  <c r="CA36" i="66"/>
  <c r="K36" i="66"/>
  <c r="H36" i="66"/>
  <c r="CA35" i="66"/>
  <c r="K35" i="66"/>
  <c r="CA34" i="66"/>
  <c r="K34" i="66"/>
  <c r="H34" i="66"/>
  <c r="CH33" i="66"/>
  <c r="CA33" i="66"/>
  <c r="K33" i="66"/>
  <c r="H33" i="66"/>
  <c r="CA32" i="66"/>
  <c r="K32" i="66"/>
  <c r="H32" i="66"/>
  <c r="K31" i="66"/>
  <c r="H31" i="66"/>
  <c r="CA30" i="66"/>
  <c r="K30" i="66"/>
  <c r="H30" i="66"/>
  <c r="CA29" i="66"/>
  <c r="K29" i="66"/>
  <c r="H29" i="66"/>
  <c r="CB25" i="66"/>
  <c r="K25" i="66"/>
  <c r="H25" i="66"/>
  <c r="J24" i="66"/>
  <c r="J26" i="66" s="1"/>
  <c r="I24" i="66"/>
  <c r="I26" i="66" s="1"/>
  <c r="G24" i="66"/>
  <c r="G26" i="66" s="1"/>
  <c r="F24" i="66"/>
  <c r="F26" i="66" s="1"/>
  <c r="E24" i="66"/>
  <c r="E26" i="66" s="1"/>
  <c r="CB23" i="66"/>
  <c r="K23" i="66"/>
  <c r="H23" i="66"/>
  <c r="CB22" i="66"/>
  <c r="K22" i="66"/>
  <c r="H22" i="66"/>
  <c r="CB21" i="66"/>
  <c r="K21" i="66"/>
  <c r="H21" i="66"/>
  <c r="CB20" i="66"/>
  <c r="K20" i="66"/>
  <c r="H20" i="66"/>
  <c r="CB19" i="66"/>
  <c r="K19" i="66"/>
  <c r="H19" i="66"/>
  <c r="J17" i="66"/>
  <c r="J27" i="66" s="1"/>
  <c r="I17" i="66"/>
  <c r="I27" i="66" s="1"/>
  <c r="G17" i="66"/>
  <c r="G27" i="66" s="1"/>
  <c r="F17" i="66"/>
  <c r="F27" i="66" s="1"/>
  <c r="E17" i="66"/>
  <c r="E27" i="66" s="1"/>
  <c r="CB16" i="66"/>
  <c r="K16" i="66"/>
  <c r="H16" i="66"/>
  <c r="CB15" i="66"/>
  <c r="K15" i="66"/>
  <c r="H15" i="66"/>
  <c r="CB14" i="66"/>
  <c r="K14" i="66"/>
  <c r="H14" i="66"/>
  <c r="CB13" i="66"/>
  <c r="K13" i="66"/>
  <c r="H13" i="66"/>
  <c r="CB12" i="66"/>
  <c r="K12" i="66"/>
  <c r="H12" i="66"/>
  <c r="CB7" i="66"/>
  <c r="E81" i="65"/>
  <c r="E55" i="65" s="1"/>
  <c r="F72" i="65"/>
  <c r="E71" i="8" s="1"/>
  <c r="F72" i="8" s="1"/>
  <c r="F62" i="65"/>
  <c r="BC58" i="65"/>
  <c r="E58" i="65"/>
  <c r="E22" i="65"/>
  <c r="CA21" i="65"/>
  <c r="BC21" i="65"/>
  <c r="CB20" i="65"/>
  <c r="BC20" i="65"/>
  <c r="BC19" i="65"/>
  <c r="CA19" i="65" s="1"/>
  <c r="CA17" i="65"/>
  <c r="CB15" i="65"/>
  <c r="BC14" i="65"/>
  <c r="BC18" i="65" s="1"/>
  <c r="E14" i="65"/>
  <c r="CB13" i="65"/>
  <c r="CB12" i="65"/>
  <c r="CA11" i="65"/>
  <c r="CA10" i="65"/>
  <c r="CB5" i="65"/>
  <c r="E90" i="64"/>
  <c r="CA90" i="64" s="1"/>
  <c r="J89" i="64"/>
  <c r="CA89" i="64" s="1"/>
  <c r="K87" i="64"/>
  <c r="H87" i="64"/>
  <c r="CC86" i="64"/>
  <c r="CB86" i="64"/>
  <c r="K86" i="64"/>
  <c r="H86" i="64"/>
  <c r="J85" i="64"/>
  <c r="I85" i="64"/>
  <c r="I54" i="64" s="1"/>
  <c r="G85" i="64"/>
  <c r="G54" i="64" s="1"/>
  <c r="F85" i="64"/>
  <c r="F54" i="64" s="1"/>
  <c r="E85" i="64"/>
  <c r="CE84" i="64"/>
  <c r="CD84" i="64"/>
  <c r="CA84" i="64"/>
  <c r="K84" i="64"/>
  <c r="H84" i="64"/>
  <c r="CC83" i="64"/>
  <c r="CB83" i="64"/>
  <c r="K83" i="64"/>
  <c r="K85" i="64" s="1"/>
  <c r="K54" i="64" s="1"/>
  <c r="H83" i="64"/>
  <c r="H85" i="64" s="1"/>
  <c r="H54" i="64" s="1"/>
  <c r="CC77" i="64"/>
  <c r="CB77" i="64"/>
  <c r="K77" i="64"/>
  <c r="H77" i="64"/>
  <c r="K74" i="64"/>
  <c r="H74" i="64"/>
  <c r="K73" i="64"/>
  <c r="H73" i="64"/>
  <c r="J72" i="64"/>
  <c r="I72" i="64"/>
  <c r="G72" i="64"/>
  <c r="F72" i="64"/>
  <c r="E72" i="64"/>
  <c r="CF69" i="64" s="1"/>
  <c r="J71" i="64"/>
  <c r="K71" i="64" s="1"/>
  <c r="G71" i="64"/>
  <c r="E71" i="64"/>
  <c r="CK69" i="64"/>
  <c r="J69" i="64"/>
  <c r="K69" i="64" s="1"/>
  <c r="G69" i="64"/>
  <c r="CH14" i="64" s="1"/>
  <c r="E69" i="64"/>
  <c r="CF14" i="64" s="1"/>
  <c r="J68" i="64"/>
  <c r="K68" i="64" s="1"/>
  <c r="G68" i="64"/>
  <c r="E68" i="64"/>
  <c r="CJ67" i="64"/>
  <c r="CG67" i="64"/>
  <c r="J67" i="64"/>
  <c r="CK67" i="64" s="1"/>
  <c r="G67" i="64"/>
  <c r="CH67" i="64" s="1"/>
  <c r="E67" i="64"/>
  <c r="CC66" i="64"/>
  <c r="CB66" i="64"/>
  <c r="K66" i="64"/>
  <c r="H66" i="64"/>
  <c r="CC65" i="64"/>
  <c r="CB65" i="64"/>
  <c r="K65" i="64"/>
  <c r="H65" i="64"/>
  <c r="CK61" i="64"/>
  <c r="CJ61" i="64"/>
  <c r="CH61" i="64"/>
  <c r="CG61" i="64"/>
  <c r="CF61" i="64"/>
  <c r="J55" i="64"/>
  <c r="J75" i="64" s="1"/>
  <c r="K75" i="64" s="1"/>
  <c r="G55" i="64"/>
  <c r="E55" i="64"/>
  <c r="E75" i="64" s="1"/>
  <c r="J54" i="64"/>
  <c r="E54" i="64"/>
  <c r="K53" i="64"/>
  <c r="H53" i="64"/>
  <c r="J52" i="64"/>
  <c r="I52" i="64"/>
  <c r="G52" i="64"/>
  <c r="F52" i="64"/>
  <c r="E52" i="64"/>
  <c r="K51" i="64"/>
  <c r="H51" i="64"/>
  <c r="K50" i="64"/>
  <c r="H50" i="64"/>
  <c r="K21" i="64"/>
  <c r="H21" i="64"/>
  <c r="CD20" i="64"/>
  <c r="CA20" i="64"/>
  <c r="K20" i="64"/>
  <c r="H20" i="64"/>
  <c r="CD17" i="64"/>
  <c r="CA17" i="64"/>
  <c r="K17" i="64"/>
  <c r="H17" i="64"/>
  <c r="K16" i="64"/>
  <c r="H16" i="64"/>
  <c r="CC15" i="64"/>
  <c r="CB15" i="64"/>
  <c r="K15" i="64"/>
  <c r="H15" i="64"/>
  <c r="CJ14" i="64"/>
  <c r="CG14" i="64"/>
  <c r="J14" i="64"/>
  <c r="J19" i="64" s="1"/>
  <c r="J22" i="64" s="1"/>
  <c r="I14" i="64"/>
  <c r="I19" i="64" s="1"/>
  <c r="I22" i="64" s="1"/>
  <c r="G14" i="64"/>
  <c r="G19" i="64" s="1"/>
  <c r="G22" i="64" s="1"/>
  <c r="F14" i="64"/>
  <c r="F19" i="64" s="1"/>
  <c r="F22" i="64" s="1"/>
  <c r="E14" i="64"/>
  <c r="E19" i="64" s="1"/>
  <c r="E22" i="64" s="1"/>
  <c r="CC13" i="64"/>
  <c r="CB13" i="64"/>
  <c r="K13" i="64"/>
  <c r="H13" i="64"/>
  <c r="CC12" i="64"/>
  <c r="CB12" i="64"/>
  <c r="K12" i="64"/>
  <c r="H12" i="64"/>
  <c r="CD11" i="64"/>
  <c r="CA11" i="64"/>
  <c r="K11" i="64"/>
  <c r="H11" i="64"/>
  <c r="CK10" i="64"/>
  <c r="CK12" i="64" s="1"/>
  <c r="CJ10" i="64"/>
  <c r="CJ12" i="64" s="1"/>
  <c r="CG10" i="64"/>
  <c r="CG12" i="64" s="1"/>
  <c r="CD10" i="64"/>
  <c r="CA10" i="64"/>
  <c r="K10" i="64"/>
  <c r="H10" i="64"/>
  <c r="CB6" i="64"/>
  <c r="U77" i="13"/>
  <c r="U56" i="12"/>
  <c r="O72" i="21"/>
  <c r="O77" i="21"/>
  <c r="L77" i="13"/>
  <c r="L56" i="12"/>
  <c r="J72" i="21"/>
  <c r="J77" i="21"/>
  <c r="K77" i="13"/>
  <c r="K56" i="12"/>
  <c r="I72" i="21"/>
  <c r="I77" i="21"/>
  <c r="W77" i="13"/>
  <c r="W56" i="12"/>
  <c r="P72" i="21"/>
  <c r="P77" i="21"/>
  <c r="I77" i="13"/>
  <c r="I56" i="12"/>
  <c r="G72" i="21"/>
  <c r="G77" i="21"/>
  <c r="O77" i="13"/>
  <c r="O56" i="12"/>
  <c r="L72" i="21"/>
  <c r="L77" i="21"/>
  <c r="U72" i="21"/>
  <c r="U77" i="21"/>
  <c r="S72" i="21"/>
  <c r="S77" i="21"/>
  <c r="Y77" i="13"/>
  <c r="S77" i="13"/>
  <c r="S56" i="12"/>
  <c r="N72" i="21"/>
  <c r="N77" i="21"/>
  <c r="Q77" i="13"/>
  <c r="Q56" i="12"/>
  <c r="E78" i="32"/>
  <c r="E58" i="32"/>
  <c r="E75" i="32" s="1"/>
  <c r="K32" i="32"/>
  <c r="E78" i="31"/>
  <c r="E50" i="31"/>
  <c r="E38" i="31"/>
  <c r="E41" i="31" s="1"/>
  <c r="E29" i="31"/>
  <c r="E32" i="31" s="1"/>
  <c r="E21" i="31"/>
  <c r="E12" i="31"/>
  <c r="E104" i="30"/>
  <c r="E103" i="30"/>
  <c r="E100" i="30"/>
  <c r="F91" i="30"/>
  <c r="E47" i="30" s="1"/>
  <c r="E91" i="30"/>
  <c r="E46" i="30" s="1"/>
  <c r="E78" i="30"/>
  <c r="E39" i="30" s="1"/>
  <c r="E68" i="30"/>
  <c r="H48" i="30"/>
  <c r="F47" i="30"/>
  <c r="G47" i="30" s="1"/>
  <c r="F46" i="30"/>
  <c r="G44" i="30"/>
  <c r="G43" i="30"/>
  <c r="G42" i="30"/>
  <c r="G41" i="30"/>
  <c r="H40" i="30"/>
  <c r="H45" i="30" s="1"/>
  <c r="F39" i="30"/>
  <c r="G39" i="30" s="1"/>
  <c r="F38" i="30"/>
  <c r="E28" i="30"/>
  <c r="H24" i="30"/>
  <c r="G24" i="30"/>
  <c r="F24" i="30"/>
  <c r="E23" i="30"/>
  <c r="E22" i="30"/>
  <c r="F21" i="30"/>
  <c r="E21" i="30" s="1"/>
  <c r="E20" i="30"/>
  <c r="E19" i="30"/>
  <c r="G49" i="29"/>
  <c r="G48" i="29"/>
  <c r="G47" i="29"/>
  <c r="G46" i="29"/>
  <c r="G45" i="29"/>
  <c r="G44" i="29"/>
  <c r="G43" i="29"/>
  <c r="G42" i="29"/>
  <c r="F39" i="29"/>
  <c r="E39" i="29"/>
  <c r="G39" i="29" s="1"/>
  <c r="F25" i="29"/>
  <c r="E25" i="29"/>
  <c r="F62" i="28"/>
  <c r="G61" i="28"/>
  <c r="G60" i="28"/>
  <c r="G59" i="28"/>
  <c r="G58" i="28"/>
  <c r="G57" i="28"/>
  <c r="F37" i="28"/>
  <c r="E37" i="28"/>
  <c r="G36" i="28"/>
  <c r="G35" i="28"/>
  <c r="G34" i="28"/>
  <c r="G33" i="28"/>
  <c r="G32" i="28"/>
  <c r="G31" i="28"/>
  <c r="G16" i="28"/>
  <c r="F16" i="28"/>
  <c r="E16" i="28"/>
  <c r="E214" i="26"/>
  <c r="E208" i="26"/>
  <c r="E196" i="26"/>
  <c r="E190" i="26"/>
  <c r="F155" i="26"/>
  <c r="G157" i="26" s="1"/>
  <c r="E155" i="26"/>
  <c r="E133" i="26"/>
  <c r="E116" i="26"/>
  <c r="E104" i="26"/>
  <c r="E82" i="26"/>
  <c r="E81" i="26"/>
  <c r="E80" i="26"/>
  <c r="E61" i="26"/>
  <c r="E43" i="26"/>
  <c r="E32" i="26"/>
  <c r="E16" i="26"/>
  <c r="E15" i="26"/>
  <c r="E14" i="26"/>
  <c r="E94" i="25"/>
  <c r="E30" i="9" s="1"/>
  <c r="H93" i="25"/>
  <c r="H85" i="25"/>
  <c r="E69" i="25"/>
  <c r="E57" i="25"/>
  <c r="E30" i="25"/>
  <c r="N29" i="25"/>
  <c r="M29" i="25"/>
  <c r="K29" i="25"/>
  <c r="J29" i="25"/>
  <c r="I29" i="25"/>
  <c r="H29" i="25"/>
  <c r="F29" i="25"/>
  <c r="E26" i="25"/>
  <c r="E25" i="25"/>
  <c r="E23" i="25"/>
  <c r="E49" i="13" s="1"/>
  <c r="G49" i="13" s="1"/>
  <c r="E22" i="25"/>
  <c r="E68" i="17" s="1"/>
  <c r="E21" i="25"/>
  <c r="E20" i="25"/>
  <c r="E19" i="25"/>
  <c r="N11" i="25"/>
  <c r="M11" i="25"/>
  <c r="K11" i="25"/>
  <c r="I11" i="25"/>
  <c r="H11" i="25"/>
  <c r="F11" i="25"/>
  <c r="I135" i="24"/>
  <c r="H135" i="24"/>
  <c r="F135" i="24"/>
  <c r="E135" i="24"/>
  <c r="F133" i="24"/>
  <c r="E133" i="24"/>
  <c r="I132" i="24"/>
  <c r="H132" i="24"/>
  <c r="F132" i="24"/>
  <c r="E132" i="24"/>
  <c r="I131" i="24"/>
  <c r="H131" i="24"/>
  <c r="F131" i="24"/>
  <c r="E131" i="24"/>
  <c r="I130" i="24"/>
  <c r="H130" i="24"/>
  <c r="F130" i="24"/>
  <c r="E130" i="24"/>
  <c r="E134" i="24" s="1"/>
  <c r="F118" i="24"/>
  <c r="E118" i="24"/>
  <c r="I117" i="24"/>
  <c r="H117" i="24"/>
  <c r="F117" i="24"/>
  <c r="E117" i="24"/>
  <c r="I116" i="24"/>
  <c r="H116" i="24"/>
  <c r="F116" i="24"/>
  <c r="E116" i="24"/>
  <c r="I115" i="24"/>
  <c r="H115" i="24"/>
  <c r="F115" i="24"/>
  <c r="E115" i="24"/>
  <c r="I82" i="24"/>
  <c r="H82" i="24"/>
  <c r="J79" i="24"/>
  <c r="G79" i="24"/>
  <c r="I78" i="24"/>
  <c r="I80" i="24" s="1"/>
  <c r="H78" i="24"/>
  <c r="H80" i="24" s="1"/>
  <c r="H83" i="24" s="1"/>
  <c r="F78" i="24"/>
  <c r="F80" i="24" s="1"/>
  <c r="E78" i="24"/>
  <c r="E80" i="24" s="1"/>
  <c r="G77" i="24"/>
  <c r="J76" i="24"/>
  <c r="G76" i="24"/>
  <c r="J75" i="24"/>
  <c r="G75" i="24"/>
  <c r="J74" i="24"/>
  <c r="G74" i="24"/>
  <c r="I71" i="24"/>
  <c r="H71" i="24"/>
  <c r="J68" i="24"/>
  <c r="G68" i="24"/>
  <c r="I67" i="24"/>
  <c r="I69" i="24" s="1"/>
  <c r="H67" i="24"/>
  <c r="H69" i="24" s="1"/>
  <c r="H72" i="24" s="1"/>
  <c r="F67" i="24"/>
  <c r="F69" i="24" s="1"/>
  <c r="E67" i="24"/>
  <c r="E69" i="24" s="1"/>
  <c r="G66" i="24"/>
  <c r="J65" i="24"/>
  <c r="G65" i="24"/>
  <c r="J64" i="24"/>
  <c r="G64" i="24"/>
  <c r="J63" i="24"/>
  <c r="G63" i="24"/>
  <c r="I60" i="24"/>
  <c r="H60" i="24"/>
  <c r="J57" i="24"/>
  <c r="G57" i="24"/>
  <c r="I56" i="24"/>
  <c r="I58" i="24" s="1"/>
  <c r="H56" i="24"/>
  <c r="H58" i="24" s="1"/>
  <c r="H61" i="24" s="1"/>
  <c r="F56" i="24"/>
  <c r="F58" i="24" s="1"/>
  <c r="E56" i="24"/>
  <c r="E58" i="24" s="1"/>
  <c r="G55" i="24"/>
  <c r="J54" i="24"/>
  <c r="G54" i="24"/>
  <c r="J53" i="24"/>
  <c r="G53" i="24"/>
  <c r="J52" i="24"/>
  <c r="G52" i="24"/>
  <c r="I35" i="24"/>
  <c r="H35" i="24"/>
  <c r="I33" i="24"/>
  <c r="H33" i="24"/>
  <c r="F33" i="24"/>
  <c r="E33" i="24"/>
  <c r="G32" i="24"/>
  <c r="J31" i="24"/>
  <c r="G31" i="24"/>
  <c r="J30" i="24"/>
  <c r="G30" i="24"/>
  <c r="J29" i="24"/>
  <c r="J35" i="24" s="1"/>
  <c r="G29" i="24"/>
  <c r="I26" i="24"/>
  <c r="H26" i="24"/>
  <c r="I24" i="24"/>
  <c r="H24" i="24"/>
  <c r="F24" i="24"/>
  <c r="E24" i="24"/>
  <c r="G23" i="24"/>
  <c r="J22" i="24"/>
  <c r="G22" i="24"/>
  <c r="J21" i="24"/>
  <c r="G21" i="24"/>
  <c r="J20" i="24"/>
  <c r="J26" i="24" s="1"/>
  <c r="G20" i="24"/>
  <c r="G24" i="24" s="1"/>
  <c r="I17" i="24"/>
  <c r="H17" i="24"/>
  <c r="I15" i="24"/>
  <c r="H15" i="24"/>
  <c r="F15" i="24"/>
  <c r="E15" i="24"/>
  <c r="G14" i="24"/>
  <c r="J13" i="24"/>
  <c r="G13" i="24"/>
  <c r="J12" i="24"/>
  <c r="G12" i="24"/>
  <c r="J11" i="24"/>
  <c r="G11" i="24"/>
  <c r="AM263" i="23"/>
  <c r="AL263" i="23"/>
  <c r="AK263" i="23"/>
  <c r="AJ263" i="23"/>
  <c r="AI263" i="23"/>
  <c r="AH263" i="23"/>
  <c r="AG263" i="23"/>
  <c r="AF263" i="23"/>
  <c r="AE263" i="23"/>
  <c r="AD263" i="23"/>
  <c r="AC263" i="23"/>
  <c r="E261" i="23"/>
  <c r="E263" i="23" s="1"/>
  <c r="AM260" i="23"/>
  <c r="AL260" i="23"/>
  <c r="AK260" i="23"/>
  <c r="AJ260" i="23"/>
  <c r="AI260" i="23"/>
  <c r="AH260" i="23"/>
  <c r="AG260" i="23"/>
  <c r="AF260" i="23"/>
  <c r="AE260" i="23"/>
  <c r="AD260" i="23"/>
  <c r="AC260" i="23"/>
  <c r="E258" i="23"/>
  <c r="AM256" i="23"/>
  <c r="AL256" i="23"/>
  <c r="AK256" i="23"/>
  <c r="AJ256" i="23"/>
  <c r="AI256" i="23"/>
  <c r="AH256" i="23"/>
  <c r="AG256" i="23"/>
  <c r="AF256" i="23"/>
  <c r="AE256" i="23"/>
  <c r="AD256" i="23"/>
  <c r="AC256" i="23"/>
  <c r="E254" i="23"/>
  <c r="E256" i="23" s="1"/>
  <c r="AM253" i="23"/>
  <c r="AL253" i="23"/>
  <c r="AK253" i="23"/>
  <c r="AJ253" i="23"/>
  <c r="AI253" i="23"/>
  <c r="AH253" i="23"/>
  <c r="AG253" i="23"/>
  <c r="AF253" i="23"/>
  <c r="AE253" i="23"/>
  <c r="AD253" i="23"/>
  <c r="AC253" i="23"/>
  <c r="E251" i="23"/>
  <c r="E253" i="23" s="1"/>
  <c r="AM239" i="23"/>
  <c r="AL239" i="23"/>
  <c r="AK239" i="23"/>
  <c r="AJ239" i="23"/>
  <c r="AI239" i="23"/>
  <c r="AH239" i="23"/>
  <c r="AG239" i="23"/>
  <c r="AF239" i="23"/>
  <c r="AE239" i="23"/>
  <c r="AD239" i="23"/>
  <c r="AC239" i="23"/>
  <c r="E237" i="23"/>
  <c r="E239" i="23" s="1"/>
  <c r="AM236" i="23"/>
  <c r="AL236" i="23"/>
  <c r="AK236" i="23"/>
  <c r="AJ236" i="23"/>
  <c r="AI236" i="23"/>
  <c r="AH236" i="23"/>
  <c r="AG236" i="23"/>
  <c r="AF236" i="23"/>
  <c r="AE236" i="23"/>
  <c r="AD236" i="23"/>
  <c r="AC236" i="23"/>
  <c r="E234" i="23"/>
  <c r="AM223" i="23"/>
  <c r="AL223" i="23"/>
  <c r="AK223" i="23"/>
  <c r="AJ223" i="23"/>
  <c r="AI223" i="23"/>
  <c r="AH223" i="23"/>
  <c r="AG223" i="23"/>
  <c r="AF223" i="23"/>
  <c r="AE223" i="23"/>
  <c r="AD223" i="23"/>
  <c r="AC223" i="23"/>
  <c r="F223" i="23"/>
  <c r="E221" i="23"/>
  <c r="E223" i="23" s="1"/>
  <c r="AM220" i="23"/>
  <c r="AL220" i="23"/>
  <c r="AK220" i="23"/>
  <c r="AJ220" i="23"/>
  <c r="AI220" i="23"/>
  <c r="AH220" i="23"/>
  <c r="AG220" i="23"/>
  <c r="AF220" i="23"/>
  <c r="AE220" i="23"/>
  <c r="AD220" i="23"/>
  <c r="AC220" i="23"/>
  <c r="E218" i="23"/>
  <c r="E220" i="23" s="1"/>
  <c r="I157" i="23"/>
  <c r="AM149" i="23"/>
  <c r="AL149" i="23"/>
  <c r="AK149" i="23"/>
  <c r="AJ149" i="23"/>
  <c r="AI149" i="23"/>
  <c r="AH149" i="23"/>
  <c r="AG149" i="23"/>
  <c r="AF149" i="23"/>
  <c r="AE149" i="23"/>
  <c r="AD149" i="23"/>
  <c r="AC149" i="23"/>
  <c r="E149" i="23"/>
  <c r="E43" i="9" s="1"/>
  <c r="AM144" i="23"/>
  <c r="AM150" i="23" s="1"/>
  <c r="AL144" i="23"/>
  <c r="AK144" i="23"/>
  <c r="AJ144" i="23"/>
  <c r="AI144" i="23"/>
  <c r="AI150" i="23" s="1"/>
  <c r="AH144" i="23"/>
  <c r="AG144" i="23"/>
  <c r="AF144" i="23"/>
  <c r="AE144" i="23"/>
  <c r="AE150" i="23" s="1"/>
  <c r="AD144" i="23"/>
  <c r="AC144" i="23"/>
  <c r="E144" i="23"/>
  <c r="E32" i="9" s="1"/>
  <c r="F133" i="23"/>
  <c r="E133" i="23"/>
  <c r="E129" i="23"/>
  <c r="I120" i="23"/>
  <c r="F113" i="23"/>
  <c r="H112" i="23"/>
  <c r="H111" i="23"/>
  <c r="H110" i="23"/>
  <c r="AM102" i="23"/>
  <c r="AL102" i="23"/>
  <c r="AK102" i="23"/>
  <c r="AJ102" i="23"/>
  <c r="AI102" i="23"/>
  <c r="AH102" i="23"/>
  <c r="AG102" i="23"/>
  <c r="AF102" i="23"/>
  <c r="AE102" i="23"/>
  <c r="AD102" i="23"/>
  <c r="AC102" i="23"/>
  <c r="AM92" i="23"/>
  <c r="AL92" i="23"/>
  <c r="AK92" i="23"/>
  <c r="AJ92" i="23"/>
  <c r="AI92" i="23"/>
  <c r="AH92" i="23"/>
  <c r="AG92" i="23"/>
  <c r="AF92" i="23"/>
  <c r="AE92" i="23"/>
  <c r="AD92" i="23"/>
  <c r="AC92" i="23"/>
  <c r="I73" i="23"/>
  <c r="AM65" i="23"/>
  <c r="AL65" i="23"/>
  <c r="AK65" i="23"/>
  <c r="AJ65" i="23"/>
  <c r="AI65" i="23"/>
  <c r="AH65" i="23"/>
  <c r="AG65" i="23"/>
  <c r="AF65" i="23"/>
  <c r="AE65" i="23"/>
  <c r="AD65" i="23"/>
  <c r="AC65" i="23"/>
  <c r="E65" i="23"/>
  <c r="E40" i="9" s="1"/>
  <c r="AM60" i="23"/>
  <c r="AL60" i="23"/>
  <c r="AK60" i="23"/>
  <c r="AJ60" i="23"/>
  <c r="AI60" i="23"/>
  <c r="AH60" i="23"/>
  <c r="AG60" i="23"/>
  <c r="AF60" i="23"/>
  <c r="AE60" i="23"/>
  <c r="AD60" i="23"/>
  <c r="AC60" i="23"/>
  <c r="E60" i="23"/>
  <c r="E29" i="9" s="1"/>
  <c r="I45" i="23"/>
  <c r="AM32" i="23"/>
  <c r="AG32" i="23"/>
  <c r="AM31" i="23"/>
  <c r="AG31" i="23"/>
  <c r="AL29" i="23"/>
  <c r="AK29" i="23"/>
  <c r="AJ29" i="23"/>
  <c r="AI29" i="23"/>
  <c r="AH29" i="23"/>
  <c r="AG29" i="23"/>
  <c r="AF29" i="23"/>
  <c r="AE29" i="23"/>
  <c r="AD29" i="23"/>
  <c r="AC29" i="23"/>
  <c r="AL28" i="23"/>
  <c r="AK28" i="23"/>
  <c r="AJ28" i="23"/>
  <c r="AI28" i="23"/>
  <c r="AH28" i="23"/>
  <c r="AG28" i="23"/>
  <c r="AF28" i="23"/>
  <c r="AE28" i="23"/>
  <c r="AD28" i="23"/>
  <c r="AC28" i="23"/>
  <c r="H20" i="23"/>
  <c r="AM18" i="23"/>
  <c r="AG18" i="23"/>
  <c r="AM17" i="23"/>
  <c r="AG17" i="23"/>
  <c r="AL14" i="23"/>
  <c r="AK14" i="23"/>
  <c r="AJ14" i="23"/>
  <c r="AI14" i="23"/>
  <c r="AH14" i="23"/>
  <c r="AG14" i="23"/>
  <c r="AF14" i="23"/>
  <c r="AE14" i="23"/>
  <c r="AD14" i="23"/>
  <c r="AC14" i="23"/>
  <c r="AL13" i="23"/>
  <c r="AK13" i="23"/>
  <c r="AJ13" i="23"/>
  <c r="AI13" i="23"/>
  <c r="AH13" i="23"/>
  <c r="AG13" i="23"/>
  <c r="AF13" i="23"/>
  <c r="AE13" i="23"/>
  <c r="AD13" i="23"/>
  <c r="AC13" i="23"/>
  <c r="AM275" i="22"/>
  <c r="AL275" i="22"/>
  <c r="AK275" i="22"/>
  <c r="AJ275" i="22"/>
  <c r="AI275" i="22"/>
  <c r="AH275" i="22"/>
  <c r="AG275" i="22"/>
  <c r="AF275" i="22"/>
  <c r="AE275" i="22"/>
  <c r="AD275" i="22"/>
  <c r="AC275" i="22"/>
  <c r="E275" i="22"/>
  <c r="AM272" i="22"/>
  <c r="AL272" i="22"/>
  <c r="AK272" i="22"/>
  <c r="AJ272" i="22"/>
  <c r="AI272" i="22"/>
  <c r="AH272" i="22"/>
  <c r="AG272" i="22"/>
  <c r="AF272" i="22"/>
  <c r="AE272" i="22"/>
  <c r="AD272" i="22"/>
  <c r="AC272" i="22"/>
  <c r="E272" i="22"/>
  <c r="AM268" i="22"/>
  <c r="AL268" i="22"/>
  <c r="AK268" i="22"/>
  <c r="AJ268" i="22"/>
  <c r="AI268" i="22"/>
  <c r="AH268" i="22"/>
  <c r="AG268" i="22"/>
  <c r="AF268" i="22"/>
  <c r="AE268" i="22"/>
  <c r="AD268" i="22"/>
  <c r="AC268" i="22"/>
  <c r="F268" i="22"/>
  <c r="E268" i="22"/>
  <c r="AM265" i="22"/>
  <c r="AL265" i="22"/>
  <c r="AK265" i="22"/>
  <c r="AJ265" i="22"/>
  <c r="AI265" i="22"/>
  <c r="AH265" i="22"/>
  <c r="AG265" i="22"/>
  <c r="AF265" i="22"/>
  <c r="AE265" i="22"/>
  <c r="AD265" i="22"/>
  <c r="AC265" i="22"/>
  <c r="E265" i="22"/>
  <c r="AM254" i="22"/>
  <c r="AL254" i="22"/>
  <c r="AK254" i="22"/>
  <c r="AJ254" i="22"/>
  <c r="AI254" i="22"/>
  <c r="AH254" i="22"/>
  <c r="AG254" i="22"/>
  <c r="AF254" i="22"/>
  <c r="AE254" i="22"/>
  <c r="AD254" i="22"/>
  <c r="AC254" i="22"/>
  <c r="E254" i="22"/>
  <c r="AM251" i="22"/>
  <c r="AL251" i="22"/>
  <c r="AK251" i="22"/>
  <c r="AJ251" i="22"/>
  <c r="AI251" i="22"/>
  <c r="AH251" i="22"/>
  <c r="AG251" i="22"/>
  <c r="AF251" i="22"/>
  <c r="AE251" i="22"/>
  <c r="AD251" i="22"/>
  <c r="AC251" i="22"/>
  <c r="E251" i="22"/>
  <c r="AM248" i="22"/>
  <c r="AL248" i="22"/>
  <c r="AK248" i="22"/>
  <c r="AJ248" i="22"/>
  <c r="AI248" i="22"/>
  <c r="AH248" i="22"/>
  <c r="AG248" i="22"/>
  <c r="AF248" i="22"/>
  <c r="AE248" i="22"/>
  <c r="AD248" i="22"/>
  <c r="AC248" i="22"/>
  <c r="F248" i="22"/>
  <c r="E248" i="22"/>
  <c r="AM238" i="22"/>
  <c r="AL238" i="22"/>
  <c r="AK238" i="22"/>
  <c r="AJ238" i="22"/>
  <c r="AI238" i="22"/>
  <c r="AH238" i="22"/>
  <c r="AG238" i="22"/>
  <c r="AF238" i="22"/>
  <c r="AE238" i="22"/>
  <c r="AD238" i="22"/>
  <c r="AC238" i="22"/>
  <c r="E238" i="22"/>
  <c r="AM235" i="22"/>
  <c r="AL235" i="22"/>
  <c r="AK235" i="22"/>
  <c r="AJ235" i="22"/>
  <c r="AI235" i="22"/>
  <c r="AH235" i="22"/>
  <c r="AG235" i="22"/>
  <c r="AF235" i="22"/>
  <c r="AE235" i="22"/>
  <c r="AD235" i="22"/>
  <c r="AC235" i="22"/>
  <c r="E235" i="22"/>
  <c r="AM232" i="22"/>
  <c r="AL232" i="22"/>
  <c r="AK232" i="22"/>
  <c r="AJ232" i="22"/>
  <c r="AI232" i="22"/>
  <c r="AH232" i="22"/>
  <c r="AG232" i="22"/>
  <c r="AF232" i="22"/>
  <c r="AE232" i="22"/>
  <c r="AD232" i="22"/>
  <c r="AC232" i="22"/>
  <c r="E232" i="22"/>
  <c r="F204" i="22"/>
  <c r="H203" i="22"/>
  <c r="E203" i="22"/>
  <c r="E204" i="22" s="1"/>
  <c r="E20" i="9" s="1"/>
  <c r="H202" i="22"/>
  <c r="H135" i="22"/>
  <c r="E135" i="22"/>
  <c r="H134" i="22"/>
  <c r="E134" i="22"/>
  <c r="AM114" i="22"/>
  <c r="AL114" i="22"/>
  <c r="AK114" i="22"/>
  <c r="AJ114" i="22"/>
  <c r="AI114" i="22"/>
  <c r="AH114" i="22"/>
  <c r="AG114" i="22"/>
  <c r="AF114" i="22"/>
  <c r="AE114" i="22"/>
  <c r="AD114" i="22"/>
  <c r="AC114" i="22"/>
  <c r="E114" i="22"/>
  <c r="E21" i="9" s="1"/>
  <c r="E78" i="22"/>
  <c r="I65" i="22"/>
  <c r="AM50" i="22"/>
  <c r="AG50" i="22"/>
  <c r="AM49" i="22"/>
  <c r="AG49" i="22"/>
  <c r="AL47" i="22"/>
  <c r="AK47" i="22"/>
  <c r="AJ47" i="22"/>
  <c r="AI47" i="22"/>
  <c r="AH47" i="22"/>
  <c r="AF47" i="22"/>
  <c r="AE47" i="22"/>
  <c r="AD47" i="22"/>
  <c r="AC47" i="22"/>
  <c r="AL46" i="22"/>
  <c r="AK46" i="22"/>
  <c r="AJ46" i="22"/>
  <c r="AI46" i="22"/>
  <c r="AH46" i="22"/>
  <c r="AG46" i="22"/>
  <c r="AF46" i="22"/>
  <c r="AE46" i="22"/>
  <c r="AD46" i="22"/>
  <c r="AC46" i="22"/>
  <c r="AM34" i="22"/>
  <c r="AG34" i="22"/>
  <c r="AM33" i="22"/>
  <c r="AG33" i="22"/>
  <c r="AL31" i="22"/>
  <c r="AK31" i="22"/>
  <c r="AJ31" i="22"/>
  <c r="AI31" i="22"/>
  <c r="AH31" i="22"/>
  <c r="AF31" i="22"/>
  <c r="AE31" i="22"/>
  <c r="AD31" i="22"/>
  <c r="AC31" i="22"/>
  <c r="AL30" i="22"/>
  <c r="AK30" i="22"/>
  <c r="AJ30" i="22"/>
  <c r="AI30" i="22"/>
  <c r="AH30" i="22"/>
  <c r="AG30" i="22"/>
  <c r="AF30" i="22"/>
  <c r="AE30" i="22"/>
  <c r="AD30" i="22"/>
  <c r="AC30" i="22"/>
  <c r="O247" i="21"/>
  <c r="O244" i="21"/>
  <c r="O243" i="21"/>
  <c r="O242" i="21"/>
  <c r="N241" i="21"/>
  <c r="M241" i="21"/>
  <c r="L241" i="21"/>
  <c r="K241" i="21"/>
  <c r="J241" i="21"/>
  <c r="I241" i="21"/>
  <c r="H241" i="21"/>
  <c r="G241" i="21"/>
  <c r="F241" i="21"/>
  <c r="E241" i="21"/>
  <c r="O240" i="21"/>
  <c r="O239" i="21"/>
  <c r="O238" i="21"/>
  <c r="O237" i="21"/>
  <c r="N107" i="21"/>
  <c r="L106" i="21"/>
  <c r="K106" i="21"/>
  <c r="L105" i="21"/>
  <c r="K105" i="21"/>
  <c r="M104" i="21"/>
  <c r="J104" i="21"/>
  <c r="I104" i="21"/>
  <c r="H104" i="21"/>
  <c r="G104" i="21"/>
  <c r="F104" i="21"/>
  <c r="E104" i="21"/>
  <c r="L103" i="21"/>
  <c r="K103" i="21"/>
  <c r="L102" i="21"/>
  <c r="K102" i="21"/>
  <c r="L101" i="21"/>
  <c r="K101" i="21"/>
  <c r="L100" i="21"/>
  <c r="K100" i="21"/>
  <c r="T76" i="21"/>
  <c r="S76" i="21"/>
  <c r="T71" i="21"/>
  <c r="S71" i="21"/>
  <c r="H52" i="21"/>
  <c r="G52" i="21"/>
  <c r="F52" i="21"/>
  <c r="E52" i="21"/>
  <c r="H50" i="21"/>
  <c r="G50" i="21"/>
  <c r="F50" i="21"/>
  <c r="E50" i="21"/>
  <c r="E38" i="21"/>
  <c r="E25" i="21"/>
  <c r="E11" i="21"/>
  <c r="E70" i="20"/>
  <c r="E65" i="20"/>
  <c r="E55" i="20"/>
  <c r="E52" i="20"/>
  <c r="E39" i="20"/>
  <c r="E34" i="20"/>
  <c r="E19" i="20"/>
  <c r="E14" i="20"/>
  <c r="J79" i="19"/>
  <c r="J62" i="19"/>
  <c r="J61" i="19"/>
  <c r="I60" i="19"/>
  <c r="I63" i="19" s="1"/>
  <c r="H60" i="19"/>
  <c r="H63" i="19" s="1"/>
  <c r="G60" i="19"/>
  <c r="G63" i="19" s="1"/>
  <c r="F60" i="19"/>
  <c r="F63" i="19" s="1"/>
  <c r="E60" i="19"/>
  <c r="E63" i="19" s="1"/>
  <c r="J59" i="19"/>
  <c r="J58" i="19"/>
  <c r="J57" i="19"/>
  <c r="J53" i="19"/>
  <c r="J52" i="19"/>
  <c r="J50" i="19"/>
  <c r="E38" i="13" s="1"/>
  <c r="E36" i="13" s="1"/>
  <c r="I49" i="19"/>
  <c r="H49" i="19"/>
  <c r="G49" i="19"/>
  <c r="F49" i="19"/>
  <c r="E49" i="19"/>
  <c r="J48" i="19"/>
  <c r="J47" i="19"/>
  <c r="J46" i="19"/>
  <c r="J45" i="19"/>
  <c r="E55" i="31" s="1"/>
  <c r="J44" i="19"/>
  <c r="J43" i="19"/>
  <c r="J32" i="19"/>
  <c r="J31" i="19"/>
  <c r="I30" i="19"/>
  <c r="H30" i="19"/>
  <c r="G30" i="19"/>
  <c r="F30" i="19"/>
  <c r="E30" i="19"/>
  <c r="J29" i="19"/>
  <c r="J28" i="19"/>
  <c r="J27" i="19"/>
  <c r="J26" i="19"/>
  <c r="J25" i="19"/>
  <c r="J24" i="19"/>
  <c r="J23" i="19"/>
  <c r="J22" i="19"/>
  <c r="J21" i="19"/>
  <c r="J20" i="19"/>
  <c r="J19" i="19"/>
  <c r="E195" i="18"/>
  <c r="H21" i="18" s="1"/>
  <c r="M21" i="18" s="1"/>
  <c r="H115" i="18"/>
  <c r="H114" i="18"/>
  <c r="AU96" i="18"/>
  <c r="L88" i="18"/>
  <c r="K88" i="18"/>
  <c r="I88" i="18"/>
  <c r="H88" i="18"/>
  <c r="G88" i="18"/>
  <c r="M87" i="18"/>
  <c r="M70" i="18"/>
  <c r="M69" i="18"/>
  <c r="M68" i="18"/>
  <c r="L67" i="18"/>
  <c r="L71" i="18" s="1"/>
  <c r="K67" i="18"/>
  <c r="K71" i="18" s="1"/>
  <c r="J67" i="18"/>
  <c r="J71" i="18" s="1"/>
  <c r="I67" i="18"/>
  <c r="I71" i="18" s="1"/>
  <c r="H67" i="18"/>
  <c r="H71" i="18" s="1"/>
  <c r="G67" i="18"/>
  <c r="G71" i="18" s="1"/>
  <c r="F67" i="18"/>
  <c r="F71" i="18" s="1"/>
  <c r="E67" i="18"/>
  <c r="E71" i="18" s="1"/>
  <c r="M66" i="18"/>
  <c r="M65" i="18"/>
  <c r="M64" i="18"/>
  <c r="M55" i="18"/>
  <c r="M54" i="18"/>
  <c r="M52" i="18"/>
  <c r="E35" i="13" s="1"/>
  <c r="G35" i="13" s="1"/>
  <c r="L51" i="18"/>
  <c r="K51" i="18"/>
  <c r="J51" i="18"/>
  <c r="I51" i="18"/>
  <c r="H51" i="18"/>
  <c r="G51" i="18"/>
  <c r="F51" i="18"/>
  <c r="E51" i="18"/>
  <c r="M50" i="18"/>
  <c r="M49" i="18"/>
  <c r="M48" i="18"/>
  <c r="M47" i="18"/>
  <c r="E53" i="31" s="1"/>
  <c r="M46" i="18"/>
  <c r="M45" i="18"/>
  <c r="M34" i="18"/>
  <c r="M33" i="18"/>
  <c r="L32" i="18"/>
  <c r="K32" i="18"/>
  <c r="J32" i="18"/>
  <c r="I32" i="18"/>
  <c r="H32" i="18"/>
  <c r="G32" i="18"/>
  <c r="F32" i="18"/>
  <c r="E32" i="18"/>
  <c r="M31" i="18"/>
  <c r="M30" i="18"/>
  <c r="M29" i="18"/>
  <c r="M28" i="18"/>
  <c r="M27" i="18"/>
  <c r="M26" i="18"/>
  <c r="M25" i="18"/>
  <c r="M24" i="18"/>
  <c r="M23" i="18"/>
  <c r="M22" i="18"/>
  <c r="AE66" i="17"/>
  <c r="AE69" i="17" s="1"/>
  <c r="Y73" i="13" s="1"/>
  <c r="AC66" i="17"/>
  <c r="AC69" i="17" s="1"/>
  <c r="W73" i="13" s="1"/>
  <c r="AA66" i="17"/>
  <c r="AA69" i="17" s="1"/>
  <c r="U73" i="13" s="1"/>
  <c r="Y66" i="17"/>
  <c r="Y69" i="17" s="1"/>
  <c r="S73" i="13" s="1"/>
  <c r="W66" i="17"/>
  <c r="W69" i="17" s="1"/>
  <c r="Q73" i="13" s="1"/>
  <c r="U66" i="17"/>
  <c r="U69" i="17" s="1"/>
  <c r="O73" i="13" s="1"/>
  <c r="S66" i="17"/>
  <c r="S69" i="17" s="1"/>
  <c r="M73" i="13" s="1"/>
  <c r="R66" i="17"/>
  <c r="R69" i="17" s="1"/>
  <c r="L73" i="13" s="1"/>
  <c r="Q66" i="17"/>
  <c r="Q69" i="17" s="1"/>
  <c r="K73" i="13" s="1"/>
  <c r="P66" i="17"/>
  <c r="P69" i="17" s="1"/>
  <c r="J73" i="13" s="1"/>
  <c r="O66" i="17"/>
  <c r="O69" i="17" s="1"/>
  <c r="I73" i="13" s="1"/>
  <c r="E63" i="17"/>
  <c r="E59" i="17"/>
  <c r="E46" i="17"/>
  <c r="E41" i="17"/>
  <c r="E38" i="17"/>
  <c r="E35" i="17"/>
  <c r="E32" i="17"/>
  <c r="AE22" i="17"/>
  <c r="AC22" i="17"/>
  <c r="AA22" i="17"/>
  <c r="Y22" i="17"/>
  <c r="W22" i="17"/>
  <c r="U22" i="17"/>
  <c r="S22" i="17"/>
  <c r="R22" i="17"/>
  <c r="Q22" i="17"/>
  <c r="P22" i="17"/>
  <c r="O22" i="17"/>
  <c r="E22" i="17"/>
  <c r="AE14" i="17"/>
  <c r="AE23" i="17" s="1"/>
  <c r="Y52" i="12" s="1"/>
  <c r="AC14" i="17"/>
  <c r="AC23" i="17" s="1"/>
  <c r="W52" i="12" s="1"/>
  <c r="AA14" i="17"/>
  <c r="AA23" i="17" s="1"/>
  <c r="U52" i="12" s="1"/>
  <c r="Y14" i="17"/>
  <c r="Y23" i="17" s="1"/>
  <c r="S52" i="12" s="1"/>
  <c r="W14" i="17"/>
  <c r="W23" i="17" s="1"/>
  <c r="Q52" i="12" s="1"/>
  <c r="U14" i="17"/>
  <c r="U23" i="17" s="1"/>
  <c r="O52" i="12" s="1"/>
  <c r="S14" i="17"/>
  <c r="S23" i="17" s="1"/>
  <c r="M52" i="12" s="1"/>
  <c r="R14" i="17"/>
  <c r="R23" i="17" s="1"/>
  <c r="L52" i="12" s="1"/>
  <c r="Q14" i="17"/>
  <c r="Q23" i="17" s="1"/>
  <c r="K52" i="12" s="1"/>
  <c r="P14" i="17"/>
  <c r="P23" i="17" s="1"/>
  <c r="J52" i="12" s="1"/>
  <c r="O14" i="17"/>
  <c r="O23" i="17" s="1"/>
  <c r="I52" i="12" s="1"/>
  <c r="E14" i="17"/>
  <c r="E23" i="17" s="1"/>
  <c r="E15" i="8" s="1"/>
  <c r="E44" i="16"/>
  <c r="D44" i="16"/>
  <c r="K17" i="16"/>
  <c r="J17" i="16"/>
  <c r="G17" i="16"/>
  <c r="F17" i="16"/>
  <c r="E17" i="16"/>
  <c r="D17" i="16"/>
  <c r="I16" i="16"/>
  <c r="H16" i="16"/>
  <c r="I15" i="16"/>
  <c r="H15" i="16"/>
  <c r="I14" i="16"/>
  <c r="H14" i="16"/>
  <c r="I13" i="16"/>
  <c r="H13" i="16"/>
  <c r="I12" i="16"/>
  <c r="H12" i="16"/>
  <c r="I11" i="16"/>
  <c r="H11" i="16"/>
  <c r="I10" i="16"/>
  <c r="H10" i="16"/>
  <c r="F133" i="15"/>
  <c r="E133" i="15"/>
  <c r="G132" i="15"/>
  <c r="G131" i="15"/>
  <c r="G130" i="15"/>
  <c r="G124" i="15"/>
  <c r="F106" i="15"/>
  <c r="E106" i="15"/>
  <c r="F102" i="15"/>
  <c r="E102" i="15"/>
  <c r="E92" i="15"/>
  <c r="E82" i="15"/>
  <c r="G81" i="15"/>
  <c r="F81" i="15"/>
  <c r="E80" i="15"/>
  <c r="E79" i="15"/>
  <c r="E78" i="15"/>
  <c r="E77" i="15"/>
  <c r="E76" i="15"/>
  <c r="E75" i="15"/>
  <c r="E74" i="15"/>
  <c r="E73" i="15"/>
  <c r="E72" i="15"/>
  <c r="G22" i="15"/>
  <c r="E22" i="15" s="1"/>
  <c r="AI18" i="15"/>
  <c r="AG18" i="15"/>
  <c r="AE18" i="15"/>
  <c r="AC18" i="15"/>
  <c r="AA18" i="15"/>
  <c r="Y18" i="15"/>
  <c r="W18" i="15"/>
  <c r="V18" i="15"/>
  <c r="U18" i="15"/>
  <c r="T18" i="15"/>
  <c r="S18" i="15"/>
  <c r="R18" i="15"/>
  <c r="Q18" i="15"/>
  <c r="P18" i="15"/>
  <c r="O18" i="15"/>
  <c r="I18" i="15"/>
  <c r="H18" i="15"/>
  <c r="N17" i="15"/>
  <c r="M17" i="15"/>
  <c r="K17" i="15"/>
  <c r="G17" i="15"/>
  <c r="N14" i="15"/>
  <c r="M14" i="15"/>
  <c r="K14" i="15"/>
  <c r="G14" i="15"/>
  <c r="E14" i="15" s="1"/>
  <c r="N13" i="15"/>
  <c r="M13" i="15"/>
  <c r="G13" i="15"/>
  <c r="F13" i="15"/>
  <c r="N12" i="15"/>
  <c r="M12" i="15"/>
  <c r="G12" i="15"/>
  <c r="F12" i="15"/>
  <c r="F18" i="15" s="1"/>
  <c r="F23" i="15" s="1"/>
  <c r="G123" i="15"/>
  <c r="G125" i="15" s="1"/>
  <c r="N11" i="15"/>
  <c r="M11" i="15"/>
  <c r="L11" i="15"/>
  <c r="L18" i="15" s="1"/>
  <c r="K11" i="15"/>
  <c r="G11" i="15"/>
  <c r="E11" i="15"/>
  <c r="G50" i="14"/>
  <c r="F50" i="14"/>
  <c r="E49" i="14"/>
  <c r="E48" i="14"/>
  <c r="E47" i="14"/>
  <c r="E33" i="14"/>
  <c r="G32" i="14"/>
  <c r="F32" i="14"/>
  <c r="E31" i="14"/>
  <c r="E30" i="14"/>
  <c r="E29" i="14"/>
  <c r="G26" i="14"/>
  <c r="F26" i="14"/>
  <c r="E25" i="14"/>
  <c r="E24" i="14"/>
  <c r="E23" i="14"/>
  <c r="G20" i="14"/>
  <c r="F20" i="14"/>
  <c r="E19" i="14"/>
  <c r="E18" i="14"/>
  <c r="E17" i="14"/>
  <c r="Y212" i="13"/>
  <c r="W212" i="13"/>
  <c r="U212" i="13"/>
  <c r="S212" i="13"/>
  <c r="Q212" i="13"/>
  <c r="O212" i="13"/>
  <c r="M212" i="13"/>
  <c r="L212" i="13"/>
  <c r="K212" i="13"/>
  <c r="J212" i="13"/>
  <c r="I212" i="13"/>
  <c r="E212" i="13"/>
  <c r="Y205" i="13"/>
  <c r="W205" i="13"/>
  <c r="U205" i="13"/>
  <c r="S205" i="13"/>
  <c r="Q205" i="13"/>
  <c r="O205" i="13"/>
  <c r="M205" i="13"/>
  <c r="L205" i="13"/>
  <c r="K205" i="13"/>
  <c r="J205" i="13"/>
  <c r="I205" i="13"/>
  <c r="E205" i="13"/>
  <c r="E27" i="13" s="1"/>
  <c r="Y198" i="13"/>
  <c r="W198" i="13"/>
  <c r="U198" i="13"/>
  <c r="S198" i="13"/>
  <c r="Q198" i="13"/>
  <c r="O198" i="13"/>
  <c r="M198" i="13"/>
  <c r="L198" i="13"/>
  <c r="K198" i="13"/>
  <c r="J198" i="13"/>
  <c r="I198" i="13"/>
  <c r="E198" i="13"/>
  <c r="E21" i="13" s="1"/>
  <c r="Y191" i="13"/>
  <c r="W191" i="13"/>
  <c r="U191" i="13"/>
  <c r="S191" i="13"/>
  <c r="Q191" i="13"/>
  <c r="O191" i="13"/>
  <c r="M191" i="13"/>
  <c r="L191" i="13"/>
  <c r="K191" i="13"/>
  <c r="J191" i="13"/>
  <c r="I191" i="13"/>
  <c r="E191" i="13"/>
  <c r="E20" i="13" s="1"/>
  <c r="Y184" i="13"/>
  <c r="W184" i="13"/>
  <c r="U184" i="13"/>
  <c r="S184" i="13"/>
  <c r="Q184" i="13"/>
  <c r="O184" i="13"/>
  <c r="M184" i="13"/>
  <c r="L184" i="13"/>
  <c r="K184" i="13"/>
  <c r="J184" i="13"/>
  <c r="I184" i="13"/>
  <c r="E184" i="13"/>
  <c r="E18" i="13" s="1"/>
  <c r="Y177" i="13"/>
  <c r="Y213" i="13" s="1"/>
  <c r="W177" i="13"/>
  <c r="W213" i="13" s="1"/>
  <c r="U177" i="13"/>
  <c r="U213" i="13" s="1"/>
  <c r="S177" i="13"/>
  <c r="S213" i="13" s="1"/>
  <c r="Q177" i="13"/>
  <c r="Q213" i="13" s="1"/>
  <c r="O177" i="13"/>
  <c r="O213" i="13" s="1"/>
  <c r="M177" i="13"/>
  <c r="M213" i="13" s="1"/>
  <c r="L177" i="13"/>
  <c r="L213" i="13" s="1"/>
  <c r="K177" i="13"/>
  <c r="K213" i="13" s="1"/>
  <c r="J177" i="13"/>
  <c r="J213" i="13" s="1"/>
  <c r="I177" i="13"/>
  <c r="I213" i="13" s="1"/>
  <c r="E177" i="13"/>
  <c r="E213" i="13" s="1"/>
  <c r="Y70" i="13"/>
  <c r="AI28" i="15" s="1"/>
  <c r="W70" i="13"/>
  <c r="AG28" i="15" s="1"/>
  <c r="U70" i="13"/>
  <c r="AE28" i="15" s="1"/>
  <c r="S70" i="13"/>
  <c r="AC28" i="15" s="1"/>
  <c r="Q70" i="13"/>
  <c r="AA28" i="15" s="1"/>
  <c r="O70" i="13"/>
  <c r="Y28" i="15" s="1"/>
  <c r="M70" i="13"/>
  <c r="W28" i="15" s="1"/>
  <c r="L70" i="13"/>
  <c r="V28" i="15" s="1"/>
  <c r="K70" i="13"/>
  <c r="U28" i="15" s="1"/>
  <c r="J70" i="13"/>
  <c r="T28" i="15" s="1"/>
  <c r="I70" i="13"/>
  <c r="S28" i="15" s="1"/>
  <c r="E70" i="13"/>
  <c r="G60" i="13"/>
  <c r="Y57" i="13"/>
  <c r="W57" i="13"/>
  <c r="U57" i="13"/>
  <c r="S57" i="13"/>
  <c r="Q57" i="13"/>
  <c r="O57" i="13"/>
  <c r="M57" i="13"/>
  <c r="L57" i="13"/>
  <c r="K57" i="13"/>
  <c r="J57" i="13"/>
  <c r="I57" i="13"/>
  <c r="G57" i="13"/>
  <c r="E13" i="14" s="1"/>
  <c r="Y56" i="13"/>
  <c r="W56" i="13"/>
  <c r="U56" i="13"/>
  <c r="S56" i="13"/>
  <c r="Q56" i="13"/>
  <c r="O56" i="13"/>
  <c r="M56" i="13"/>
  <c r="L56" i="13"/>
  <c r="K56" i="13"/>
  <c r="J56" i="13"/>
  <c r="I56" i="13"/>
  <c r="G56" i="13"/>
  <c r="E12" i="14" s="1"/>
  <c r="Y55" i="13"/>
  <c r="Y58" i="13" s="1"/>
  <c r="W55" i="13"/>
  <c r="W58" i="13" s="1"/>
  <c r="U55" i="13"/>
  <c r="U58" i="13" s="1"/>
  <c r="S55" i="13"/>
  <c r="S58" i="13" s="1"/>
  <c r="Q55" i="13"/>
  <c r="Q58" i="13" s="1"/>
  <c r="O55" i="13"/>
  <c r="O58" i="13" s="1"/>
  <c r="M55" i="13"/>
  <c r="M58" i="13" s="1"/>
  <c r="L55" i="13"/>
  <c r="L58" i="13" s="1"/>
  <c r="K55" i="13"/>
  <c r="K58" i="13" s="1"/>
  <c r="J55" i="13"/>
  <c r="J58" i="13" s="1"/>
  <c r="I55" i="13"/>
  <c r="I58" i="13" s="1"/>
  <c r="G55" i="13"/>
  <c r="E11" i="14" s="1"/>
  <c r="E14" i="14" s="1"/>
  <c r="G51" i="13"/>
  <c r="Y50" i="13"/>
  <c r="Y52" i="13" s="1"/>
  <c r="W50" i="13"/>
  <c r="W52" i="13" s="1"/>
  <c r="U50" i="13"/>
  <c r="U52" i="13" s="1"/>
  <c r="S50" i="13"/>
  <c r="S52" i="13" s="1"/>
  <c r="Q50" i="13"/>
  <c r="Q52" i="13" s="1"/>
  <c r="O50" i="13"/>
  <c r="O52" i="13" s="1"/>
  <c r="M50" i="13"/>
  <c r="M52" i="13" s="1"/>
  <c r="L50" i="13"/>
  <c r="L52" i="13" s="1"/>
  <c r="K50" i="13"/>
  <c r="K52" i="13" s="1"/>
  <c r="J50" i="13"/>
  <c r="J52" i="13" s="1"/>
  <c r="I50" i="13"/>
  <c r="I52" i="13" s="1"/>
  <c r="H50" i="13"/>
  <c r="H52" i="13" s="1"/>
  <c r="G50" i="13"/>
  <c r="E50" i="13"/>
  <c r="G48" i="13"/>
  <c r="G47" i="13"/>
  <c r="W46" i="13"/>
  <c r="G46" i="13"/>
  <c r="G45" i="13"/>
  <c r="G44" i="13"/>
  <c r="G38" i="13"/>
  <c r="G37" i="13"/>
  <c r="G34" i="13"/>
  <c r="G30" i="13"/>
  <c r="G29" i="13"/>
  <c r="G28" i="13"/>
  <c r="Y27" i="13"/>
  <c r="W27" i="13"/>
  <c r="U27" i="13"/>
  <c r="S27" i="13"/>
  <c r="Q27" i="13"/>
  <c r="O27" i="13"/>
  <c r="M27" i="13"/>
  <c r="L27" i="13"/>
  <c r="K27" i="13"/>
  <c r="J27" i="13"/>
  <c r="I27" i="13"/>
  <c r="H27" i="13"/>
  <c r="G27" i="13"/>
  <c r="E26" i="13"/>
  <c r="G25" i="13"/>
  <c r="G24" i="13"/>
  <c r="G23" i="13"/>
  <c r="G22" i="13"/>
  <c r="Y21" i="13"/>
  <c r="W21" i="13"/>
  <c r="U21" i="13"/>
  <c r="S21" i="13"/>
  <c r="Q21" i="13"/>
  <c r="O21" i="13"/>
  <c r="M21" i="13"/>
  <c r="L21" i="13"/>
  <c r="K21" i="13"/>
  <c r="J21" i="13"/>
  <c r="I21" i="13"/>
  <c r="H21" i="13"/>
  <c r="G21" i="13"/>
  <c r="Y20" i="13"/>
  <c r="W20" i="13"/>
  <c r="U20" i="13"/>
  <c r="S20" i="13"/>
  <c r="Q20" i="13"/>
  <c r="O20" i="13"/>
  <c r="M20" i="13"/>
  <c r="L20" i="13"/>
  <c r="K20" i="13"/>
  <c r="J20" i="13"/>
  <c r="I20" i="13"/>
  <c r="H20" i="13"/>
  <c r="G20" i="13"/>
  <c r="G19" i="13"/>
  <c r="Y18" i="13"/>
  <c r="W18" i="13"/>
  <c r="U18" i="13"/>
  <c r="S18" i="13"/>
  <c r="Q18" i="13"/>
  <c r="O18" i="13"/>
  <c r="M18" i="13"/>
  <c r="L18" i="13"/>
  <c r="K18" i="13"/>
  <c r="J18" i="13"/>
  <c r="I18" i="13"/>
  <c r="H18" i="13"/>
  <c r="G18" i="13"/>
  <c r="Y17" i="13"/>
  <c r="W17" i="13"/>
  <c r="U17" i="13"/>
  <c r="S17" i="13"/>
  <c r="Q17" i="13"/>
  <c r="O17" i="13"/>
  <c r="M17" i="13"/>
  <c r="L17" i="13"/>
  <c r="K17" i="13"/>
  <c r="J17" i="13"/>
  <c r="I17" i="13"/>
  <c r="H17" i="13"/>
  <c r="G17" i="13"/>
  <c r="G16" i="13"/>
  <c r="G15" i="13"/>
  <c r="Y14" i="13"/>
  <c r="W14" i="13"/>
  <c r="U14" i="13"/>
  <c r="S14" i="13"/>
  <c r="Q14" i="13"/>
  <c r="O14" i="13"/>
  <c r="M14" i="13"/>
  <c r="L14" i="13"/>
  <c r="K14" i="13"/>
  <c r="J14" i="13"/>
  <c r="I14" i="13"/>
  <c r="H14" i="13"/>
  <c r="E13" i="13"/>
  <c r="E12" i="13"/>
  <c r="E11" i="13"/>
  <c r="E10" i="13"/>
  <c r="J107" i="12"/>
  <c r="J105" i="12" s="1"/>
  <c r="I107" i="12"/>
  <c r="I105" i="12" s="1"/>
  <c r="E106" i="12"/>
  <c r="E75" i="12"/>
  <c r="Z49" i="12"/>
  <c r="Y49" i="12"/>
  <c r="W49" i="12"/>
  <c r="U49" i="12"/>
  <c r="S49" i="12"/>
  <c r="Q49" i="12"/>
  <c r="O49" i="12"/>
  <c r="M49" i="12"/>
  <c r="L49" i="12"/>
  <c r="K49" i="12"/>
  <c r="J49" i="12"/>
  <c r="I49" i="12"/>
  <c r="Y48" i="12"/>
  <c r="W48" i="12"/>
  <c r="U48" i="12"/>
  <c r="S48" i="12"/>
  <c r="Q48" i="12"/>
  <c r="O48" i="12"/>
  <c r="M48" i="12"/>
  <c r="L48" i="12"/>
  <c r="K48" i="12"/>
  <c r="J48" i="12"/>
  <c r="I48" i="12"/>
  <c r="E48" i="12"/>
  <c r="Y45" i="12"/>
  <c r="W45" i="12"/>
  <c r="U45" i="12"/>
  <c r="S45" i="12"/>
  <c r="Q45" i="12"/>
  <c r="O45" i="12"/>
  <c r="M45" i="12"/>
  <c r="L45" i="12"/>
  <c r="K45" i="12"/>
  <c r="J45" i="12"/>
  <c r="I45" i="12"/>
  <c r="E45" i="12"/>
  <c r="Y42" i="12"/>
  <c r="W42" i="12"/>
  <c r="U42" i="12"/>
  <c r="S42" i="12"/>
  <c r="Q42" i="12"/>
  <c r="O42" i="12"/>
  <c r="M42" i="12"/>
  <c r="L42" i="12"/>
  <c r="K42" i="12"/>
  <c r="J42" i="12"/>
  <c r="I42" i="12"/>
  <c r="E42" i="12"/>
  <c r="Z35" i="12"/>
  <c r="Y35" i="12"/>
  <c r="W35" i="12"/>
  <c r="U35" i="12"/>
  <c r="S35" i="12"/>
  <c r="Q35" i="12"/>
  <c r="O35" i="12"/>
  <c r="M35" i="12"/>
  <c r="L35" i="12"/>
  <c r="K35" i="12"/>
  <c r="J35" i="12"/>
  <c r="I35" i="12"/>
  <c r="E35" i="12"/>
  <c r="Z32" i="12"/>
  <c r="Y32" i="12"/>
  <c r="W32" i="12"/>
  <c r="U32" i="12"/>
  <c r="S32" i="12"/>
  <c r="Q32" i="12"/>
  <c r="O32" i="12"/>
  <c r="M32" i="12"/>
  <c r="L32" i="12"/>
  <c r="K32" i="12"/>
  <c r="J32" i="12"/>
  <c r="I32" i="12"/>
  <c r="E30" i="12"/>
  <c r="E49" i="12" s="1"/>
  <c r="E20" i="12"/>
  <c r="Z18" i="12"/>
  <c r="Z25" i="12" s="1"/>
  <c r="Y18" i="12"/>
  <c r="Y25" i="12" s="1"/>
  <c r="W18" i="12"/>
  <c r="W25" i="12" s="1"/>
  <c r="U18" i="12"/>
  <c r="U25" i="12" s="1"/>
  <c r="S18" i="12"/>
  <c r="S25" i="12" s="1"/>
  <c r="Q18" i="12"/>
  <c r="Q25" i="12" s="1"/>
  <c r="O18" i="12"/>
  <c r="O25" i="12" s="1"/>
  <c r="M18" i="12"/>
  <c r="M25" i="12" s="1"/>
  <c r="L18" i="12"/>
  <c r="L25" i="12" s="1"/>
  <c r="K18" i="12"/>
  <c r="K25" i="12" s="1"/>
  <c r="J18" i="12"/>
  <c r="J25" i="12" s="1"/>
  <c r="I18" i="12"/>
  <c r="I25" i="12" s="1"/>
  <c r="E17" i="12"/>
  <c r="E16" i="12"/>
  <c r="E15" i="12"/>
  <c r="E12" i="12"/>
  <c r="E11" i="12"/>
  <c r="E10" i="12"/>
  <c r="F179" i="11"/>
  <c r="E179" i="11"/>
  <c r="E178" i="11" s="1"/>
  <c r="F175" i="11"/>
  <c r="F174" i="11" s="1"/>
  <c r="E175" i="11"/>
  <c r="E174" i="11" s="1"/>
  <c r="E165" i="11"/>
  <c r="E163" i="11"/>
  <c r="E155" i="11"/>
  <c r="E43" i="11"/>
  <c r="I45" i="10"/>
  <c r="E45" i="10"/>
  <c r="J44" i="10"/>
  <c r="E45" i="8" s="1"/>
  <c r="J43" i="10"/>
  <c r="E44" i="8" s="1"/>
  <c r="J42" i="10"/>
  <c r="J41" i="10"/>
  <c r="J40" i="10"/>
  <c r="J39" i="10"/>
  <c r="J37" i="10"/>
  <c r="J36" i="10"/>
  <c r="J35" i="10"/>
  <c r="J34" i="10"/>
  <c r="E47" i="8" s="1"/>
  <c r="F32" i="10"/>
  <c r="J32" i="10" s="1"/>
  <c r="J31" i="10"/>
  <c r="J27" i="10"/>
  <c r="J26" i="10"/>
  <c r="E41" i="8" s="1"/>
  <c r="J25" i="10"/>
  <c r="J24" i="10"/>
  <c r="E42" i="8" s="1"/>
  <c r="K77" i="9"/>
  <c r="F77" i="9" s="1"/>
  <c r="F69" i="9"/>
  <c r="F68" i="9"/>
  <c r="F67" i="9"/>
  <c r="F66" i="9"/>
  <c r="F65" i="9"/>
  <c r="F64" i="9"/>
  <c r="E81" i="8"/>
  <c r="E55" i="8" s="1"/>
  <c r="E22" i="8"/>
  <c r="B134" i="7"/>
  <c r="I3" i="7"/>
  <c r="I1" i="7"/>
  <c r="I2" i="7" s="1"/>
  <c r="CD8" i="64" l="1"/>
  <c r="M50" i="12"/>
  <c r="M54" i="12" s="1"/>
  <c r="BG203" i="71"/>
  <c r="BC203" i="71" s="1"/>
  <c r="I66" i="71"/>
  <c r="I70" i="71" s="1"/>
  <c r="I74" i="71" s="1"/>
  <c r="U66" i="71"/>
  <c r="U70" i="71" s="1"/>
  <c r="U74" i="71" s="1"/>
  <c r="AD102" i="84"/>
  <c r="AL102" i="84"/>
  <c r="M15" i="87"/>
  <c r="BI15" i="87" s="1"/>
  <c r="BI27" i="87" s="1"/>
  <c r="BI31" i="87" s="1"/>
  <c r="I61" i="103"/>
  <c r="Q61" i="103"/>
  <c r="CE23" i="104"/>
  <c r="H149" i="112"/>
  <c r="N132" i="114"/>
  <c r="N136" i="114"/>
  <c r="E104" i="20"/>
  <c r="E136" i="24"/>
  <c r="F40" i="29"/>
  <c r="K58" i="66"/>
  <c r="CI102" i="80"/>
  <c r="AD35" i="84"/>
  <c r="AH35" i="84"/>
  <c r="AH209" i="84" s="1"/>
  <c r="AL35" i="84"/>
  <c r="AL209" i="84" s="1"/>
  <c r="F66" i="96"/>
  <c r="F69" i="96"/>
  <c r="F26" i="98"/>
  <c r="J26" i="98"/>
  <c r="N26" i="98"/>
  <c r="N39" i="98" s="1"/>
  <c r="N51" i="98" s="1"/>
  <c r="R26" i="98"/>
  <c r="R39" i="98" s="1"/>
  <c r="R51" i="98" s="1"/>
  <c r="G90" i="100"/>
  <c r="CI24" i="102"/>
  <c r="F100" i="103"/>
  <c r="J100" i="103"/>
  <c r="N100" i="103"/>
  <c r="R100" i="103"/>
  <c r="I101" i="103"/>
  <c r="M101" i="103"/>
  <c r="Q101" i="103"/>
  <c r="I99" i="103"/>
  <c r="M99" i="103"/>
  <c r="Q99" i="103"/>
  <c r="E60" i="103"/>
  <c r="H109" i="106"/>
  <c r="H110" i="106" s="1"/>
  <c r="L109" i="106"/>
  <c r="L110" i="106" s="1"/>
  <c r="P109" i="106"/>
  <c r="P110" i="106" s="1"/>
  <c r="CB9" i="110"/>
  <c r="J62" i="111"/>
  <c r="J68" i="111"/>
  <c r="CG19" i="112"/>
  <c r="CI19" i="112" s="1"/>
  <c r="F135" i="112"/>
  <c r="G141" i="112"/>
  <c r="H142" i="112"/>
  <c r="F143" i="112"/>
  <c r="G145" i="112"/>
  <c r="H210" i="113"/>
  <c r="F217" i="113"/>
  <c r="H236" i="113"/>
  <c r="F237" i="113"/>
  <c r="G241" i="113"/>
  <c r="H250" i="113"/>
  <c r="G259" i="113"/>
  <c r="H260" i="113"/>
  <c r="H263" i="113"/>
  <c r="D135" i="114"/>
  <c r="I50" i="12"/>
  <c r="I54" i="12" s="1"/>
  <c r="I58" i="12" s="1"/>
  <c r="U50" i="12"/>
  <c r="U54" i="12" s="1"/>
  <c r="M66" i="71"/>
  <c r="M70" i="71" s="1"/>
  <c r="M74" i="71" s="1"/>
  <c r="AH102" i="84"/>
  <c r="CG13" i="84"/>
  <c r="H15" i="87"/>
  <c r="M61" i="103"/>
  <c r="E78" i="111"/>
  <c r="F124" i="112"/>
  <c r="H125" i="112"/>
  <c r="N134" i="114"/>
  <c r="D148" i="114"/>
  <c r="E100" i="24"/>
  <c r="E48" i="30"/>
  <c r="E40" i="66"/>
  <c r="E52" i="66" s="1"/>
  <c r="J40" i="66"/>
  <c r="J52" i="66" s="1"/>
  <c r="BG201" i="71"/>
  <c r="BC201" i="71" s="1"/>
  <c r="BD205" i="71"/>
  <c r="BC14" i="75"/>
  <c r="AD65" i="84"/>
  <c r="AH65" i="84"/>
  <c r="AL65" i="84"/>
  <c r="BA22" i="87"/>
  <c r="F16" i="96"/>
  <c r="CG51" i="96"/>
  <c r="CB7" i="96"/>
  <c r="G26" i="98"/>
  <c r="K26" i="98"/>
  <c r="K39" i="98" s="1"/>
  <c r="K51" i="98" s="1"/>
  <c r="O26" i="98"/>
  <c r="O39" i="98" s="1"/>
  <c r="O51" i="98" s="1"/>
  <c r="L38" i="98"/>
  <c r="P38" i="98"/>
  <c r="CA7" i="98"/>
  <c r="I132" i="109"/>
  <c r="E38" i="111"/>
  <c r="I38" i="111"/>
  <c r="I39" i="111" s="1"/>
  <c r="H134" i="112"/>
  <c r="CE136" i="112"/>
  <c r="F149" i="112"/>
  <c r="H150" i="112"/>
  <c r="H190" i="113"/>
  <c r="F192" i="113"/>
  <c r="G194" i="113"/>
  <c r="G196" i="113" s="1"/>
  <c r="G202" i="113"/>
  <c r="H209" i="113"/>
  <c r="G217" i="113"/>
  <c r="H218" i="113"/>
  <c r="H220" i="113"/>
  <c r="H221" i="113" s="1"/>
  <c r="CJ239" i="113"/>
  <c r="L239" i="113" s="1"/>
  <c r="H241" i="113"/>
  <c r="CJ250" i="113"/>
  <c r="L250" i="113" s="1"/>
  <c r="H255" i="113"/>
  <c r="H261" i="113"/>
  <c r="D132" i="114"/>
  <c r="D134" i="114"/>
  <c r="D136" i="114"/>
  <c r="D147" i="114"/>
  <c r="E92" i="23"/>
  <c r="H91" i="84"/>
  <c r="H102" i="84" s="1"/>
  <c r="F83" i="84"/>
  <c r="F91" i="84" s="1"/>
  <c r="CB7" i="78"/>
  <c r="J50" i="12"/>
  <c r="CC8" i="64"/>
  <c r="BC160" i="69"/>
  <c r="J49" i="70"/>
  <c r="J53" i="70" s="1"/>
  <c r="J57" i="70" s="1"/>
  <c r="O49" i="70"/>
  <c r="O53" i="70" s="1"/>
  <c r="O57" i="70" s="1"/>
  <c r="W49" i="70"/>
  <c r="W53" i="70" s="1"/>
  <c r="W57" i="70" s="1"/>
  <c r="BC59" i="75"/>
  <c r="H290" i="82"/>
  <c r="AE290" i="82"/>
  <c r="AM290" i="82"/>
  <c r="V293" i="82"/>
  <c r="AJ293" i="82"/>
  <c r="E13" i="15"/>
  <c r="H16" i="28"/>
  <c r="CH10" i="64"/>
  <c r="CH12" i="64" s="1"/>
  <c r="CB7" i="65"/>
  <c r="I40" i="66"/>
  <c r="I52" i="66" s="1"/>
  <c r="CA7" i="78"/>
  <c r="BC133" i="82"/>
  <c r="BC135" i="82" s="1"/>
  <c r="BC138" i="82" s="1"/>
  <c r="V290" i="82"/>
  <c r="AF290" i="82"/>
  <c r="AJ290" i="82"/>
  <c r="AC293" i="82"/>
  <c r="AG293" i="82"/>
  <c r="AK293" i="82"/>
  <c r="CG31" i="84"/>
  <c r="E65" i="84"/>
  <c r="AE65" i="84"/>
  <c r="AI65" i="84"/>
  <c r="AM65" i="84"/>
  <c r="H72" i="84"/>
  <c r="E149" i="84"/>
  <c r="BC149" i="84" s="1"/>
  <c r="AE149" i="84"/>
  <c r="AI149" i="84"/>
  <c r="AM149" i="84"/>
  <c r="J115" i="86"/>
  <c r="J117" i="86"/>
  <c r="F119" i="86"/>
  <c r="I121" i="86"/>
  <c r="CA7" i="86"/>
  <c r="I27" i="86"/>
  <c r="I134" i="86"/>
  <c r="I136" i="86" s="1"/>
  <c r="BA20" i="87"/>
  <c r="CA20" i="87" s="1"/>
  <c r="BA21" i="87"/>
  <c r="CA21" i="87" s="1"/>
  <c r="T62" i="92"/>
  <c r="CC11" i="94"/>
  <c r="H130" i="94"/>
  <c r="CH69" i="96"/>
  <c r="CB67" i="97"/>
  <c r="F40" i="102"/>
  <c r="F51" i="102" s="1"/>
  <c r="F61" i="103"/>
  <c r="J61" i="103"/>
  <c r="N61" i="103"/>
  <c r="R61" i="103"/>
  <c r="F178" i="11"/>
  <c r="O50" i="12"/>
  <c r="O54" i="12" s="1"/>
  <c r="O58" i="12" s="1"/>
  <c r="BC155" i="69"/>
  <c r="E160" i="69"/>
  <c r="BG193" i="71"/>
  <c r="BC193" i="71" s="1"/>
  <c r="BG195" i="71"/>
  <c r="BC195" i="71" s="1"/>
  <c r="CB195" i="71" s="1"/>
  <c r="BG197" i="71"/>
  <c r="BC197" i="71" s="1"/>
  <c r="BG199" i="71"/>
  <c r="BC199" i="71" s="1"/>
  <c r="CB199" i="71" s="1"/>
  <c r="L66" i="71"/>
  <c r="L70" i="71" s="1"/>
  <c r="L74" i="71" s="1"/>
  <c r="S66" i="71"/>
  <c r="S70" i="71" s="1"/>
  <c r="S74" i="71" s="1"/>
  <c r="BE205" i="71"/>
  <c r="BC38" i="75"/>
  <c r="CB7" i="77"/>
  <c r="CA7" i="77"/>
  <c r="CB7" i="79"/>
  <c r="CA7" i="79"/>
  <c r="AE42" i="82"/>
  <c r="AE219" i="82" s="1"/>
  <c r="AI42" i="82"/>
  <c r="AM42" i="82"/>
  <c r="F34" i="82"/>
  <c r="F42" i="82" s="1"/>
  <c r="BC113" i="82"/>
  <c r="CB7" i="83"/>
  <c r="CA7" i="83"/>
  <c r="BA30" i="87"/>
  <c r="BB86" i="96"/>
  <c r="CD8" i="97"/>
  <c r="CB7" i="98"/>
  <c r="H26" i="98"/>
  <c r="H39" i="98" s="1"/>
  <c r="H51" i="98" s="1"/>
  <c r="L26" i="98"/>
  <c r="L39" i="98" s="1"/>
  <c r="L51" i="98" s="1"/>
  <c r="P26" i="98"/>
  <c r="P39" i="98" s="1"/>
  <c r="P51" i="98" s="1"/>
  <c r="I38" i="98"/>
  <c r="M38" i="98"/>
  <c r="CB10" i="99"/>
  <c r="H145" i="112"/>
  <c r="H265" i="113"/>
  <c r="F211" i="113"/>
  <c r="W50" i="12"/>
  <c r="W54" i="12" s="1"/>
  <c r="W58" i="12" s="1"/>
  <c r="CK30" i="69"/>
  <c r="AI290" i="82"/>
  <c r="AF293" i="82"/>
  <c r="AE35" i="84"/>
  <c r="AE209" i="84" s="1"/>
  <c r="AI35" i="84"/>
  <c r="AI209" i="84" s="1"/>
  <c r="AM35" i="84"/>
  <c r="AM209" i="84" s="1"/>
  <c r="G138" i="114"/>
  <c r="K138" i="114"/>
  <c r="CF84" i="99"/>
  <c r="CF89" i="99"/>
  <c r="J104" i="99"/>
  <c r="E26" i="105"/>
  <c r="E27" i="105" s="1"/>
  <c r="E78" i="105"/>
  <c r="E79" i="105" s="1"/>
  <c r="G14" i="107"/>
  <c r="J104" i="109"/>
  <c r="N104" i="109"/>
  <c r="R104" i="109"/>
  <c r="V104" i="109"/>
  <c r="CP204" i="109"/>
  <c r="D149" i="109"/>
  <c r="CJ147" i="112"/>
  <c r="L147" i="112" s="1"/>
  <c r="CJ151" i="112"/>
  <c r="L151" i="112" s="1"/>
  <c r="CJ200" i="113"/>
  <c r="L200" i="113" s="1"/>
  <c r="CJ215" i="113"/>
  <c r="L215" i="113" s="1"/>
  <c r="CJ255" i="113"/>
  <c r="L255" i="113" s="1"/>
  <c r="G263" i="113"/>
  <c r="T124" i="114"/>
  <c r="F138" i="114"/>
  <c r="J138" i="114"/>
  <c r="O138" i="114"/>
  <c r="S138" i="114"/>
  <c r="S139" i="114" s="1"/>
  <c r="D150" i="114"/>
  <c r="D151" i="114"/>
  <c r="I130" i="109"/>
  <c r="I131" i="109"/>
  <c r="Z131" i="109" s="1"/>
  <c r="CE9" i="110"/>
  <c r="G69" i="111"/>
  <c r="G151" i="112"/>
  <c r="G188" i="113"/>
  <c r="H194" i="113"/>
  <c r="G209" i="113"/>
  <c r="G215" i="113"/>
  <c r="H217" i="113"/>
  <c r="H259" i="113"/>
  <c r="G261" i="113"/>
  <c r="H138" i="114"/>
  <c r="L138" i="114"/>
  <c r="Q138" i="114"/>
  <c r="N135" i="114"/>
  <c r="D152" i="114"/>
  <c r="D153" i="114"/>
  <c r="E44" i="14"/>
  <c r="AF102" i="84"/>
  <c r="AJ102" i="84"/>
  <c r="BC132" i="84"/>
  <c r="BC93" i="84" s="1"/>
  <c r="BC101" i="84" s="1"/>
  <c r="H149" i="84"/>
  <c r="AF149" i="84"/>
  <c r="AJ149" i="84"/>
  <c r="F148" i="84"/>
  <c r="F149" i="84" s="1"/>
  <c r="CA7" i="88"/>
  <c r="G50" i="92"/>
  <c r="CK78" i="97"/>
  <c r="CA10" i="99"/>
  <c r="K44" i="99"/>
  <c r="CC10" i="99"/>
  <c r="K68" i="99"/>
  <c r="J109" i="99"/>
  <c r="CH110" i="99" s="1"/>
  <c r="E51" i="102"/>
  <c r="CC22" i="102" s="1"/>
  <c r="J51" i="102"/>
  <c r="N51" i="102"/>
  <c r="R51" i="102"/>
  <c r="BB51" i="102" s="1"/>
  <c r="F49" i="103"/>
  <c r="J49" i="103"/>
  <c r="N49" i="103"/>
  <c r="R49" i="103"/>
  <c r="I71" i="103"/>
  <c r="M71" i="103"/>
  <c r="Q71" i="103"/>
  <c r="J20" i="105"/>
  <c r="J22" i="105" s="1"/>
  <c r="J24" i="105" s="1"/>
  <c r="J25" i="105"/>
  <c r="I26" i="105"/>
  <c r="I27" i="105" s="1"/>
  <c r="CB40" i="105"/>
  <c r="CB43" i="105"/>
  <c r="CA44" i="105"/>
  <c r="CA7" i="105" s="1"/>
  <c r="CB55" i="105"/>
  <c r="CB58" i="105"/>
  <c r="J72" i="105"/>
  <c r="J74" i="105" s="1"/>
  <c r="J76" i="105" s="1"/>
  <c r="J77" i="105"/>
  <c r="I78" i="105"/>
  <c r="I79" i="105" s="1"/>
  <c r="CE7" i="105"/>
  <c r="I138" i="109"/>
  <c r="Z138" i="109" s="1"/>
  <c r="M50" i="112"/>
  <c r="M51" i="112"/>
  <c r="M52" i="112"/>
  <c r="M59" i="112"/>
  <c r="M60" i="112"/>
  <c r="M61" i="112"/>
  <c r="M62" i="112"/>
  <c r="M63" i="112"/>
  <c r="M64" i="112"/>
  <c r="M65" i="112"/>
  <c r="CE127" i="112"/>
  <c r="G127" i="112"/>
  <c r="G142" i="112"/>
  <c r="H144" i="112"/>
  <c r="CJ145" i="112"/>
  <c r="L145" i="112" s="1"/>
  <c r="G150" i="112"/>
  <c r="CA7" i="113"/>
  <c r="M168" i="113"/>
  <c r="M172" i="113"/>
  <c r="H200" i="113"/>
  <c r="G201" i="113"/>
  <c r="G206" i="113" s="1"/>
  <c r="G204" i="113"/>
  <c r="G210" i="113"/>
  <c r="H215" i="113"/>
  <c r="CJ217" i="113"/>
  <c r="L217" i="113" s="1"/>
  <c r="H246" i="113"/>
  <c r="G250" i="113"/>
  <c r="H258" i="113"/>
  <c r="CJ259" i="113"/>
  <c r="L259" i="113" s="1"/>
  <c r="H264" i="113"/>
  <c r="CJ265" i="113"/>
  <c r="L265" i="113" s="1"/>
  <c r="R138" i="114"/>
  <c r="E77" i="26"/>
  <c r="CJ126" i="112"/>
  <c r="L126" i="112" s="1"/>
  <c r="F126" i="112"/>
  <c r="H136" i="22"/>
  <c r="H137" i="22" s="1"/>
  <c r="G22" i="9" s="1"/>
  <c r="F22" i="9" s="1"/>
  <c r="N22" i="9" s="1"/>
  <c r="H127" i="23"/>
  <c r="F94" i="25"/>
  <c r="H88" i="25"/>
  <c r="K50" i="12"/>
  <c r="K54" i="12" s="1"/>
  <c r="K58" i="12" s="1"/>
  <c r="Q50" i="12"/>
  <c r="Q54" i="12" s="1"/>
  <c r="Q58" i="12" s="1"/>
  <c r="Y50" i="12"/>
  <c r="Y54" i="12" s="1"/>
  <c r="CK14" i="64"/>
  <c r="CF67" i="64"/>
  <c r="CF10" i="64"/>
  <c r="CF12" i="64" s="1"/>
  <c r="CB17" i="73"/>
  <c r="BC17" i="73"/>
  <c r="CC7" i="75"/>
  <c r="G48" i="80"/>
  <c r="G54" i="80" s="1"/>
  <c r="AD57" i="82"/>
  <c r="AD220" i="82" s="1"/>
  <c r="AH57" i="82"/>
  <c r="AH220" i="82" s="1"/>
  <c r="AL57" i="82"/>
  <c r="AL220" i="82" s="1"/>
  <c r="AC24" i="84"/>
  <c r="AG24" i="84"/>
  <c r="AG208" i="84" s="1"/>
  <c r="AK24" i="84"/>
  <c r="AK36" i="84" s="1"/>
  <c r="CG18" i="84"/>
  <c r="AE102" i="84"/>
  <c r="AI102" i="84"/>
  <c r="AM102" i="84"/>
  <c r="I15" i="87"/>
  <c r="N15" i="87"/>
  <c r="BA17" i="87"/>
  <c r="CA7" i="90"/>
  <c r="H28" i="99"/>
  <c r="CJ122" i="112"/>
  <c r="L122" i="112" s="1"/>
  <c r="F122" i="112"/>
  <c r="H114" i="22"/>
  <c r="G21" i="9" s="1"/>
  <c r="F232" i="22"/>
  <c r="F238" i="22"/>
  <c r="F251" i="22"/>
  <c r="F265" i="22"/>
  <c r="F272" i="22"/>
  <c r="F60" i="23"/>
  <c r="F29" i="9" s="1"/>
  <c r="F65" i="23"/>
  <c r="F40" i="9" s="1"/>
  <c r="N40" i="9" s="1"/>
  <c r="H95" i="23"/>
  <c r="H144" i="23"/>
  <c r="G32" i="9" s="1"/>
  <c r="F32" i="9" s="1"/>
  <c r="N32" i="9" s="1"/>
  <c r="F149" i="23"/>
  <c r="F43" i="9" s="1"/>
  <c r="N43" i="9" s="1"/>
  <c r="G32" i="32"/>
  <c r="O32" i="32"/>
  <c r="E50" i="14"/>
  <c r="E12" i="15"/>
  <c r="H132" i="23"/>
  <c r="G45" i="9" s="1"/>
  <c r="I134" i="24"/>
  <c r="I136" i="24" s="1"/>
  <c r="CB8" i="64"/>
  <c r="CF74" i="64"/>
  <c r="CG74" i="64"/>
  <c r="E155" i="69"/>
  <c r="CB14" i="73"/>
  <c r="G125" i="73"/>
  <c r="CB7" i="76"/>
  <c r="CA7" i="76"/>
  <c r="H48" i="80"/>
  <c r="CF33" i="82"/>
  <c r="CA7" i="82"/>
  <c r="AE57" i="82"/>
  <c r="AE220" i="82" s="1"/>
  <c r="AI57" i="82"/>
  <c r="AI220" i="82" s="1"/>
  <c r="AM57" i="82"/>
  <c r="AM220" i="82" s="1"/>
  <c r="AD24" i="84"/>
  <c r="AD208" i="84" s="1"/>
  <c r="AH24" i="84"/>
  <c r="AH208" i="84" s="1"/>
  <c r="AL24" i="84"/>
  <c r="AL208" i="84" s="1"/>
  <c r="H65" i="84"/>
  <c r="AF65" i="84"/>
  <c r="AJ65" i="84"/>
  <c r="F236" i="23"/>
  <c r="F256" i="23"/>
  <c r="E14" i="84"/>
  <c r="CG14" i="84" s="1"/>
  <c r="E28" i="84"/>
  <c r="CG28" i="84" s="1"/>
  <c r="CG7" i="85"/>
  <c r="BA16" i="87"/>
  <c r="BA23" i="87"/>
  <c r="BA29" i="87"/>
  <c r="F92" i="87"/>
  <c r="F53" i="96"/>
  <c r="CE67" i="96"/>
  <c r="CC8" i="97"/>
  <c r="I134" i="109"/>
  <c r="D237" i="109" s="1"/>
  <c r="CB237" i="109" s="1"/>
  <c r="I136" i="109"/>
  <c r="D239" i="109" s="1"/>
  <c r="CB239" i="109" s="1"/>
  <c r="I137" i="109"/>
  <c r="CE134" i="112"/>
  <c r="G134" i="112"/>
  <c r="CE257" i="113"/>
  <c r="I257" i="113" s="1"/>
  <c r="F257" i="113"/>
  <c r="E26" i="14"/>
  <c r="E11" i="25"/>
  <c r="CB20" i="70"/>
  <c r="CI15" i="70"/>
  <c r="BC11" i="73"/>
  <c r="CD50" i="80"/>
  <c r="E48" i="80"/>
  <c r="E54" i="80" s="1"/>
  <c r="F49" i="82"/>
  <c r="F57" i="82" s="1"/>
  <c r="CG27" i="84"/>
  <c r="E133" i="84"/>
  <c r="E83" i="84"/>
  <c r="E91" i="84" s="1"/>
  <c r="E102" i="84" s="1"/>
  <c r="E108" i="84"/>
  <c r="K109" i="94"/>
  <c r="F14" i="96"/>
  <c r="CF45" i="100"/>
  <c r="G96" i="100"/>
  <c r="F96" i="100"/>
  <c r="E108" i="106"/>
  <c r="F26" i="107"/>
  <c r="G26" i="107" s="1"/>
  <c r="E26" i="107"/>
  <c r="I112" i="109"/>
  <c r="I116" i="109"/>
  <c r="Z116" i="109" s="1"/>
  <c r="I117" i="109"/>
  <c r="Z117" i="109" s="1"/>
  <c r="CE131" i="112"/>
  <c r="F131" i="112"/>
  <c r="CE141" i="112"/>
  <c r="K141" i="112" s="1"/>
  <c r="CJ149" i="112"/>
  <c r="L149" i="112" s="1"/>
  <c r="G152" i="112"/>
  <c r="G54" i="113"/>
  <c r="M50" i="113"/>
  <c r="M51" i="113"/>
  <c r="M52" i="113"/>
  <c r="J74" i="113"/>
  <c r="M59" i="113"/>
  <c r="M60" i="113"/>
  <c r="M61" i="113"/>
  <c r="M62" i="113"/>
  <c r="M63" i="113"/>
  <c r="M64" i="113"/>
  <c r="M65" i="113"/>
  <c r="M119" i="113"/>
  <c r="J144" i="113"/>
  <c r="M129" i="113"/>
  <c r="M130" i="113"/>
  <c r="M131" i="113"/>
  <c r="M132" i="113"/>
  <c r="M133" i="113"/>
  <c r="M134" i="113"/>
  <c r="M135" i="113"/>
  <c r="L50" i="12"/>
  <c r="L54" i="12" s="1"/>
  <c r="L58" i="12" s="1"/>
  <c r="S50" i="12"/>
  <c r="S54" i="12" s="1"/>
  <c r="S58" i="12" s="1"/>
  <c r="Z50" i="12"/>
  <c r="Z54" i="12" s="1"/>
  <c r="F40" i="30"/>
  <c r="F45" i="30" s="1"/>
  <c r="F48" i="30"/>
  <c r="E30" i="30" s="1"/>
  <c r="H17" i="66"/>
  <c r="F40" i="66"/>
  <c r="F52" i="66" s="1"/>
  <c r="H24" i="66"/>
  <c r="H26" i="66" s="1"/>
  <c r="K38" i="66"/>
  <c r="K51" i="66"/>
  <c r="CB60" i="66"/>
  <c r="CD9" i="66"/>
  <c r="BC175" i="69"/>
  <c r="K49" i="70"/>
  <c r="K53" i="70" s="1"/>
  <c r="K57" i="70" s="1"/>
  <c r="Q49" i="70"/>
  <c r="Q53" i="70" s="1"/>
  <c r="Q57" i="70" s="1"/>
  <c r="Y49" i="70"/>
  <c r="Y53" i="70" s="1"/>
  <c r="Y57" i="70" s="1"/>
  <c r="BC34" i="70"/>
  <c r="CK34" i="70" s="1"/>
  <c r="BC41" i="70"/>
  <c r="BC44" i="70"/>
  <c r="BC47" i="70"/>
  <c r="BG192" i="71"/>
  <c r="BC192" i="71" s="1"/>
  <c r="BG194" i="71"/>
  <c r="BC194" i="71" s="1"/>
  <c r="BG196" i="71"/>
  <c r="BC196" i="71" s="1"/>
  <c r="BG198" i="71"/>
  <c r="BC198" i="71" s="1"/>
  <c r="J66" i="71"/>
  <c r="J70" i="71" s="1"/>
  <c r="J74" i="71" s="1"/>
  <c r="O66" i="71"/>
  <c r="O70" i="71" s="1"/>
  <c r="O74" i="71" s="1"/>
  <c r="CG205" i="71"/>
  <c r="AD205" i="71"/>
  <c r="E12" i="73"/>
  <c r="BC22" i="75"/>
  <c r="BC32" i="75"/>
  <c r="CT26" i="76"/>
  <c r="CT30" i="76" s="1"/>
  <c r="U71" i="80"/>
  <c r="CH71" i="80" s="1"/>
  <c r="K97" i="80"/>
  <c r="CB7" i="81"/>
  <c r="H42" i="82"/>
  <c r="AF42" i="82"/>
  <c r="AJ42" i="82"/>
  <c r="CG31" i="82"/>
  <c r="H57" i="82"/>
  <c r="AF57" i="82"/>
  <c r="AF220" i="82" s="1"/>
  <c r="AJ57" i="82"/>
  <c r="AJ220" i="82" s="1"/>
  <c r="CG46" i="82"/>
  <c r="AC290" i="82"/>
  <c r="AG290" i="82"/>
  <c r="AK290" i="82"/>
  <c r="AD293" i="82"/>
  <c r="AH293" i="82"/>
  <c r="AL293" i="82"/>
  <c r="AE24" i="84"/>
  <c r="AI24" i="84"/>
  <c r="AM24" i="84"/>
  <c r="AM208" i="84" s="1"/>
  <c r="H35" i="84"/>
  <c r="AF35" i="84"/>
  <c r="AF209" i="84" s="1"/>
  <c r="AJ35" i="84"/>
  <c r="AJ209" i="84" s="1"/>
  <c r="F59" i="84"/>
  <c r="F65" i="84" s="1"/>
  <c r="AC65" i="84"/>
  <c r="AG65" i="84"/>
  <c r="AK65" i="84"/>
  <c r="BC64" i="84"/>
  <c r="BC128" i="84"/>
  <c r="BC133" i="84" s="1"/>
  <c r="H133" i="84"/>
  <c r="AD149" i="84"/>
  <c r="AH149" i="84"/>
  <c r="AL149" i="84"/>
  <c r="G24" i="86"/>
  <c r="E134" i="86"/>
  <c r="E136" i="86" s="1"/>
  <c r="K134" i="86"/>
  <c r="K136" i="86" s="1"/>
  <c r="J15" i="87"/>
  <c r="E14" i="87"/>
  <c r="BA26" i="87"/>
  <c r="M104" i="87"/>
  <c r="J53" i="93"/>
  <c r="CA67" i="93"/>
  <c r="CA68" i="93"/>
  <c r="M113" i="93"/>
  <c r="N113" i="93" s="1"/>
  <c r="M114" i="93"/>
  <c r="N114" i="93" s="1"/>
  <c r="CG67" i="96"/>
  <c r="CF69" i="96"/>
  <c r="CA66" i="97"/>
  <c r="E26" i="98"/>
  <c r="E39" i="98" s="1"/>
  <c r="E51" i="98" s="1"/>
  <c r="I26" i="98"/>
  <c r="I39" i="98" s="1"/>
  <c r="I51" i="98" s="1"/>
  <c r="M26" i="98"/>
  <c r="M39" i="98" s="1"/>
  <c r="M51" i="98" s="1"/>
  <c r="Q26" i="98"/>
  <c r="Q39" i="98" s="1"/>
  <c r="Q51" i="98" s="1"/>
  <c r="BB51" i="98" s="1"/>
  <c r="F38" i="98"/>
  <c r="J38" i="98"/>
  <c r="H84" i="99"/>
  <c r="H89" i="99"/>
  <c r="J99" i="99"/>
  <c r="CH100" i="99" s="1"/>
  <c r="CH119" i="99"/>
  <c r="F109" i="106"/>
  <c r="J109" i="106"/>
  <c r="J110" i="106" s="1"/>
  <c r="N109" i="106"/>
  <c r="N110" i="106" s="1"/>
  <c r="R109" i="106"/>
  <c r="R110" i="106" s="1"/>
  <c r="I128" i="109"/>
  <c r="D231" i="109" s="1"/>
  <c r="CB231" i="109" s="1"/>
  <c r="I129" i="109"/>
  <c r="D232" i="109" s="1"/>
  <c r="CB232" i="109" s="1"/>
  <c r="H201" i="113"/>
  <c r="H206" i="113" s="1"/>
  <c r="CJ209" i="113"/>
  <c r="L209" i="113" s="1"/>
  <c r="F209" i="113"/>
  <c r="H89" i="25"/>
  <c r="H22" i="10"/>
  <c r="J22" i="10" s="1"/>
  <c r="E39" i="8" s="1"/>
  <c r="E32" i="13"/>
  <c r="G32" i="13" s="1"/>
  <c r="I36" i="24"/>
  <c r="J130" i="24"/>
  <c r="J132" i="24"/>
  <c r="E40" i="22"/>
  <c r="E43" i="22" s="1"/>
  <c r="F157" i="26"/>
  <c r="E57" i="8" s="1"/>
  <c r="E58" i="8" s="1"/>
  <c r="E24" i="30"/>
  <c r="E26" i="30" s="1"/>
  <c r="E27" i="30" s="1"/>
  <c r="K14" i="64"/>
  <c r="K19" i="64" s="1"/>
  <c r="K22" i="64" s="1"/>
  <c r="BC22" i="65"/>
  <c r="BC23" i="65" s="1"/>
  <c r="BC54" i="65" s="1"/>
  <c r="G40" i="66"/>
  <c r="G52" i="66" s="1"/>
  <c r="CC58" i="66" s="1"/>
  <c r="L49" i="70"/>
  <c r="L53" i="70" s="1"/>
  <c r="L57" i="70" s="1"/>
  <c r="S49" i="70"/>
  <c r="S53" i="70" s="1"/>
  <c r="S57" i="70" s="1"/>
  <c r="Z49" i="70"/>
  <c r="Z53" i="70" s="1"/>
  <c r="BG202" i="71"/>
  <c r="BC202" i="71" s="1"/>
  <c r="CB202" i="71" s="1"/>
  <c r="BG204" i="71"/>
  <c r="BC204" i="71" s="1"/>
  <c r="CB204" i="71" s="1"/>
  <c r="BC177" i="71"/>
  <c r="BF205" i="71"/>
  <c r="CA7" i="75"/>
  <c r="BC41" i="75"/>
  <c r="BC46" i="75"/>
  <c r="BC63" i="75"/>
  <c r="AC42" i="82"/>
  <c r="AG42" i="82"/>
  <c r="AG219" i="82" s="1"/>
  <c r="AK42" i="82"/>
  <c r="E279" i="82"/>
  <c r="U279" i="82" s="1"/>
  <c r="F293" i="82"/>
  <c r="AC57" i="82"/>
  <c r="AC220" i="82" s="1"/>
  <c r="AG57" i="82"/>
  <c r="AG220" i="82" s="1"/>
  <c r="AK57" i="82"/>
  <c r="AK220" i="82" s="1"/>
  <c r="H64" i="82"/>
  <c r="BC192" i="82"/>
  <c r="AD290" i="82"/>
  <c r="AH290" i="82"/>
  <c r="AL290" i="82"/>
  <c r="H293" i="82"/>
  <c r="AE293" i="82"/>
  <c r="AI293" i="82"/>
  <c r="AM293" i="82"/>
  <c r="H24" i="84"/>
  <c r="AF24" i="84"/>
  <c r="AF208" i="84" s="1"/>
  <c r="AJ24" i="84"/>
  <c r="AJ208" i="84" s="1"/>
  <c r="AC35" i="84"/>
  <c r="AG35" i="84"/>
  <c r="AG209" i="84" s="1"/>
  <c r="AK35" i="84"/>
  <c r="AK209" i="84" s="1"/>
  <c r="CG30" i="84"/>
  <c r="BC59" i="84"/>
  <c r="W109" i="84"/>
  <c r="F132" i="84"/>
  <c r="F133" i="84" s="1"/>
  <c r="H156" i="84"/>
  <c r="J116" i="86"/>
  <c r="I119" i="86"/>
  <c r="I36" i="86"/>
  <c r="G134" i="86"/>
  <c r="G136" i="86" s="1"/>
  <c r="G67" i="86"/>
  <c r="G69" i="86" s="1"/>
  <c r="G78" i="86"/>
  <c r="G80" i="86" s="1"/>
  <c r="F134" i="86"/>
  <c r="F136" i="86" s="1"/>
  <c r="L134" i="86"/>
  <c r="L136" i="86" s="1"/>
  <c r="BA19" i="87"/>
  <c r="F103" i="87"/>
  <c r="BC155" i="89"/>
  <c r="BC157" i="89" s="1"/>
  <c r="F79" i="91"/>
  <c r="F81" i="91" s="1"/>
  <c r="I109" i="94"/>
  <c r="N130" i="94"/>
  <c r="E19" i="96"/>
  <c r="E22" i="96" s="1"/>
  <c r="E46" i="96" s="1"/>
  <c r="E54" i="96" s="1"/>
  <c r="CE54" i="96" s="1"/>
  <c r="CE51" i="96"/>
  <c r="CI51" i="96"/>
  <c r="F86" i="96"/>
  <c r="H19" i="97"/>
  <c r="H22" i="97" s="1"/>
  <c r="H24" i="97" s="1"/>
  <c r="H61" i="97" s="1"/>
  <c r="CB69" i="97"/>
  <c r="CB8" i="97" s="1"/>
  <c r="F39" i="98"/>
  <c r="F51" i="98" s="1"/>
  <c r="J39" i="98"/>
  <c r="J51" i="98" s="1"/>
  <c r="G38" i="98"/>
  <c r="O38" i="98"/>
  <c r="H44" i="99"/>
  <c r="H68" i="99"/>
  <c r="K84" i="99"/>
  <c r="K89" i="99"/>
  <c r="J114" i="99"/>
  <c r="CH115" i="99" s="1"/>
  <c r="H51" i="102"/>
  <c r="L51" i="102"/>
  <c r="P51" i="102"/>
  <c r="I100" i="103"/>
  <c r="M100" i="103"/>
  <c r="Q100" i="103"/>
  <c r="H101" i="103"/>
  <c r="L101" i="103"/>
  <c r="P101" i="103"/>
  <c r="H99" i="103"/>
  <c r="L99" i="103"/>
  <c r="P99" i="103"/>
  <c r="H49" i="103"/>
  <c r="L49" i="103"/>
  <c r="P49" i="103"/>
  <c r="E48" i="103"/>
  <c r="G71" i="103"/>
  <c r="K71" i="103"/>
  <c r="O71" i="103"/>
  <c r="E97" i="103"/>
  <c r="E64" i="108"/>
  <c r="CB64" i="108" s="1"/>
  <c r="K139" i="109"/>
  <c r="K142" i="109" s="1"/>
  <c r="K143" i="109" s="1"/>
  <c r="I126" i="109"/>
  <c r="O139" i="109"/>
  <c r="O142" i="109" s="1"/>
  <c r="O143" i="109" s="1"/>
  <c r="S139" i="109"/>
  <c r="S142" i="109" s="1"/>
  <c r="S143" i="109" s="1"/>
  <c r="W139" i="109"/>
  <c r="W142" i="109" s="1"/>
  <c r="W143" i="109" s="1"/>
  <c r="CA9" i="110"/>
  <c r="CA7" i="112"/>
  <c r="M48" i="112"/>
  <c r="L74" i="112"/>
  <c r="L75" i="112" s="1"/>
  <c r="M57" i="112"/>
  <c r="M67" i="112"/>
  <c r="M71" i="112"/>
  <c r="CD154" i="112"/>
  <c r="CD157" i="112" s="1"/>
  <c r="CJ132" i="112"/>
  <c r="L132" i="112" s="1"/>
  <c r="CH222" i="113"/>
  <c r="CH224" i="113" s="1"/>
  <c r="G224" i="113" s="1"/>
  <c r="CJ204" i="113"/>
  <c r="L204" i="113" s="1"/>
  <c r="F204" i="113"/>
  <c r="P138" i="114"/>
  <c r="N131" i="114"/>
  <c r="G100" i="103"/>
  <c r="K100" i="103"/>
  <c r="O100" i="103"/>
  <c r="F101" i="103"/>
  <c r="J101" i="103"/>
  <c r="N101" i="103"/>
  <c r="N102" i="103" s="1"/>
  <c r="R101" i="103"/>
  <c r="R102" i="103" s="1"/>
  <c r="F99" i="103"/>
  <c r="J99" i="103"/>
  <c r="N99" i="103"/>
  <c r="R99" i="103"/>
  <c r="G61" i="103"/>
  <c r="K61" i="103"/>
  <c r="O61" i="103"/>
  <c r="E83" i="103"/>
  <c r="F26" i="105"/>
  <c r="F27" i="105" s="1"/>
  <c r="F78" i="105"/>
  <c r="F79" i="105" s="1"/>
  <c r="L104" i="109"/>
  <c r="P104" i="109"/>
  <c r="T104" i="109"/>
  <c r="X104" i="109"/>
  <c r="I121" i="109"/>
  <c r="M139" i="109"/>
  <c r="Q139" i="109"/>
  <c r="Q142" i="109" s="1"/>
  <c r="Q143" i="109" s="1"/>
  <c r="U139" i="109"/>
  <c r="BB139" i="109" s="1"/>
  <c r="Y139" i="109"/>
  <c r="I133" i="109"/>
  <c r="CP198" i="109"/>
  <c r="CC9" i="110"/>
  <c r="J64" i="111"/>
  <c r="G54" i="112"/>
  <c r="CF54" i="112"/>
  <c r="CF7" i="112" s="1"/>
  <c r="J74" i="112"/>
  <c r="CB154" i="112"/>
  <c r="CB157" i="112" s="1"/>
  <c r="CH154" i="112"/>
  <c r="CE125" i="112"/>
  <c r="I125" i="112" s="1"/>
  <c r="CJ133" i="112"/>
  <c r="L133" i="112" s="1"/>
  <c r="G136" i="112"/>
  <c r="H141" i="112"/>
  <c r="F147" i="112"/>
  <c r="G149" i="112"/>
  <c r="G193" i="113"/>
  <c r="CE199" i="113"/>
  <c r="F199" i="113"/>
  <c r="G219" i="113"/>
  <c r="H240" i="113"/>
  <c r="H256" i="113"/>
  <c r="G266" i="113"/>
  <c r="E138" i="114"/>
  <c r="I138" i="114"/>
  <c r="M138" i="114"/>
  <c r="H154" i="114"/>
  <c r="L154" i="114"/>
  <c r="F25" i="101"/>
  <c r="G51" i="102"/>
  <c r="K51" i="102"/>
  <c r="O51" i="102"/>
  <c r="CF22" i="102" s="1"/>
  <c r="S51" i="102"/>
  <c r="CH22" i="102" s="1"/>
  <c r="H100" i="103"/>
  <c r="H102" i="103" s="1"/>
  <c r="L100" i="103"/>
  <c r="L102" i="103" s="1"/>
  <c r="P100" i="103"/>
  <c r="G101" i="103"/>
  <c r="K101" i="103"/>
  <c r="O101" i="103"/>
  <c r="G99" i="103"/>
  <c r="K99" i="103"/>
  <c r="O99" i="103"/>
  <c r="G49" i="103"/>
  <c r="K49" i="103"/>
  <c r="O49" i="103"/>
  <c r="F71" i="103"/>
  <c r="J71" i="103"/>
  <c r="N71" i="103"/>
  <c r="R71" i="103"/>
  <c r="G20" i="105"/>
  <c r="G22" i="105" s="1"/>
  <c r="G24" i="105" s="1"/>
  <c r="G25" i="105"/>
  <c r="H26" i="105"/>
  <c r="H27" i="105" s="1"/>
  <c r="G72" i="105"/>
  <c r="G74" i="105" s="1"/>
  <c r="G76" i="105" s="1"/>
  <c r="G77" i="105"/>
  <c r="H78" i="105"/>
  <c r="H79" i="105" s="1"/>
  <c r="G20" i="107"/>
  <c r="CA4" i="107"/>
  <c r="G40" i="107"/>
  <c r="CH4" i="107"/>
  <c r="CJ4" i="107" s="1"/>
  <c r="G106" i="107"/>
  <c r="M104" i="109"/>
  <c r="Q104" i="109"/>
  <c r="U104" i="109"/>
  <c r="BB104" i="109" s="1"/>
  <c r="Y104" i="109"/>
  <c r="I114" i="109"/>
  <c r="M122" i="109"/>
  <c r="Q122" i="109"/>
  <c r="Q125" i="109" s="1"/>
  <c r="U122" i="109"/>
  <c r="Y122" i="109"/>
  <c r="I127" i="109"/>
  <c r="CM126" i="109" s="1"/>
  <c r="CM11" i="109" s="1"/>
  <c r="CP202" i="109"/>
  <c r="I135" i="109"/>
  <c r="CA7" i="111"/>
  <c r="G38" i="111"/>
  <c r="G39" i="111" s="1"/>
  <c r="E69" i="111"/>
  <c r="E71" i="111" s="1"/>
  <c r="I69" i="111"/>
  <c r="I71" i="111" s="1"/>
  <c r="G122" i="112"/>
  <c r="F133" i="112"/>
  <c r="H136" i="112"/>
  <c r="H138" i="112" s="1"/>
  <c r="F137" i="112"/>
  <c r="G144" i="112"/>
  <c r="G146" i="112"/>
  <c r="G147" i="112"/>
  <c r="M170" i="113"/>
  <c r="G190" i="113"/>
  <c r="H193" i="113"/>
  <c r="CJ194" i="113"/>
  <c r="L194" i="113" s="1"/>
  <c r="G213" i="113"/>
  <c r="F265" i="113"/>
  <c r="E154" i="114"/>
  <c r="I154" i="114"/>
  <c r="M154" i="114"/>
  <c r="G126" i="112"/>
  <c r="H127" i="112"/>
  <c r="CE132" i="112"/>
  <c r="K132" i="112" s="1"/>
  <c r="H146" i="112"/>
  <c r="H152" i="112"/>
  <c r="CG19" i="113"/>
  <c r="CI19" i="113" s="1"/>
  <c r="M48" i="113"/>
  <c r="L74" i="113"/>
  <c r="L75" i="113" s="1"/>
  <c r="M57" i="113"/>
  <c r="M67" i="113"/>
  <c r="M71" i="113"/>
  <c r="CG113" i="113"/>
  <c r="CI113" i="113" s="1"/>
  <c r="L144" i="113"/>
  <c r="M127" i="113"/>
  <c r="M137" i="113"/>
  <c r="M141" i="113"/>
  <c r="M169" i="113"/>
  <c r="CJ190" i="113"/>
  <c r="L190" i="113" s="1"/>
  <c r="H195" i="113"/>
  <c r="CE200" i="113"/>
  <c r="CJ201" i="113"/>
  <c r="L201" i="113" s="1"/>
  <c r="G214" i="113"/>
  <c r="G220" i="113"/>
  <c r="G239" i="113"/>
  <c r="CJ241" i="113"/>
  <c r="L241" i="113" s="1"/>
  <c r="H247" i="113"/>
  <c r="G255" i="113"/>
  <c r="G258" i="113"/>
  <c r="CJ263" i="113"/>
  <c r="L263" i="113" s="1"/>
  <c r="G265" i="113"/>
  <c r="H266" i="113"/>
  <c r="CF7" i="114"/>
  <c r="F154" i="114"/>
  <c r="J154" i="114"/>
  <c r="H40" i="22"/>
  <c r="H38" i="22"/>
  <c r="H42" i="22"/>
  <c r="F137" i="22"/>
  <c r="F140" i="22" s="1"/>
  <c r="E65" i="11" s="1"/>
  <c r="H248" i="22"/>
  <c r="H85" i="23"/>
  <c r="H100" i="23"/>
  <c r="F220" i="23"/>
  <c r="E12" i="26"/>
  <c r="H32" i="32"/>
  <c r="L32" i="32"/>
  <c r="P32" i="32"/>
  <c r="CJ213" i="113"/>
  <c r="L213" i="113" s="1"/>
  <c r="CJ219" i="113"/>
  <c r="L219" i="113" s="1"/>
  <c r="G240" i="113"/>
  <c r="G256" i="113"/>
  <c r="CJ261" i="113"/>
  <c r="L261" i="113" s="1"/>
  <c r="BB67" i="114"/>
  <c r="G154" i="114"/>
  <c r="K154" i="114"/>
  <c r="H92" i="25"/>
  <c r="E61" i="11"/>
  <c r="E105" i="12"/>
  <c r="E107" i="12"/>
  <c r="K62" i="13"/>
  <c r="K71" i="13" s="1"/>
  <c r="K75" i="13" s="1"/>
  <c r="K79" i="13" s="1"/>
  <c r="Q62" i="13"/>
  <c r="Q71" i="13" s="1"/>
  <c r="Q75" i="13" s="1"/>
  <c r="Q79" i="13" s="1"/>
  <c r="Y62" i="13"/>
  <c r="Y71" i="13" s="1"/>
  <c r="Y75" i="13" s="1"/>
  <c r="Y79" i="13" s="1"/>
  <c r="H62" i="13"/>
  <c r="G59" i="13" s="1"/>
  <c r="S62" i="13"/>
  <c r="S71" i="13" s="1"/>
  <c r="S75" i="13" s="1"/>
  <c r="I62" i="13"/>
  <c r="I71" i="13" s="1"/>
  <c r="I75" i="13" s="1"/>
  <c r="I79" i="13" s="1"/>
  <c r="M62" i="13"/>
  <c r="M71" i="13" s="1"/>
  <c r="M75" i="13" s="1"/>
  <c r="U62" i="13"/>
  <c r="U71" i="13" s="1"/>
  <c r="U75" i="13" s="1"/>
  <c r="U79" i="13" s="1"/>
  <c r="L62" i="13"/>
  <c r="L71" i="13" s="1"/>
  <c r="L75" i="13" s="1"/>
  <c r="L79" i="13" s="1"/>
  <c r="E17" i="13"/>
  <c r="J62" i="13"/>
  <c r="J71" i="13" s="1"/>
  <c r="J75" i="13" s="1"/>
  <c r="O62" i="13"/>
  <c r="O71" i="13" s="1"/>
  <c r="O75" i="13" s="1"/>
  <c r="O79" i="13" s="1"/>
  <c r="W62" i="13"/>
  <c r="W71" i="13" s="1"/>
  <c r="W75" i="13" s="1"/>
  <c r="W79" i="13" s="1"/>
  <c r="N18" i="15"/>
  <c r="H63" i="13" s="1"/>
  <c r="G63" i="13" s="1"/>
  <c r="E81" i="15"/>
  <c r="H17" i="16"/>
  <c r="I17" i="16"/>
  <c r="J54" i="12"/>
  <c r="E33" i="13"/>
  <c r="G33" i="13" s="1"/>
  <c r="H251" i="22"/>
  <c r="E137" i="22"/>
  <c r="E140" i="22" s="1"/>
  <c r="F235" i="22"/>
  <c r="F275" i="22"/>
  <c r="H232" i="22"/>
  <c r="H272" i="22"/>
  <c r="H238" i="22"/>
  <c r="H265" i="22"/>
  <c r="H268" i="22"/>
  <c r="H56" i="22"/>
  <c r="H37" i="22"/>
  <c r="H41" i="22"/>
  <c r="H53" i="22"/>
  <c r="H57" i="22"/>
  <c r="H236" i="23"/>
  <c r="H220" i="23"/>
  <c r="F253" i="23"/>
  <c r="H256" i="23"/>
  <c r="H128" i="23"/>
  <c r="G34" i="9" s="1"/>
  <c r="W110" i="23"/>
  <c r="H33" i="23"/>
  <c r="F129" i="23"/>
  <c r="F134" i="23" s="1"/>
  <c r="F34" i="9"/>
  <c r="N34" i="9" s="1"/>
  <c r="F144" i="23"/>
  <c r="F239" i="23"/>
  <c r="H131" i="23"/>
  <c r="H223" i="23"/>
  <c r="H253" i="23"/>
  <c r="H260" i="23"/>
  <c r="H40" i="23"/>
  <c r="H90" i="23"/>
  <c r="H239" i="23"/>
  <c r="E25" i="23"/>
  <c r="AC150" i="23"/>
  <c r="AG150" i="23"/>
  <c r="AK150" i="23"/>
  <c r="H24" i="23"/>
  <c r="F44" i="9"/>
  <c r="N44" i="9" s="1"/>
  <c r="H21" i="23"/>
  <c r="AF103" i="23"/>
  <c r="AJ103" i="23"/>
  <c r="F94" i="23"/>
  <c r="H94" i="23" s="1"/>
  <c r="AD150" i="23"/>
  <c r="AH150" i="23"/>
  <c r="AL150" i="23"/>
  <c r="AD103" i="23"/>
  <c r="AH103" i="23"/>
  <c r="AL103" i="23"/>
  <c r="AF150" i="23"/>
  <c r="AJ150" i="23"/>
  <c r="G133" i="24"/>
  <c r="I138" i="24"/>
  <c r="H27" i="24"/>
  <c r="J131" i="24"/>
  <c r="G135" i="24"/>
  <c r="J78" i="24"/>
  <c r="J80" i="24" s="1"/>
  <c r="F134" i="24"/>
  <c r="G131" i="24"/>
  <c r="I27" i="24"/>
  <c r="H36" i="24"/>
  <c r="G130" i="24"/>
  <c r="G132" i="24"/>
  <c r="J135" i="24"/>
  <c r="J67" i="24"/>
  <c r="J69" i="24" s="1"/>
  <c r="H134" i="24"/>
  <c r="H136" i="24" s="1"/>
  <c r="E83" i="26"/>
  <c r="E40" i="29"/>
  <c r="E23" i="31"/>
  <c r="U58" i="12"/>
  <c r="S79" i="13"/>
  <c r="F79" i="9"/>
  <c r="E18" i="12"/>
  <c r="E25" i="12" s="1"/>
  <c r="E12" i="8" s="1"/>
  <c r="E20" i="14"/>
  <c r="E32" i="14"/>
  <c r="G18" i="15"/>
  <c r="G23" i="15" s="1"/>
  <c r="M18" i="15"/>
  <c r="E17" i="15"/>
  <c r="E18" i="15" s="1"/>
  <c r="E23" i="15" s="1"/>
  <c r="E66" i="17"/>
  <c r="E69" i="17" s="1"/>
  <c r="E17" i="8" s="1"/>
  <c r="H21" i="10"/>
  <c r="E140" i="11"/>
  <c r="H121" i="24"/>
  <c r="E29" i="25"/>
  <c r="AC103" i="23"/>
  <c r="AE103" i="23"/>
  <c r="AG103" i="23"/>
  <c r="AI103" i="23"/>
  <c r="AK103" i="23"/>
  <c r="AM103" i="23"/>
  <c r="E33" i="9"/>
  <c r="E113" i="23"/>
  <c r="E236" i="23"/>
  <c r="E260" i="23"/>
  <c r="G115" i="24"/>
  <c r="J116" i="24"/>
  <c r="J117" i="24"/>
  <c r="F119" i="24"/>
  <c r="I119" i="24"/>
  <c r="E133" i="11"/>
  <c r="H204" i="22"/>
  <c r="G20" i="9" s="1"/>
  <c r="F20" i="9" s="1"/>
  <c r="N20" i="9" s="1"/>
  <c r="J115" i="24"/>
  <c r="G116" i="24"/>
  <c r="G117" i="24"/>
  <c r="G118" i="24"/>
  <c r="E119" i="24"/>
  <c r="H119" i="24"/>
  <c r="I121" i="24"/>
  <c r="G33" i="24"/>
  <c r="I61" i="24"/>
  <c r="G67" i="24"/>
  <c r="G69" i="24" s="1"/>
  <c r="I72" i="24"/>
  <c r="G78" i="24"/>
  <c r="G80" i="24" s="1"/>
  <c r="I83" i="24"/>
  <c r="F136" i="24"/>
  <c r="E17" i="26"/>
  <c r="E106" i="26"/>
  <c r="G37" i="28"/>
  <c r="E38" i="30"/>
  <c r="E40" i="30" s="1"/>
  <c r="E45" i="30" s="1"/>
  <c r="E79" i="32"/>
  <c r="Y56" i="12"/>
  <c r="Y58" i="12" s="1"/>
  <c r="H14" i="64"/>
  <c r="H19" i="64" s="1"/>
  <c r="H22" i="64" s="1"/>
  <c r="K17" i="66"/>
  <c r="K24" i="66"/>
  <c r="K26" i="66" s="1"/>
  <c r="H38" i="66"/>
  <c r="H39" i="66" s="1"/>
  <c r="H51" i="66"/>
  <c r="H58" i="66"/>
  <c r="BC43" i="69"/>
  <c r="BC65" i="69"/>
  <c r="BC91" i="69"/>
  <c r="E205" i="71"/>
  <c r="CC29" i="76"/>
  <c r="U76" i="80"/>
  <c r="CH76" i="80" s="1"/>
  <c r="L97" i="80"/>
  <c r="CD230" i="80"/>
  <c r="F101" i="84"/>
  <c r="M70" i="93"/>
  <c r="M71" i="93"/>
  <c r="E130" i="94"/>
  <c r="K130" i="94"/>
  <c r="CD75" i="98"/>
  <c r="K28" i="99"/>
  <c r="G92" i="100"/>
  <c r="H90" i="100" s="1"/>
  <c r="H92" i="100" s="1"/>
  <c r="I90" i="100" s="1"/>
  <c r="I92" i="100" s="1"/>
  <c r="J90" i="100" s="1"/>
  <c r="J92" i="100" s="1"/>
  <c r="K90" i="100" s="1"/>
  <c r="K92" i="100" s="1"/>
  <c r="L90" i="100" s="1"/>
  <c r="L92" i="100" s="1"/>
  <c r="M90" i="100" s="1"/>
  <c r="M92" i="100" s="1"/>
  <c r="N90" i="100" s="1"/>
  <c r="N92" i="100" s="1"/>
  <c r="O90" i="100" s="1"/>
  <c r="O92" i="100" s="1"/>
  <c r="P90" i="100" s="1"/>
  <c r="P92" i="100" s="1"/>
  <c r="Q90" i="100" s="1"/>
  <c r="Q92" i="100" s="1"/>
  <c r="R90" i="100" s="1"/>
  <c r="R92" i="100" s="1"/>
  <c r="S90" i="100" s="1"/>
  <c r="S92" i="100" s="1"/>
  <c r="E28" i="103"/>
  <c r="E99" i="103" s="1"/>
  <c r="G109" i="106"/>
  <c r="G110" i="106" s="1"/>
  <c r="I109" i="106"/>
  <c r="I110" i="106" s="1"/>
  <c r="K109" i="106"/>
  <c r="K110" i="106" s="1"/>
  <c r="M109" i="106"/>
  <c r="M110" i="106" s="1"/>
  <c r="O109" i="106"/>
  <c r="O110" i="106" s="1"/>
  <c r="Q109" i="106"/>
  <c r="Q110" i="106" s="1"/>
  <c r="BB110" i="106" s="1"/>
  <c r="BB72" i="108"/>
  <c r="I140" i="109"/>
  <c r="Z140" i="109" s="1"/>
  <c r="I111" i="109"/>
  <c r="Z111" i="109" s="1"/>
  <c r="K113" i="109"/>
  <c r="K115" i="109" s="1"/>
  <c r="M113" i="109"/>
  <c r="M115" i="109" s="1"/>
  <c r="O113" i="109"/>
  <c r="O115" i="109" s="1"/>
  <c r="Q113" i="109"/>
  <c r="Q115" i="109" s="1"/>
  <c r="S113" i="109"/>
  <c r="S115" i="109" s="1"/>
  <c r="U113" i="109"/>
  <c r="U115" i="109" s="1"/>
  <c r="W113" i="109"/>
  <c r="W115" i="109" s="1"/>
  <c r="Y113" i="109"/>
  <c r="Y115" i="109" s="1"/>
  <c r="J122" i="109"/>
  <c r="L122" i="109"/>
  <c r="L125" i="109" s="1"/>
  <c r="N122" i="109"/>
  <c r="P122" i="109"/>
  <c r="P125" i="109" s="1"/>
  <c r="R122" i="109"/>
  <c r="T122" i="109"/>
  <c r="T125" i="109" s="1"/>
  <c r="V122" i="109"/>
  <c r="V125" i="109" s="1"/>
  <c r="X122" i="109"/>
  <c r="J139" i="109"/>
  <c r="L139" i="109"/>
  <c r="N139" i="109"/>
  <c r="N142" i="109" s="1"/>
  <c r="N143" i="109" s="1"/>
  <c r="P139" i="109"/>
  <c r="P142" i="109" s="1"/>
  <c r="P143" i="109" s="1"/>
  <c r="R139" i="109"/>
  <c r="R142" i="109" s="1"/>
  <c r="R143" i="109" s="1"/>
  <c r="T139" i="109"/>
  <c r="V139" i="109"/>
  <c r="V142" i="109" s="1"/>
  <c r="V143" i="109" s="1"/>
  <c r="X139" i="109"/>
  <c r="X142" i="109" s="1"/>
  <c r="X143" i="109" s="1"/>
  <c r="CP203" i="109"/>
  <c r="CP205" i="109"/>
  <c r="F106" i="110"/>
  <c r="G106" i="110" s="1"/>
  <c r="F38" i="111"/>
  <c r="F39" i="111" s="1"/>
  <c r="H38" i="111"/>
  <c r="J67" i="111"/>
  <c r="F69" i="111"/>
  <c r="F71" i="111" s="1"/>
  <c r="H69" i="111"/>
  <c r="E107" i="111"/>
  <c r="G107" i="111"/>
  <c r="G109" i="111" s="1"/>
  <c r="CG42" i="112"/>
  <c r="CI42" i="112" s="1"/>
  <c r="J54" i="112"/>
  <c r="L54" i="112"/>
  <c r="M49" i="112"/>
  <c r="M53" i="112"/>
  <c r="CH53" i="112" s="1"/>
  <c r="G74" i="112"/>
  <c r="K74" i="112"/>
  <c r="M58" i="112"/>
  <c r="M66" i="112"/>
  <c r="M72" i="112"/>
  <c r="M73" i="112"/>
  <c r="CH73" i="112" s="1"/>
  <c r="J99" i="112"/>
  <c r="J100" i="112"/>
  <c r="J101" i="112"/>
  <c r="J102" i="112"/>
  <c r="J103" i="112"/>
  <c r="J104" i="112"/>
  <c r="M113" i="112"/>
  <c r="F120" i="112"/>
  <c r="H120" i="112"/>
  <c r="CC154" i="112"/>
  <c r="CC157" i="112" s="1"/>
  <c r="CG154" i="112"/>
  <c r="CG156" i="112" s="1"/>
  <c r="CI154" i="112"/>
  <c r="CI156" i="112" s="1"/>
  <c r="H156" i="112" s="1"/>
  <c r="CE122" i="112"/>
  <c r="K122" i="112" s="1"/>
  <c r="F123" i="112"/>
  <c r="F125" i="112"/>
  <c r="CJ125" i="112"/>
  <c r="L125" i="112" s="1"/>
  <c r="CE126" i="112"/>
  <c r="K126" i="112" s="1"/>
  <c r="F127" i="112"/>
  <c r="CJ127" i="112"/>
  <c r="G138" i="112"/>
  <c r="CE133" i="112"/>
  <c r="K133" i="112" s="1"/>
  <c r="F136" i="112"/>
  <c r="CJ136" i="112"/>
  <c r="F141" i="112"/>
  <c r="CJ141" i="112"/>
  <c r="L141" i="112" s="1"/>
  <c r="CE142" i="112"/>
  <c r="K142" i="112" s="1"/>
  <c r="CE144" i="112"/>
  <c r="F144" i="112"/>
  <c r="F145" i="112"/>
  <c r="CE150" i="112"/>
  <c r="K150" i="112" s="1"/>
  <c r="F150" i="112"/>
  <c r="F151" i="112"/>
  <c r="CE195" i="113"/>
  <c r="F195" i="113"/>
  <c r="F201" i="113"/>
  <c r="BC65" i="71"/>
  <c r="BE18" i="73"/>
  <c r="BE23" i="73" s="1"/>
  <c r="E13" i="73"/>
  <c r="BC14" i="73"/>
  <c r="F30" i="82"/>
  <c r="CG48" i="82"/>
  <c r="CG49" i="82"/>
  <c r="F113" i="82"/>
  <c r="F133" i="82"/>
  <c r="F135" i="82" s="1"/>
  <c r="F24" i="84"/>
  <c r="F35" i="84"/>
  <c r="H119" i="84"/>
  <c r="G115" i="86"/>
  <c r="G116" i="86"/>
  <c r="G117" i="86"/>
  <c r="G118" i="86"/>
  <c r="CE15" i="86"/>
  <c r="E11" i="87"/>
  <c r="E29" i="87"/>
  <c r="E79" i="91"/>
  <c r="E81" i="91" s="1"/>
  <c r="BC79" i="91"/>
  <c r="F50" i="92"/>
  <c r="G53" i="93"/>
  <c r="K53" i="93"/>
  <c r="G103" i="93" s="1"/>
  <c r="CA66" i="93"/>
  <c r="CF51" i="96"/>
  <c r="CH51" i="96"/>
  <c r="CA66" i="96"/>
  <c r="F67" i="96"/>
  <c r="CF67" i="96"/>
  <c r="CH67" i="96"/>
  <c r="CE69" i="96"/>
  <c r="CG69" i="96"/>
  <c r="F41" i="101"/>
  <c r="E88" i="103"/>
  <c r="E89" i="103" s="1"/>
  <c r="E98" i="103" s="1"/>
  <c r="H128" i="112"/>
  <c r="CE146" i="112"/>
  <c r="I146" i="112" s="1"/>
  <c r="F146" i="112"/>
  <c r="CE148" i="112"/>
  <c r="K148" i="112" s="1"/>
  <c r="F148" i="112"/>
  <c r="CE152" i="112"/>
  <c r="K152" i="112" s="1"/>
  <c r="F152" i="112"/>
  <c r="CB222" i="113"/>
  <c r="CB225" i="113" s="1"/>
  <c r="F188" i="113"/>
  <c r="CD222" i="113"/>
  <c r="CD225" i="113" s="1"/>
  <c r="H188" i="113"/>
  <c r="F190" i="113"/>
  <c r="CE191" i="113"/>
  <c r="F191" i="113"/>
  <c r="CE193" i="113"/>
  <c r="F193" i="113"/>
  <c r="F194" i="113"/>
  <c r="CE203" i="113"/>
  <c r="K203" i="113" s="1"/>
  <c r="F203" i="113"/>
  <c r="CE205" i="113"/>
  <c r="I205" i="113" s="1"/>
  <c r="F205" i="113"/>
  <c r="CJ142" i="112"/>
  <c r="L142" i="112" s="1"/>
  <c r="CJ144" i="112"/>
  <c r="L144" i="112" s="1"/>
  <c r="CE145" i="112"/>
  <c r="K145" i="112" s="1"/>
  <c r="CJ146" i="112"/>
  <c r="L146" i="112" s="1"/>
  <c r="CE147" i="112"/>
  <c r="I147" i="112" s="1"/>
  <c r="CE149" i="112"/>
  <c r="CJ150" i="112"/>
  <c r="L150" i="112" s="1"/>
  <c r="CE151" i="112"/>
  <c r="CJ152" i="112"/>
  <c r="L152" i="112" s="1"/>
  <c r="CG42" i="113"/>
  <c r="CI42" i="113" s="1"/>
  <c r="J54" i="113"/>
  <c r="L54" i="113"/>
  <c r="M49" i="113"/>
  <c r="M53" i="113"/>
  <c r="CH53" i="113" s="1"/>
  <c r="G74" i="113"/>
  <c r="G75" i="113" s="1"/>
  <c r="K74" i="113"/>
  <c r="M58" i="113"/>
  <c r="M66" i="113"/>
  <c r="M72" i="113"/>
  <c r="M73" i="113"/>
  <c r="CH73" i="113" s="1"/>
  <c r="CG90" i="113"/>
  <c r="CI90" i="113" s="1"/>
  <c r="M120" i="113"/>
  <c r="M121" i="113"/>
  <c r="M122" i="113"/>
  <c r="M123" i="113"/>
  <c r="CH123" i="113" s="1"/>
  <c r="G144" i="113"/>
  <c r="K144" i="113"/>
  <c r="M128" i="113"/>
  <c r="M136" i="113"/>
  <c r="M142" i="113"/>
  <c r="M143" i="113"/>
  <c r="CH143" i="113" s="1"/>
  <c r="CC222" i="113"/>
  <c r="CC225" i="113" s="1"/>
  <c r="CG222" i="113"/>
  <c r="CG224" i="113" s="1"/>
  <c r="CI222" i="113"/>
  <c r="CE190" i="113"/>
  <c r="I190" i="113" s="1"/>
  <c r="CJ193" i="113"/>
  <c r="L193" i="113" s="1"/>
  <c r="CE194" i="113"/>
  <c r="K194" i="113" s="1"/>
  <c r="CJ195" i="113"/>
  <c r="L195" i="113" s="1"/>
  <c r="CE201" i="113"/>
  <c r="CE210" i="113"/>
  <c r="F210" i="113"/>
  <c r="CE212" i="113"/>
  <c r="F212" i="113"/>
  <c r="F213" i="113"/>
  <c r="CE218" i="113"/>
  <c r="F218" i="113"/>
  <c r="F219" i="113"/>
  <c r="CE238" i="113"/>
  <c r="I238" i="113" s="1"/>
  <c r="F238" i="113"/>
  <c r="F239" i="113"/>
  <c r="CE249" i="113"/>
  <c r="K249" i="113" s="1"/>
  <c r="F249" i="113"/>
  <c r="F250" i="113"/>
  <c r="CE251" i="113"/>
  <c r="F251" i="113"/>
  <c r="F255" i="113"/>
  <c r="CE260" i="113"/>
  <c r="F260" i="113"/>
  <c r="F261" i="113"/>
  <c r="CE262" i="113"/>
  <c r="K262" i="113" s="1"/>
  <c r="F262" i="113"/>
  <c r="F263" i="113"/>
  <c r="CE266" i="113"/>
  <c r="K266" i="113" s="1"/>
  <c r="F266" i="113"/>
  <c r="CE214" i="113"/>
  <c r="F214" i="113"/>
  <c r="CE216" i="113"/>
  <c r="I216" i="113" s="1"/>
  <c r="F216" i="113"/>
  <c r="CE220" i="113"/>
  <c r="F220" i="113"/>
  <c r="CE236" i="113"/>
  <c r="K236" i="113" s="1"/>
  <c r="F236" i="113"/>
  <c r="CE240" i="113"/>
  <c r="F240" i="113"/>
  <c r="G252" i="113"/>
  <c r="CE245" i="113"/>
  <c r="I245" i="113" s="1"/>
  <c r="F245" i="113"/>
  <c r="CE247" i="113"/>
  <c r="F247" i="113"/>
  <c r="CE256" i="113"/>
  <c r="K256" i="113" s="1"/>
  <c r="F256" i="113"/>
  <c r="CE258" i="113"/>
  <c r="K258" i="113" s="1"/>
  <c r="F258" i="113"/>
  <c r="CE264" i="113"/>
  <c r="F264" i="113"/>
  <c r="CE202" i="113"/>
  <c r="K202" i="113" s="1"/>
  <c r="CJ202" i="113"/>
  <c r="L202" i="113" s="1"/>
  <c r="CE204" i="113"/>
  <c r="K204" i="113" s="1"/>
  <c r="CE209" i="113"/>
  <c r="CJ210" i="113"/>
  <c r="L210" i="113" s="1"/>
  <c r="CJ212" i="113"/>
  <c r="L212" i="113" s="1"/>
  <c r="CE213" i="113"/>
  <c r="CJ214" i="113"/>
  <c r="L214" i="113" s="1"/>
  <c r="CE215" i="113"/>
  <c r="K215" i="113" s="1"/>
  <c r="CE217" i="113"/>
  <c r="CJ218" i="113"/>
  <c r="L218" i="113" s="1"/>
  <c r="CE219" i="113"/>
  <c r="CJ220" i="113"/>
  <c r="L220" i="113" s="1"/>
  <c r="CJ236" i="113"/>
  <c r="L236" i="113" s="1"/>
  <c r="CE239" i="113"/>
  <c r="CJ240" i="113"/>
  <c r="L240" i="113" s="1"/>
  <c r="CE241" i="113"/>
  <c r="I241" i="113" s="1"/>
  <c r="H252" i="113"/>
  <c r="CE246" i="113"/>
  <c r="CJ246" i="113"/>
  <c r="L246" i="113" s="1"/>
  <c r="CJ247" i="113"/>
  <c r="L247" i="113" s="1"/>
  <c r="CE248" i="113"/>
  <c r="CJ248" i="113"/>
  <c r="L248" i="113" s="1"/>
  <c r="CE250" i="113"/>
  <c r="CE255" i="113"/>
  <c r="I255" i="113" s="1"/>
  <c r="CJ256" i="113"/>
  <c r="L256" i="113" s="1"/>
  <c r="CJ258" i="113"/>
  <c r="L258" i="113" s="1"/>
  <c r="CE259" i="113"/>
  <c r="CJ260" i="113"/>
  <c r="L260" i="113" s="1"/>
  <c r="CE261" i="113"/>
  <c r="K261" i="113" s="1"/>
  <c r="CE263" i="113"/>
  <c r="CJ264" i="113"/>
  <c r="L264" i="113" s="1"/>
  <c r="CE265" i="113"/>
  <c r="I265" i="113" s="1"/>
  <c r="CJ266" i="113"/>
  <c r="L266" i="113" s="1"/>
  <c r="B130" i="7"/>
  <c r="B124" i="7"/>
  <c r="B118" i="7"/>
  <c r="B116" i="7"/>
  <c r="B112" i="7"/>
  <c r="B97" i="7"/>
  <c r="B92" i="7"/>
  <c r="B84" i="7"/>
  <c r="B70" i="7"/>
  <c r="B57" i="7"/>
  <c r="B51" i="7"/>
  <c r="B50" i="7"/>
  <c r="B46" i="7"/>
  <c r="B39" i="7"/>
  <c r="B36" i="7"/>
  <c r="B35" i="7"/>
  <c r="B29" i="7"/>
  <c r="B27" i="7"/>
  <c r="B23" i="7"/>
  <c r="B20" i="7"/>
  <c r="B17" i="7"/>
  <c r="B15" i="7"/>
  <c r="B14" i="7"/>
  <c r="B10" i="7"/>
  <c r="H52" i="64"/>
  <c r="H72" i="64"/>
  <c r="K72" i="64"/>
  <c r="CA8" i="64"/>
  <c r="CF86" i="66"/>
  <c r="CF9" i="66" s="1"/>
  <c r="CD42" i="69"/>
  <c r="CF28" i="73"/>
  <c r="E107" i="80"/>
  <c r="F107" i="80"/>
  <c r="F96" i="21" s="1"/>
  <c r="G107" i="80"/>
  <c r="G96" i="21" s="1"/>
  <c r="H107" i="80"/>
  <c r="I107" i="80"/>
  <c r="I107" i="21" s="1"/>
  <c r="J107" i="80"/>
  <c r="J107" i="21" s="1"/>
  <c r="M107" i="80"/>
  <c r="M107" i="21" s="1"/>
  <c r="CA7" i="89"/>
  <c r="I32" i="92"/>
  <c r="I34" i="92"/>
  <c r="I48" i="92"/>
  <c r="L48" i="92"/>
  <c r="I49" i="92"/>
  <c r="K43" i="93"/>
  <c r="M43" i="93" s="1"/>
  <c r="L43" i="93"/>
  <c r="CD14" i="93"/>
  <c r="E73" i="93"/>
  <c r="F73" i="93"/>
  <c r="H73" i="93"/>
  <c r="I73" i="93"/>
  <c r="G14" i="95"/>
  <c r="J14" i="95"/>
  <c r="G20" i="95"/>
  <c r="J20" i="95"/>
  <c r="G24" i="95"/>
  <c r="J24" i="95"/>
  <c r="G39" i="95"/>
  <c r="J39" i="95"/>
  <c r="CA7" i="96"/>
  <c r="H50" i="97"/>
  <c r="CP78" i="97"/>
  <c r="H52" i="97"/>
  <c r="K52" i="97"/>
  <c r="CA8" i="97"/>
  <c r="H70" i="97"/>
  <c r="K70" i="97"/>
  <c r="E69" i="99"/>
  <c r="E74" i="99" s="1"/>
  <c r="E95" i="99" s="1"/>
  <c r="F69" i="99"/>
  <c r="F74" i="99" s="1"/>
  <c r="G69" i="99"/>
  <c r="I69" i="99"/>
  <c r="I74" i="99" s="1"/>
  <c r="J69" i="99"/>
  <c r="CD89" i="99"/>
  <c r="CD10" i="99" s="1"/>
  <c r="E45" i="100"/>
  <c r="G45" i="100"/>
  <c r="H45" i="100"/>
  <c r="I45" i="100"/>
  <c r="J45" i="100"/>
  <c r="K45" i="100"/>
  <c r="L45" i="100"/>
  <c r="M45" i="100"/>
  <c r="N45" i="100"/>
  <c r="O45" i="100"/>
  <c r="P45" i="100"/>
  <c r="Q45" i="100"/>
  <c r="S45" i="100"/>
  <c r="E67" i="100"/>
  <c r="E72" i="100" s="1"/>
  <c r="E88" i="100" s="1"/>
  <c r="G67" i="100"/>
  <c r="H67" i="100"/>
  <c r="I67" i="100"/>
  <c r="J67" i="100"/>
  <c r="K67" i="100"/>
  <c r="L67" i="100"/>
  <c r="M67" i="100"/>
  <c r="N67" i="100"/>
  <c r="O67" i="100"/>
  <c r="P67" i="100"/>
  <c r="Q67" i="100"/>
  <c r="S67" i="100"/>
  <c r="E42" i="101"/>
  <c r="G42" i="101"/>
  <c r="H42" i="101"/>
  <c r="I42" i="101"/>
  <c r="J42" i="101"/>
  <c r="K42" i="101"/>
  <c r="L42" i="101"/>
  <c r="M42" i="101"/>
  <c r="N42" i="101"/>
  <c r="O42" i="101"/>
  <c r="P42" i="101"/>
  <c r="Q42" i="101"/>
  <c r="R42" i="101"/>
  <c r="BB42" i="101" s="1"/>
  <c r="S42" i="101"/>
  <c r="F89" i="103"/>
  <c r="G89" i="103"/>
  <c r="H89" i="103"/>
  <c r="H98" i="103" s="1"/>
  <c r="I89" i="103"/>
  <c r="I98" i="103" s="1"/>
  <c r="J89" i="103"/>
  <c r="K89" i="103"/>
  <c r="L89" i="103"/>
  <c r="L98" i="103" s="1"/>
  <c r="M89" i="103"/>
  <c r="M98" i="103" s="1"/>
  <c r="N89" i="103"/>
  <c r="O89" i="103"/>
  <c r="P89" i="103"/>
  <c r="P98" i="103" s="1"/>
  <c r="Q89" i="103"/>
  <c r="Q98" i="103" s="1"/>
  <c r="R89" i="103"/>
  <c r="CC40" i="105"/>
  <c r="G42" i="105"/>
  <c r="J42" i="105"/>
  <c r="CC43" i="105"/>
  <c r="CD44" i="105"/>
  <c r="CD7" i="105" s="1"/>
  <c r="G45" i="105"/>
  <c r="J45" i="105"/>
  <c r="G47" i="105"/>
  <c r="J47" i="105"/>
  <c r="CC55" i="105"/>
  <c r="CC58" i="105"/>
  <c r="F21" i="107"/>
  <c r="G21" i="107" s="1"/>
  <c r="G27" i="107"/>
  <c r="G171" i="107"/>
  <c r="J171" i="107"/>
  <c r="G172" i="107"/>
  <c r="J172" i="107"/>
  <c r="E23" i="108"/>
  <c r="E24" i="108" s="1"/>
  <c r="F23" i="108"/>
  <c r="F24" i="108" s="1"/>
  <c r="F27" i="108" s="1"/>
  <c r="CE29" i="108" s="1"/>
  <c r="CA6" i="108"/>
  <c r="J65" i="111"/>
  <c r="J69" i="111" s="1"/>
  <c r="G71" i="111"/>
  <c r="H71" i="111"/>
  <c r="K44" i="112"/>
  <c r="L44" i="112"/>
  <c r="M44" i="112" s="1"/>
  <c r="E75" i="112"/>
  <c r="F75" i="112"/>
  <c r="H75" i="112"/>
  <c r="I75" i="112"/>
  <c r="K44" i="113"/>
  <c r="K82" i="113" s="1"/>
  <c r="L44" i="113"/>
  <c r="L82" i="113" s="1"/>
  <c r="E75" i="113"/>
  <c r="E117" i="113" s="1"/>
  <c r="F75" i="113"/>
  <c r="F117" i="113" s="1"/>
  <c r="G117" i="113" s="1"/>
  <c r="G124" i="113" s="1"/>
  <c r="H75" i="113"/>
  <c r="H117" i="113" s="1"/>
  <c r="CD234" i="113" s="1"/>
  <c r="I75" i="113"/>
  <c r="I117" i="113" s="1"/>
  <c r="G14" i="116"/>
  <c r="J14" i="116"/>
  <c r="G20" i="116"/>
  <c r="J20" i="116"/>
  <c r="G24" i="116"/>
  <c r="J24" i="116"/>
  <c r="G39" i="116"/>
  <c r="J39" i="116"/>
  <c r="J65" i="116"/>
  <c r="E50" i="12"/>
  <c r="E13" i="8"/>
  <c r="F127" i="22"/>
  <c r="E55" i="22"/>
  <c r="E58" i="22" s="1"/>
  <c r="H139" i="24"/>
  <c r="Q77" i="21"/>
  <c r="Q72" i="21"/>
  <c r="E61" i="8"/>
  <c r="E32" i="12"/>
  <c r="G10" i="13"/>
  <c r="G11" i="13"/>
  <c r="G12" i="13"/>
  <c r="G13" i="13"/>
  <c r="E14" i="13"/>
  <c r="G26" i="13"/>
  <c r="G36" i="13"/>
  <c r="E52" i="13"/>
  <c r="G58" i="13"/>
  <c r="K12" i="15"/>
  <c r="K13" i="15"/>
  <c r="H23" i="15"/>
  <c r="E123" i="15" s="1"/>
  <c r="I23" i="15"/>
  <c r="G133" i="15"/>
  <c r="E48" i="17"/>
  <c r="E52" i="31"/>
  <c r="M32" i="18"/>
  <c r="M51" i="18"/>
  <c r="E12" i="11"/>
  <c r="M67" i="18"/>
  <c r="M71" i="18" s="1"/>
  <c r="E54" i="31"/>
  <c r="J30" i="19"/>
  <c r="J49" i="19"/>
  <c r="J60" i="19"/>
  <c r="J63" i="19" s="1"/>
  <c r="E39" i="13"/>
  <c r="E29" i="20"/>
  <c r="E40" i="13"/>
  <c r="E49" i="20"/>
  <c r="E41" i="13"/>
  <c r="E61" i="20"/>
  <c r="E42" i="13"/>
  <c r="E71" i="20"/>
  <c r="E103" i="20"/>
  <c r="K104" i="21"/>
  <c r="L104" i="21"/>
  <c r="E56" i="31"/>
  <c r="O241" i="21"/>
  <c r="AC43" i="22"/>
  <c r="AD43" i="22"/>
  <c r="AE43" i="22"/>
  <c r="AF43" i="22"/>
  <c r="AG43" i="22"/>
  <c r="AH43" i="22"/>
  <c r="AI43" i="22"/>
  <c r="AJ43" i="22"/>
  <c r="AK43" i="22"/>
  <c r="AL43" i="22"/>
  <c r="AM43" i="22"/>
  <c r="AC58" i="22"/>
  <c r="AC222" i="22" s="1"/>
  <c r="G70" i="21" s="1"/>
  <c r="AD58" i="22"/>
  <c r="AD222" i="22" s="1"/>
  <c r="H70" i="21" s="1"/>
  <c r="AE58" i="22"/>
  <c r="AE222" i="22" s="1"/>
  <c r="I70" i="21" s="1"/>
  <c r="AF58" i="22"/>
  <c r="AF222" i="22" s="1"/>
  <c r="J70" i="21" s="1"/>
  <c r="AG58" i="22"/>
  <c r="AG222" i="22" s="1"/>
  <c r="K70" i="21" s="1"/>
  <c r="U70" i="21" s="1"/>
  <c r="F48" i="21" s="1"/>
  <c r="AH58" i="22"/>
  <c r="AH222" i="22" s="1"/>
  <c r="L70" i="21" s="1"/>
  <c r="AI58" i="22"/>
  <c r="AI222" i="22" s="1"/>
  <c r="M70" i="21" s="1"/>
  <c r="AJ58" i="22"/>
  <c r="AJ222" i="22" s="1"/>
  <c r="N70" i="21" s="1"/>
  <c r="AK58" i="22"/>
  <c r="AK222" i="22" s="1"/>
  <c r="O70" i="21" s="1"/>
  <c r="AL58" i="22"/>
  <c r="AL222" i="22" s="1"/>
  <c r="P70" i="21" s="1"/>
  <c r="AM58" i="22"/>
  <c r="AM222" i="22" s="1"/>
  <c r="Q70" i="21" s="1"/>
  <c r="F49" i="21" s="1"/>
  <c r="AC25" i="23"/>
  <c r="AD25" i="23"/>
  <c r="AE25" i="23"/>
  <c r="AF25" i="23"/>
  <c r="AG25" i="23"/>
  <c r="AH25" i="23"/>
  <c r="AI25" i="23"/>
  <c r="AJ25" i="23"/>
  <c r="AK25" i="23"/>
  <c r="AL25" i="23"/>
  <c r="AM25" i="23"/>
  <c r="AC36" i="23"/>
  <c r="AD36" i="23"/>
  <c r="AE36" i="23"/>
  <c r="AF36" i="23"/>
  <c r="AG36" i="23"/>
  <c r="AH36" i="23"/>
  <c r="AI36" i="23"/>
  <c r="AJ36" i="23"/>
  <c r="AK36" i="23"/>
  <c r="AL36" i="23"/>
  <c r="AM36" i="23"/>
  <c r="E66" i="23"/>
  <c r="AC66" i="23"/>
  <c r="AD66" i="23"/>
  <c r="AE66" i="23"/>
  <c r="AF66" i="23"/>
  <c r="AG66" i="23"/>
  <c r="AH66" i="23"/>
  <c r="AI66" i="23"/>
  <c r="AJ66" i="23"/>
  <c r="AK66" i="23"/>
  <c r="AL66" i="23"/>
  <c r="AM66" i="23"/>
  <c r="E44" i="9"/>
  <c r="E134" i="23"/>
  <c r="E150" i="23"/>
  <c r="G15" i="24"/>
  <c r="G119" i="24" s="1"/>
  <c r="J15" i="24"/>
  <c r="J17" i="24"/>
  <c r="J121" i="24" s="1"/>
  <c r="H18" i="24"/>
  <c r="I18" i="24"/>
  <c r="J24" i="24"/>
  <c r="J27" i="24" s="1"/>
  <c r="J33" i="24"/>
  <c r="J36" i="24" s="1"/>
  <c r="G56" i="24"/>
  <c r="G58" i="24" s="1"/>
  <c r="J56" i="24"/>
  <c r="J58" i="24" s="1"/>
  <c r="J60" i="24"/>
  <c r="J71" i="24"/>
  <c r="J82" i="24"/>
  <c r="H138" i="24"/>
  <c r="E25" i="11"/>
  <c r="E113" i="25"/>
  <c r="E114" i="25"/>
  <c r="E34" i="26"/>
  <c r="G25" i="29"/>
  <c r="G40" i="29" s="1"/>
  <c r="G38" i="30"/>
  <c r="G46" i="30"/>
  <c r="G48" i="30" s="1"/>
  <c r="E66" i="32"/>
  <c r="F66" i="32"/>
  <c r="F68" i="32" s="1"/>
  <c r="M77" i="21"/>
  <c r="M72" i="21"/>
  <c r="T77" i="21"/>
  <c r="T72" i="21"/>
  <c r="M56" i="12"/>
  <c r="M58" i="12" s="1"/>
  <c r="M77" i="13"/>
  <c r="CF65" i="64"/>
  <c r="E63" i="64"/>
  <c r="E76" i="64" s="1"/>
  <c r="E79" i="64" s="1"/>
  <c r="E48" i="64"/>
  <c r="CG65" i="64"/>
  <c r="F63" i="64"/>
  <c r="F76" i="64" s="1"/>
  <c r="F79" i="64" s="1"/>
  <c r="F48" i="64"/>
  <c r="CH65" i="64"/>
  <c r="G63" i="64"/>
  <c r="G48" i="64"/>
  <c r="CJ65" i="64"/>
  <c r="I63" i="64"/>
  <c r="I76" i="64" s="1"/>
  <c r="I79" i="64" s="1"/>
  <c r="I48" i="64"/>
  <c r="CK65" i="64"/>
  <c r="J63" i="64"/>
  <c r="J48" i="64"/>
  <c r="BC61" i="65"/>
  <c r="E39" i="66"/>
  <c r="CG34" i="66" s="1"/>
  <c r="CG36" i="66"/>
  <c r="F39" i="66"/>
  <c r="CH34" i="66" s="1"/>
  <c r="CH36" i="66"/>
  <c r="G39" i="66"/>
  <c r="CI34" i="66" s="1"/>
  <c r="CI36" i="66"/>
  <c r="I39" i="66"/>
  <c r="CK34" i="66" s="1"/>
  <c r="CK36" i="66"/>
  <c r="J39" i="66"/>
  <c r="CL34" i="66" s="1"/>
  <c r="CL36" i="66"/>
  <c r="BC21" i="69"/>
  <c r="BC23" i="69"/>
  <c r="CB193" i="71"/>
  <c r="CB194" i="71"/>
  <c r="CB196" i="71"/>
  <c r="CB197" i="71"/>
  <c r="CB198" i="71"/>
  <c r="CB200" i="71"/>
  <c r="CB201" i="71"/>
  <c r="CB203" i="71"/>
  <c r="M88" i="76"/>
  <c r="CF94" i="76" s="1"/>
  <c r="CF97" i="76" s="1"/>
  <c r="J80" i="78"/>
  <c r="E30" i="80"/>
  <c r="E16" i="21" s="1"/>
  <c r="E138" i="82"/>
  <c r="E128" i="82"/>
  <c r="AD219" i="82"/>
  <c r="AH219" i="82"/>
  <c r="AI219" i="82"/>
  <c r="AJ219" i="82"/>
  <c r="AK219" i="82"/>
  <c r="AL219" i="82"/>
  <c r="AM219" i="82"/>
  <c r="AC208" i="84"/>
  <c r="AE208" i="84"/>
  <c r="AG36" i="84"/>
  <c r="AI208" i="84"/>
  <c r="AI36" i="84"/>
  <c r="AK208" i="84"/>
  <c r="AM36" i="84"/>
  <c r="F27" i="87"/>
  <c r="BB15" i="87"/>
  <c r="H27" i="87"/>
  <c r="BD15" i="87"/>
  <c r="BD27" i="87" s="1"/>
  <c r="BD31" i="87" s="1"/>
  <c r="I27" i="87"/>
  <c r="K27" i="87"/>
  <c r="BG15" i="87"/>
  <c r="BG27" i="87" s="1"/>
  <c r="BG31" i="87" s="1"/>
  <c r="N27" i="87"/>
  <c r="BJ15" i="87"/>
  <c r="BJ27" i="87" s="1"/>
  <c r="BJ31" i="87" s="1"/>
  <c r="BC81" i="91"/>
  <c r="H83" i="92"/>
  <c r="I15" i="92"/>
  <c r="K83" i="92"/>
  <c r="L15" i="92"/>
  <c r="H19" i="92"/>
  <c r="K18" i="92"/>
  <c r="H24" i="92"/>
  <c r="I24" i="92" s="1"/>
  <c r="I23" i="92"/>
  <c r="K24" i="92"/>
  <c r="L24" i="92" s="1"/>
  <c r="L23" i="92"/>
  <c r="F31" i="92"/>
  <c r="F85" i="92" s="1"/>
  <c r="F90" i="92" s="1"/>
  <c r="G31" i="92"/>
  <c r="G85" i="92" s="1"/>
  <c r="H30" i="92"/>
  <c r="I29" i="92"/>
  <c r="K30" i="92"/>
  <c r="L29" i="92"/>
  <c r="H37" i="92"/>
  <c r="I36" i="92"/>
  <c r="K37" i="92"/>
  <c r="L36" i="92"/>
  <c r="H50" i="92"/>
  <c r="I50" i="92" s="1"/>
  <c r="I45" i="92"/>
  <c r="K50" i="92"/>
  <c r="L45" i="92"/>
  <c r="F117" i="94"/>
  <c r="F116" i="94"/>
  <c r="F118" i="94" s="1"/>
  <c r="H117" i="94"/>
  <c r="H116" i="94"/>
  <c r="J117" i="94"/>
  <c r="J116" i="94"/>
  <c r="J118" i="94" s="1"/>
  <c r="L117" i="94"/>
  <c r="L116" i="94"/>
  <c r="E24" i="96"/>
  <c r="E61" i="96" s="1"/>
  <c r="E74" i="96" s="1"/>
  <c r="E77" i="96" s="1"/>
  <c r="G22" i="96"/>
  <c r="BA22" i="96" s="1"/>
  <c r="F19" i="96"/>
  <c r="H46" i="96"/>
  <c r="H54" i="96" s="1"/>
  <c r="H24" i="96"/>
  <c r="H61" i="96" s="1"/>
  <c r="H74" i="96" s="1"/>
  <c r="H77" i="96" s="1"/>
  <c r="I46" i="96"/>
  <c r="I54" i="96" s="1"/>
  <c r="I24" i="96"/>
  <c r="I61" i="96" s="1"/>
  <c r="I74" i="96" s="1"/>
  <c r="I77" i="96" s="1"/>
  <c r="J46" i="96"/>
  <c r="J54" i="96" s="1"/>
  <c r="J24" i="96"/>
  <c r="J61" i="96" s="1"/>
  <c r="K46" i="96"/>
  <c r="K54" i="96" s="1"/>
  <c r="K24" i="96"/>
  <c r="K61" i="96" s="1"/>
  <c r="K74" i="96" s="1"/>
  <c r="K77" i="96" s="1"/>
  <c r="L46" i="96"/>
  <c r="L54" i="96" s="1"/>
  <c r="L24" i="96"/>
  <c r="L61" i="96" s="1"/>
  <c r="L74" i="96" s="1"/>
  <c r="L77" i="96" s="1"/>
  <c r="M46" i="96"/>
  <c r="M54" i="96" s="1"/>
  <c r="M24" i="96"/>
  <c r="M61" i="96" s="1"/>
  <c r="N46" i="96"/>
  <c r="N54" i="96" s="1"/>
  <c r="N24" i="96"/>
  <c r="N61" i="96" s="1"/>
  <c r="N74" i="96" s="1"/>
  <c r="N77" i="96" s="1"/>
  <c r="O46" i="96"/>
  <c r="O54" i="96" s="1"/>
  <c r="O24" i="96"/>
  <c r="O61" i="96" s="1"/>
  <c r="O74" i="96" s="1"/>
  <c r="O77" i="96" s="1"/>
  <c r="P46" i="96"/>
  <c r="P54" i="96" s="1"/>
  <c r="P24" i="96"/>
  <c r="P61" i="96" s="1"/>
  <c r="Q46" i="96"/>
  <c r="Q54" i="96" s="1"/>
  <c r="Q24" i="96"/>
  <c r="Q61" i="96" s="1"/>
  <c r="Q74" i="96" s="1"/>
  <c r="Q77" i="96" s="1"/>
  <c r="R46" i="96"/>
  <c r="R54" i="96" s="1"/>
  <c r="BB54" i="96" s="1"/>
  <c r="R24" i="96"/>
  <c r="R61" i="96" s="1"/>
  <c r="R74" i="96" s="1"/>
  <c r="R77" i="96" s="1"/>
  <c r="BB77" i="96" s="1"/>
  <c r="S46" i="96"/>
  <c r="S54" i="96" s="1"/>
  <c r="CG54" i="96" s="1"/>
  <c r="S24" i="96"/>
  <c r="S61" i="96" s="1"/>
  <c r="S74" i="96" s="1"/>
  <c r="S77" i="96" s="1"/>
  <c r="E46" i="97"/>
  <c r="E54" i="97" s="1"/>
  <c r="E24" i="97"/>
  <c r="E61" i="97" s="1"/>
  <c r="E74" i="97" s="1"/>
  <c r="E77" i="97" s="1"/>
  <c r="F46" i="97"/>
  <c r="F54" i="97" s="1"/>
  <c r="F24" i="97"/>
  <c r="F61" i="97" s="1"/>
  <c r="F74" i="97" s="1"/>
  <c r="F77" i="97" s="1"/>
  <c r="G46" i="97"/>
  <c r="G24" i="97"/>
  <c r="G61" i="97" s="1"/>
  <c r="G74" i="97" s="1"/>
  <c r="G77" i="97" s="1"/>
  <c r="I46" i="97"/>
  <c r="I54" i="97" s="1"/>
  <c r="I24" i="97"/>
  <c r="I61" i="97" s="1"/>
  <c r="I74" i="97" s="1"/>
  <c r="I77" i="97" s="1"/>
  <c r="J46" i="97"/>
  <c r="J24" i="97"/>
  <c r="J61" i="97" s="1"/>
  <c r="E38" i="98"/>
  <c r="CE35" i="98"/>
  <c r="H38" i="98"/>
  <c r="CF35" i="98"/>
  <c r="K38" i="98"/>
  <c r="CG35" i="98"/>
  <c r="N38" i="98"/>
  <c r="CH35" i="98"/>
  <c r="Q38" i="98"/>
  <c r="BB38" i="98" s="1"/>
  <c r="CI35" i="98"/>
  <c r="R38" i="98"/>
  <c r="CJ35" i="98"/>
  <c r="K69" i="99"/>
  <c r="G70" i="99"/>
  <c r="CH105" i="99"/>
  <c r="R45" i="100"/>
  <c r="G68" i="100"/>
  <c r="R67" i="100"/>
  <c r="BB67" i="100" s="1"/>
  <c r="F42" i="101"/>
  <c r="F98" i="103"/>
  <c r="G98" i="103"/>
  <c r="J98" i="103"/>
  <c r="K98" i="103"/>
  <c r="N98" i="103"/>
  <c r="O98" i="103"/>
  <c r="R98" i="103"/>
  <c r="G58" i="104"/>
  <c r="G62" i="104" s="1"/>
  <c r="F49" i="104"/>
  <c r="F58" i="104" s="1"/>
  <c r="F62" i="104" s="1"/>
  <c r="F22" i="107"/>
  <c r="CB21" i="107"/>
  <c r="CB4" i="107" s="1"/>
  <c r="F60" i="107"/>
  <c r="G59" i="107"/>
  <c r="I61" i="107"/>
  <c r="CM61" i="107" s="1"/>
  <c r="CM4" i="107" s="1"/>
  <c r="J59" i="107"/>
  <c r="J61" i="107"/>
  <c r="F173" i="107"/>
  <c r="G173" i="107" s="1"/>
  <c r="G167" i="107"/>
  <c r="I173" i="107"/>
  <c r="J173" i="107" s="1"/>
  <c r="J167" i="107"/>
  <c r="F57" i="108"/>
  <c r="BA57" i="108" s="1"/>
  <c r="E56" i="108"/>
  <c r="V56" i="108" s="1"/>
  <c r="R57" i="108"/>
  <c r="J141" i="109"/>
  <c r="I141" i="109" s="1"/>
  <c r="I124" i="109"/>
  <c r="J115" i="109"/>
  <c r="K125" i="109"/>
  <c r="M125" i="109"/>
  <c r="N125" i="109"/>
  <c r="O125" i="109"/>
  <c r="R125" i="109"/>
  <c r="S125" i="109"/>
  <c r="W125" i="109"/>
  <c r="X125" i="109"/>
  <c r="Y125" i="109"/>
  <c r="L142" i="109"/>
  <c r="L143" i="109" s="1"/>
  <c r="M142" i="109"/>
  <c r="M143" i="109" s="1"/>
  <c r="T142" i="109"/>
  <c r="T143" i="109" s="1"/>
  <c r="U142" i="109"/>
  <c r="Y142" i="109"/>
  <c r="Y143" i="109" s="1"/>
  <c r="K52" i="64"/>
  <c r="H55" i="64"/>
  <c r="K55" i="64"/>
  <c r="H67" i="64"/>
  <c r="K67" i="64"/>
  <c r="H68" i="64"/>
  <c r="H69" i="64"/>
  <c r="H71" i="64"/>
  <c r="G75" i="64"/>
  <c r="K89" i="64"/>
  <c r="E18" i="65"/>
  <c r="BC55" i="65"/>
  <c r="E61" i="65"/>
  <c r="K67" i="66"/>
  <c r="CA67" i="66"/>
  <c r="K68" i="66"/>
  <c r="CA68" i="66"/>
  <c r="K69" i="66"/>
  <c r="CA69" i="66"/>
  <c r="K70" i="66"/>
  <c r="CB70" i="66"/>
  <c r="CB9" i="66" s="1"/>
  <c r="CA74" i="66"/>
  <c r="CA75" i="66"/>
  <c r="CM87" i="66"/>
  <c r="CM9" i="66" s="1"/>
  <c r="E17" i="67"/>
  <c r="F17" i="67"/>
  <c r="H17" i="67"/>
  <c r="I17" i="67"/>
  <c r="J32" i="67"/>
  <c r="CB36" i="67"/>
  <c r="CB37" i="67"/>
  <c r="F45" i="67"/>
  <c r="J45" i="67"/>
  <c r="J46" i="67"/>
  <c r="J47" i="67"/>
  <c r="CA16" i="69"/>
  <c r="BC20" i="69"/>
  <c r="BC22" i="69"/>
  <c r="BC24" i="69"/>
  <c r="BC26" i="69"/>
  <c r="E27" i="69"/>
  <c r="E62" i="69" s="1"/>
  <c r="CB29" i="69"/>
  <c r="CA30" i="69"/>
  <c r="CB37" i="69"/>
  <c r="CB46" i="69"/>
  <c r="CA47" i="69"/>
  <c r="CB50" i="69"/>
  <c r="CA53" i="69"/>
  <c r="BC61" i="69"/>
  <c r="CB88" i="69"/>
  <c r="CA173" i="69"/>
  <c r="CA174" i="69"/>
  <c r="BC10" i="70"/>
  <c r="CB10" i="70" s="1"/>
  <c r="BC11" i="70"/>
  <c r="CB11" i="70" s="1"/>
  <c r="BC12" i="70"/>
  <c r="CI11" i="70" s="1"/>
  <c r="CB12" i="70"/>
  <c r="BC15" i="70"/>
  <c r="CB15" i="70" s="1"/>
  <c r="BC16" i="70"/>
  <c r="CB16" i="70"/>
  <c r="BC17" i="70"/>
  <c r="CB17" i="70" s="1"/>
  <c r="BC18" i="70"/>
  <c r="CB18" i="70" s="1"/>
  <c r="CE18" i="70"/>
  <c r="E19" i="70"/>
  <c r="CB26" i="70"/>
  <c r="BC29" i="70"/>
  <c r="BC31" i="70" s="1"/>
  <c r="CE29" i="70"/>
  <c r="E31" i="70"/>
  <c r="CB32" i="70"/>
  <c r="CE34" i="70"/>
  <c r="CB39" i="70"/>
  <c r="CE41" i="70"/>
  <c r="CB42" i="70"/>
  <c r="CE44" i="70"/>
  <c r="CB45" i="70"/>
  <c r="CE47" i="70"/>
  <c r="E48" i="70"/>
  <c r="BC10" i="71"/>
  <c r="CB10" i="71"/>
  <c r="BC11" i="71"/>
  <c r="CB11" i="71" s="1"/>
  <c r="BC12" i="71"/>
  <c r="CB12" i="71" s="1"/>
  <c r="BC13" i="71"/>
  <c r="CB13" i="71" s="1"/>
  <c r="E14" i="71"/>
  <c r="CB15" i="71"/>
  <c r="CB16" i="71"/>
  <c r="CB17" i="71"/>
  <c r="CB18" i="71"/>
  <c r="CB19" i="71"/>
  <c r="CB20" i="71"/>
  <c r="CB21" i="71"/>
  <c r="CB22" i="71"/>
  <c r="BC28" i="71"/>
  <c r="BC30" i="71" s="1"/>
  <c r="BC31" i="71"/>
  <c r="BC33" i="71" s="1"/>
  <c r="CB39" i="71"/>
  <c r="CB40" i="71"/>
  <c r="CB41" i="71"/>
  <c r="CF41" i="71"/>
  <c r="CB42" i="71"/>
  <c r="CB43" i="71"/>
  <c r="CB45" i="71"/>
  <c r="BC47" i="71"/>
  <c r="CF47" i="71"/>
  <c r="E57" i="71"/>
  <c r="CB63" i="71"/>
  <c r="CB174" i="71"/>
  <c r="BC17" i="72"/>
  <c r="BC18" i="72"/>
  <c r="CB18" i="72" s="1"/>
  <c r="BC19" i="72"/>
  <c r="CB19" i="72" s="1"/>
  <c r="E20" i="72"/>
  <c r="BC23" i="72"/>
  <c r="BC24" i="72"/>
  <c r="CB24" i="72" s="1"/>
  <c r="BC25" i="72"/>
  <c r="CB25" i="72" s="1"/>
  <c r="E26" i="72"/>
  <c r="BC29" i="72"/>
  <c r="BC30" i="72"/>
  <c r="CB30" i="72" s="1"/>
  <c r="BC31" i="72"/>
  <c r="CB31" i="72" s="1"/>
  <c r="E32" i="72"/>
  <c r="BC33" i="72"/>
  <c r="CB33" i="72" s="1"/>
  <c r="BC47" i="72"/>
  <c r="BC48" i="72"/>
  <c r="CB48" i="72" s="1"/>
  <c r="BC49" i="72"/>
  <c r="CB49" i="72" s="1"/>
  <c r="E50" i="72"/>
  <c r="CB11" i="73"/>
  <c r="CC11" i="73"/>
  <c r="BD12" i="73"/>
  <c r="BC12" i="73" s="1"/>
  <c r="BD13" i="73"/>
  <c r="BC13" i="73" s="1"/>
  <c r="CC14" i="73"/>
  <c r="CC17" i="73"/>
  <c r="F18" i="73"/>
  <c r="G23" i="73"/>
  <c r="E81" i="73"/>
  <c r="H17" i="74"/>
  <c r="I17" i="74"/>
  <c r="CB11" i="75"/>
  <c r="CB16" i="75"/>
  <c r="E23" i="75"/>
  <c r="CB30" i="75"/>
  <c r="CB33" i="75"/>
  <c r="CB36" i="75"/>
  <c r="CB39" i="75"/>
  <c r="E48" i="75"/>
  <c r="CB57" i="75"/>
  <c r="CB61" i="75"/>
  <c r="E66" i="75"/>
  <c r="E18" i="76"/>
  <c r="E36" i="76" s="1"/>
  <c r="F18" i="76"/>
  <c r="G18" i="76"/>
  <c r="G36" i="76" s="1"/>
  <c r="H18" i="76"/>
  <c r="I18" i="76"/>
  <c r="J18" i="76"/>
  <c r="K18" i="76"/>
  <c r="L18" i="76"/>
  <c r="M21" i="76"/>
  <c r="BC22" i="76"/>
  <c r="BC23" i="76"/>
  <c r="BC24" i="76"/>
  <c r="BC25" i="76"/>
  <c r="CS26" i="76"/>
  <c r="CS30" i="76" s="1"/>
  <c r="CN27" i="76"/>
  <c r="CN31" i="76" s="1"/>
  <c r="BC28" i="76"/>
  <c r="M32" i="76"/>
  <c r="M37" i="76"/>
  <c r="E44" i="76"/>
  <c r="E57" i="76" s="1"/>
  <c r="F44" i="76"/>
  <c r="G44" i="76"/>
  <c r="H44" i="76"/>
  <c r="I44" i="76"/>
  <c r="J44" i="76"/>
  <c r="K44" i="76"/>
  <c r="K57" i="76" s="1"/>
  <c r="L44" i="76"/>
  <c r="BC47" i="76"/>
  <c r="CC49" i="76"/>
  <c r="M51" i="76"/>
  <c r="G57" i="76"/>
  <c r="M67" i="76"/>
  <c r="E71" i="76"/>
  <c r="F71" i="76"/>
  <c r="G71" i="76"/>
  <c r="H71" i="76"/>
  <c r="I71" i="76"/>
  <c r="J71" i="76"/>
  <c r="K71" i="76"/>
  <c r="L71" i="76"/>
  <c r="M86" i="76"/>
  <c r="CD94" i="76" s="1"/>
  <c r="CD97" i="76" s="1"/>
  <c r="E16" i="78"/>
  <c r="E34" i="78" s="1"/>
  <c r="F16" i="78"/>
  <c r="F34" i="78" s="1"/>
  <c r="G16" i="78"/>
  <c r="H16" i="78"/>
  <c r="I16" i="78"/>
  <c r="I34" i="78" s="1"/>
  <c r="BC19" i="78"/>
  <c r="BC20" i="78"/>
  <c r="BC21" i="78"/>
  <c r="BC22" i="78"/>
  <c r="BC23" i="78"/>
  <c r="BC26" i="78"/>
  <c r="CE26" i="78"/>
  <c r="CC29" i="78"/>
  <c r="J30" i="78"/>
  <c r="E42" i="78"/>
  <c r="F42" i="78"/>
  <c r="G42" i="78"/>
  <c r="H42" i="78"/>
  <c r="I42" i="78"/>
  <c r="BC45" i="78"/>
  <c r="CC47" i="78"/>
  <c r="J49" i="78"/>
  <c r="E55" i="78"/>
  <c r="F55" i="78"/>
  <c r="G55" i="78"/>
  <c r="H55" i="78"/>
  <c r="I55" i="78"/>
  <c r="J60" i="78"/>
  <c r="J63" i="78" s="1"/>
  <c r="J78" i="78"/>
  <c r="CD48" i="80"/>
  <c r="CE48" i="80"/>
  <c r="CB49" i="80"/>
  <c r="CD49" i="80"/>
  <c r="CE49" i="80"/>
  <c r="CB50" i="80"/>
  <c r="CB51" i="80"/>
  <c r="CD51" i="80"/>
  <c r="CE51" i="80"/>
  <c r="CB52" i="80"/>
  <c r="F54" i="80"/>
  <c r="H54" i="80"/>
  <c r="CA101" i="80"/>
  <c r="CA102" i="80"/>
  <c r="K104" i="80"/>
  <c r="K107" i="80" s="1"/>
  <c r="L104" i="80"/>
  <c r="O229" i="80"/>
  <c r="BC233" i="80"/>
  <c r="E234" i="80"/>
  <c r="E246" i="80" s="1"/>
  <c r="F234" i="80"/>
  <c r="F246" i="80" s="1"/>
  <c r="G234" i="80"/>
  <c r="H234" i="80"/>
  <c r="I234" i="80"/>
  <c r="J234" i="80"/>
  <c r="J246" i="80" s="1"/>
  <c r="K234" i="80"/>
  <c r="L234" i="80"/>
  <c r="M234" i="80"/>
  <c r="BC235" i="80"/>
  <c r="BC236" i="80"/>
  <c r="BC237" i="80"/>
  <c r="BC238" i="80"/>
  <c r="BC239" i="80"/>
  <c r="BC240" i="80"/>
  <c r="O241" i="80"/>
  <c r="BC242" i="80"/>
  <c r="BC243" i="80"/>
  <c r="BC244" i="80"/>
  <c r="N246" i="80"/>
  <c r="BC247" i="80"/>
  <c r="B141" i="7"/>
  <c r="BC29" i="82"/>
  <c r="CB29" i="82"/>
  <c r="CG29" i="82"/>
  <c r="BC30" i="82"/>
  <c r="CB30" i="82"/>
  <c r="CE30" i="82"/>
  <c r="CG30" i="82"/>
  <c r="BC31" i="82"/>
  <c r="CB31" i="82"/>
  <c r="BC33" i="82"/>
  <c r="CB33" i="82"/>
  <c r="CG33" i="82"/>
  <c r="BC34" i="82"/>
  <c r="CB34" i="82"/>
  <c r="E42" i="82"/>
  <c r="BC44" i="82"/>
  <c r="CB44" i="82"/>
  <c r="CG44" i="82"/>
  <c r="BC45" i="82"/>
  <c r="CB45" i="82"/>
  <c r="BC46" i="82"/>
  <c r="CB46" i="82"/>
  <c r="BC48" i="82"/>
  <c r="CB48" i="82"/>
  <c r="BC49" i="82"/>
  <c r="CB49" i="82"/>
  <c r="E57" i="82"/>
  <c r="E96" i="82"/>
  <c r="E97" i="22" s="1"/>
  <c r="E192" i="82"/>
  <c r="E280" i="82"/>
  <c r="U280" i="82" s="1"/>
  <c r="E288" i="82"/>
  <c r="E290" i="82" s="1"/>
  <c r="E291" i="82"/>
  <c r="E293" i="82" s="1"/>
  <c r="BC12" i="84"/>
  <c r="CG12" i="84"/>
  <c r="BC13" i="84"/>
  <c r="CF13" i="84"/>
  <c r="BC17" i="84"/>
  <c r="CG17" i="84"/>
  <c r="BC18" i="84"/>
  <c r="BC26" i="84"/>
  <c r="CG26" i="84"/>
  <c r="BC27" i="84"/>
  <c r="BC28" i="84"/>
  <c r="BC30" i="84"/>
  <c r="BC31" i="84"/>
  <c r="E35" i="84"/>
  <c r="BC143" i="84"/>
  <c r="E167" i="84"/>
  <c r="E172" i="84"/>
  <c r="E170" i="23" s="1"/>
  <c r="E219" i="84"/>
  <c r="E222" i="84"/>
  <c r="E235" i="84"/>
  <c r="E238" i="84"/>
  <c r="E252" i="84"/>
  <c r="E255" i="84"/>
  <c r="E259" i="84"/>
  <c r="E262" i="84"/>
  <c r="E270" i="84"/>
  <c r="AC270" i="84" s="1"/>
  <c r="G15" i="86"/>
  <c r="G119" i="86" s="1"/>
  <c r="J15" i="86"/>
  <c r="CC15" i="86"/>
  <c r="J17" i="86"/>
  <c r="J121" i="86" s="1"/>
  <c r="H18" i="86"/>
  <c r="I18" i="86"/>
  <c r="J24" i="86"/>
  <c r="J27" i="86" s="1"/>
  <c r="CC24" i="86"/>
  <c r="H27" i="86"/>
  <c r="J33" i="86"/>
  <c r="J36" i="86" s="1"/>
  <c r="CC33" i="86"/>
  <c r="H36" i="86"/>
  <c r="G56" i="86"/>
  <c r="G58" i="86" s="1"/>
  <c r="J56" i="86"/>
  <c r="J58" i="86" s="1"/>
  <c r="J61" i="86" s="1"/>
  <c r="J139" i="86" s="1"/>
  <c r="E58" i="86"/>
  <c r="H58" i="86"/>
  <c r="E69" i="86"/>
  <c r="H69" i="86"/>
  <c r="E80" i="86"/>
  <c r="H80" i="86"/>
  <c r="E119" i="86"/>
  <c r="H119" i="86"/>
  <c r="H121" i="86"/>
  <c r="CD21" i="87"/>
  <c r="CA55" i="87"/>
  <c r="E111" i="87"/>
  <c r="E112" i="87"/>
  <c r="CB14" i="89"/>
  <c r="CB15" i="89"/>
  <c r="CB16" i="89"/>
  <c r="E17" i="89"/>
  <c r="E34" i="89"/>
  <c r="E106" i="89"/>
  <c r="CB148" i="89"/>
  <c r="E157" i="89"/>
  <c r="H16" i="90"/>
  <c r="G37" i="90"/>
  <c r="G45" i="28" s="1"/>
  <c r="G62" i="90"/>
  <c r="G62" i="28" s="1"/>
  <c r="F28" i="91"/>
  <c r="E66" i="91"/>
  <c r="E68" i="91" s="1"/>
  <c r="F66" i="91"/>
  <c r="F68" i="91" s="1"/>
  <c r="BC66" i="91"/>
  <c r="BC68" i="91" s="1"/>
  <c r="I14" i="92"/>
  <c r="L14" i="92"/>
  <c r="G18" i="92"/>
  <c r="I21" i="92"/>
  <c r="L21" i="92"/>
  <c r="I28" i="92"/>
  <c r="L28" i="92"/>
  <c r="I35" i="92"/>
  <c r="L35" i="92"/>
  <c r="F38" i="92"/>
  <c r="H38" i="92"/>
  <c r="I44" i="92"/>
  <c r="L44" i="92"/>
  <c r="L49" i="92"/>
  <c r="M20" i="93"/>
  <c r="CB20" i="93"/>
  <c r="M42" i="93"/>
  <c r="M45" i="93"/>
  <c r="M47" i="93"/>
  <c r="M48" i="93"/>
  <c r="M50" i="93"/>
  <c r="M51" i="93"/>
  <c r="M55" i="93"/>
  <c r="CB55" i="93"/>
  <c r="M56" i="93"/>
  <c r="M57" i="93"/>
  <c r="M63" i="93"/>
  <c r="M64" i="93"/>
  <c r="M65" i="93"/>
  <c r="M66" i="93"/>
  <c r="M67" i="93"/>
  <c r="M68" i="93"/>
  <c r="G69" i="93"/>
  <c r="G72" i="93" s="1"/>
  <c r="J69" i="93"/>
  <c r="J72" i="93" s="1"/>
  <c r="K69" i="93"/>
  <c r="L69" i="93"/>
  <c r="L72" i="93" s="1"/>
  <c r="L73" i="93" s="1"/>
  <c r="H91" i="93"/>
  <c r="M112" i="93"/>
  <c r="L13" i="94"/>
  <c r="CB13" i="94"/>
  <c r="CD13" i="94"/>
  <c r="CE13" i="94"/>
  <c r="CF13" i="94"/>
  <c r="CH13" i="94"/>
  <c r="CH11" i="94" s="1"/>
  <c r="L14" i="94"/>
  <c r="CB14" i="94"/>
  <c r="CD14" i="94"/>
  <c r="CE14" i="94"/>
  <c r="CF14" i="94"/>
  <c r="L15" i="94"/>
  <c r="CB15" i="94"/>
  <c r="CD15" i="94"/>
  <c r="CE15" i="94"/>
  <c r="CF15" i="94"/>
  <c r="L16" i="94"/>
  <c r="CB16" i="94"/>
  <c r="CD16" i="94"/>
  <c r="CE16" i="94"/>
  <c r="CF16" i="94"/>
  <c r="L17" i="94"/>
  <c r="CB17" i="94"/>
  <c r="CD17" i="94"/>
  <c r="CE17" i="94"/>
  <c r="CF17" i="94"/>
  <c r="L18" i="94"/>
  <c r="CB18" i="94"/>
  <c r="CD18" i="94"/>
  <c r="CE18" i="94"/>
  <c r="CF18" i="94"/>
  <c r="L19" i="94"/>
  <c r="CB19" i="94"/>
  <c r="CD19" i="94"/>
  <c r="CE19" i="94"/>
  <c r="CF19" i="94"/>
  <c r="L20" i="94"/>
  <c r="CB20" i="94"/>
  <c r="CD20" i="94"/>
  <c r="CE20" i="94"/>
  <c r="CF20" i="94"/>
  <c r="L21" i="94"/>
  <c r="CB21" i="94"/>
  <c r="CD21" i="94"/>
  <c r="CE21" i="94"/>
  <c r="CF21" i="94"/>
  <c r="L22" i="94"/>
  <c r="CB22" i="94"/>
  <c r="CD22" i="94"/>
  <c r="CE22" i="94"/>
  <c r="CF22" i="94"/>
  <c r="L23" i="94"/>
  <c r="CB23" i="94"/>
  <c r="CD23" i="94"/>
  <c r="CE23" i="94"/>
  <c r="CF23" i="94"/>
  <c r="L24" i="94"/>
  <c r="CB24" i="94"/>
  <c r="CD24" i="94"/>
  <c r="CE24" i="94"/>
  <c r="CF24" i="94"/>
  <c r="L25" i="94"/>
  <c r="CB25" i="94"/>
  <c r="CD25" i="94"/>
  <c r="CE25" i="94"/>
  <c r="CF25" i="94"/>
  <c r="L26" i="94"/>
  <c r="CB26" i="94"/>
  <c r="CD26" i="94"/>
  <c r="CE26" i="94"/>
  <c r="CF26" i="94"/>
  <c r="L27" i="94"/>
  <c r="CB27" i="94"/>
  <c r="CD27" i="94"/>
  <c r="CE27" i="94"/>
  <c r="CF27" i="94"/>
  <c r="L28" i="94"/>
  <c r="CB28" i="94"/>
  <c r="CD28" i="94"/>
  <c r="CE28" i="94"/>
  <c r="CF28" i="94"/>
  <c r="L29" i="94"/>
  <c r="CB29" i="94"/>
  <c r="CD29" i="94"/>
  <c r="CE29" i="94"/>
  <c r="CF29" i="94"/>
  <c r="L30" i="94"/>
  <c r="CB30" i="94"/>
  <c r="CD30" i="94"/>
  <c r="CE30" i="94"/>
  <c r="CF30" i="94"/>
  <c r="L31" i="94"/>
  <c r="CB31" i="94"/>
  <c r="CD31" i="94"/>
  <c r="CE31" i="94"/>
  <c r="CF31" i="94"/>
  <c r="L32" i="94"/>
  <c r="CB32" i="94"/>
  <c r="CD32" i="94"/>
  <c r="CE32" i="94"/>
  <c r="CF32" i="94"/>
  <c r="L33" i="94"/>
  <c r="CB33" i="94"/>
  <c r="CD33" i="94"/>
  <c r="CE33" i="94"/>
  <c r="CF33" i="94"/>
  <c r="L34" i="94"/>
  <c r="CB34" i="94"/>
  <c r="CD34" i="94"/>
  <c r="CE34" i="94"/>
  <c r="CF34" i="94"/>
  <c r="L35" i="94"/>
  <c r="CB35" i="94"/>
  <c r="CD35" i="94"/>
  <c r="CE35" i="94"/>
  <c r="CF35" i="94"/>
  <c r="L36" i="94"/>
  <c r="CB36" i="94"/>
  <c r="CD36" i="94"/>
  <c r="CE36" i="94"/>
  <c r="CF36" i="94"/>
  <c r="L37" i="94"/>
  <c r="CB37" i="94"/>
  <c r="CD37" i="94"/>
  <c r="CE37" i="94"/>
  <c r="CF37" i="94"/>
  <c r="L38" i="94"/>
  <c r="CB38" i="94"/>
  <c r="CD38" i="94"/>
  <c r="CE38" i="94"/>
  <c r="CF38" i="94"/>
  <c r="L39" i="94"/>
  <c r="CB39" i="94"/>
  <c r="CD39" i="94"/>
  <c r="CE39" i="94"/>
  <c r="CF39" i="94"/>
  <c r="L40" i="94"/>
  <c r="CB40" i="94"/>
  <c r="CD40" i="94"/>
  <c r="CE40" i="94"/>
  <c r="CF40" i="94"/>
  <c r="L41" i="94"/>
  <c r="CB41" i="94"/>
  <c r="CD41" i="94"/>
  <c r="CE41" i="94"/>
  <c r="CF41" i="94"/>
  <c r="L42" i="94"/>
  <c r="CB42" i="94"/>
  <c r="CD42" i="94"/>
  <c r="CE42" i="94"/>
  <c r="CF42" i="94"/>
  <c r="L43" i="94"/>
  <c r="CB43" i="94"/>
  <c r="CD43" i="94"/>
  <c r="CE43" i="94"/>
  <c r="CF43" i="94"/>
  <c r="L44" i="94"/>
  <c r="CB44" i="94"/>
  <c r="CD44" i="94"/>
  <c r="CE44" i="94"/>
  <c r="CF44" i="94"/>
  <c r="L45" i="94"/>
  <c r="CB45" i="94"/>
  <c r="CD45" i="94"/>
  <c r="CE45" i="94"/>
  <c r="CF45" i="94"/>
  <c r="L46" i="94"/>
  <c r="CB46" i="94"/>
  <c r="CD46" i="94"/>
  <c r="CE46" i="94"/>
  <c r="CF46" i="94"/>
  <c r="L47" i="94"/>
  <c r="CB47" i="94"/>
  <c r="CD47" i="94"/>
  <c r="CE47" i="94"/>
  <c r="CF47" i="94"/>
  <c r="L48" i="94"/>
  <c r="CB48" i="94"/>
  <c r="CD48" i="94"/>
  <c r="CE48" i="94"/>
  <c r="CF48" i="94"/>
  <c r="L49" i="94"/>
  <c r="CB49" i="94"/>
  <c r="CD49" i="94"/>
  <c r="CE49" i="94"/>
  <c r="CF49" i="94"/>
  <c r="L50" i="94"/>
  <c r="CB50" i="94"/>
  <c r="CD50" i="94"/>
  <c r="CE50" i="94"/>
  <c r="CF50" i="94"/>
  <c r="L51" i="94"/>
  <c r="CB51" i="94"/>
  <c r="CD51" i="94"/>
  <c r="CE51" i="94"/>
  <c r="CF51" i="94"/>
  <c r="L52" i="94"/>
  <c r="CB52" i="94"/>
  <c r="CD52" i="94"/>
  <c r="CE52" i="94"/>
  <c r="CF52" i="94"/>
  <c r="L53" i="94"/>
  <c r="CB53" i="94"/>
  <c r="CD53" i="94"/>
  <c r="CE53" i="94"/>
  <c r="CF53" i="94"/>
  <c r="L54" i="94"/>
  <c r="CB54" i="94"/>
  <c r="CD54" i="94"/>
  <c r="CE54" i="94"/>
  <c r="CF54" i="94"/>
  <c r="L55" i="94"/>
  <c r="CB55" i="94"/>
  <c r="CD55" i="94"/>
  <c r="CE55" i="94"/>
  <c r="CF55" i="94"/>
  <c r="L56" i="94"/>
  <c r="CB56" i="94"/>
  <c r="CD56" i="94"/>
  <c r="CE56" i="94"/>
  <c r="CF56" i="94"/>
  <c r="L57" i="94"/>
  <c r="CB57" i="94"/>
  <c r="CD57" i="94"/>
  <c r="CE57" i="94"/>
  <c r="CF57" i="94"/>
  <c r="L58" i="94"/>
  <c r="CB58" i="94"/>
  <c r="CD58" i="94"/>
  <c r="CE58" i="94"/>
  <c r="CF58" i="94"/>
  <c r="L59" i="94"/>
  <c r="CB59" i="94"/>
  <c r="CD59" i="94"/>
  <c r="CE59" i="94"/>
  <c r="CF59" i="94"/>
  <c r="L60" i="94"/>
  <c r="CB60" i="94"/>
  <c r="CD60" i="94"/>
  <c r="CE60" i="94"/>
  <c r="CF60" i="94"/>
  <c r="L61" i="94"/>
  <c r="CB61" i="94"/>
  <c r="CD61" i="94"/>
  <c r="CE61" i="94"/>
  <c r="CF61" i="94"/>
  <c r="L62" i="94"/>
  <c r="CB62" i="94"/>
  <c r="CD62" i="94"/>
  <c r="CE62" i="94"/>
  <c r="CF62" i="94"/>
  <c r="L63" i="94"/>
  <c r="CB63" i="94"/>
  <c r="CD63" i="94"/>
  <c r="CE63" i="94"/>
  <c r="CF63" i="94"/>
  <c r="L64" i="94"/>
  <c r="CB64" i="94"/>
  <c r="CD64" i="94"/>
  <c r="CE64" i="94"/>
  <c r="CF64" i="94"/>
  <c r="L65" i="94"/>
  <c r="CB65" i="94"/>
  <c r="CD65" i="94"/>
  <c r="CE65" i="94"/>
  <c r="CF65" i="94"/>
  <c r="L66" i="94"/>
  <c r="CB66" i="94"/>
  <c r="CD66" i="94"/>
  <c r="CE66" i="94"/>
  <c r="CF66" i="94"/>
  <c r="L67" i="94"/>
  <c r="CB67" i="94"/>
  <c r="CD67" i="94"/>
  <c r="CE67" i="94"/>
  <c r="CF67" i="94"/>
  <c r="L68" i="94"/>
  <c r="CB68" i="94"/>
  <c r="CD68" i="94"/>
  <c r="CE68" i="94"/>
  <c r="CF68" i="94"/>
  <c r="L69" i="94"/>
  <c r="CB69" i="94"/>
  <c r="CD69" i="94"/>
  <c r="CE69" i="94"/>
  <c r="CF69" i="94"/>
  <c r="L70" i="94"/>
  <c r="CB70" i="94"/>
  <c r="CD70" i="94"/>
  <c r="CE70" i="94"/>
  <c r="CF70" i="94"/>
  <c r="L71" i="94"/>
  <c r="CB71" i="94"/>
  <c r="CD71" i="94"/>
  <c r="CE71" i="94"/>
  <c r="CF71" i="94"/>
  <c r="L72" i="94"/>
  <c r="CB72" i="94"/>
  <c r="CD72" i="94"/>
  <c r="CE72" i="94"/>
  <c r="CF72" i="94"/>
  <c r="L73" i="94"/>
  <c r="CB73" i="94"/>
  <c r="CD73" i="94"/>
  <c r="CE73" i="94"/>
  <c r="CF73" i="94"/>
  <c r="L74" i="94"/>
  <c r="CB74" i="94"/>
  <c r="CD74" i="94"/>
  <c r="CE74" i="94"/>
  <c r="CF74" i="94"/>
  <c r="L75" i="94"/>
  <c r="CB75" i="94"/>
  <c r="CD75" i="94"/>
  <c r="CE75" i="94"/>
  <c r="CF75" i="94"/>
  <c r="L76" i="94"/>
  <c r="CB76" i="94"/>
  <c r="CD76" i="94"/>
  <c r="CE76" i="94"/>
  <c r="CF76" i="94"/>
  <c r="L77" i="94"/>
  <c r="CB77" i="94"/>
  <c r="CD77" i="94"/>
  <c r="CE77" i="94"/>
  <c r="CF77" i="94"/>
  <c r="L78" i="94"/>
  <c r="CB78" i="94"/>
  <c r="CD78" i="94"/>
  <c r="CE78" i="94"/>
  <c r="CF78" i="94"/>
  <c r="L79" i="94"/>
  <c r="CB79" i="94"/>
  <c r="CD79" i="94"/>
  <c r="CE79" i="94"/>
  <c r="CF79" i="94"/>
  <c r="L80" i="94"/>
  <c r="CB80" i="94"/>
  <c r="CD80" i="94"/>
  <c r="CE80" i="94"/>
  <c r="CF80" i="94"/>
  <c r="L82" i="94"/>
  <c r="CB82" i="94"/>
  <c r="CD82" i="94"/>
  <c r="CE82" i="94"/>
  <c r="CF82" i="94"/>
  <c r="L83" i="94"/>
  <c r="CB83" i="94"/>
  <c r="CD83" i="94"/>
  <c r="CE83" i="94"/>
  <c r="CF83" i="94"/>
  <c r="L84" i="94"/>
  <c r="CB84" i="94"/>
  <c r="CD84" i="94"/>
  <c r="CE84" i="94"/>
  <c r="CF84" i="94"/>
  <c r="L85" i="94"/>
  <c r="CB85" i="94"/>
  <c r="CD85" i="94"/>
  <c r="CE85" i="94"/>
  <c r="CF85" i="94"/>
  <c r="L86" i="94"/>
  <c r="CB86" i="94"/>
  <c r="CD86" i="94"/>
  <c r="CE86" i="94"/>
  <c r="CF86" i="94"/>
  <c r="L87" i="94"/>
  <c r="CB87" i="94"/>
  <c r="CD87" i="94"/>
  <c r="CE87" i="94"/>
  <c r="CF87" i="94"/>
  <c r="L88" i="94"/>
  <c r="CB88" i="94"/>
  <c r="CD88" i="94"/>
  <c r="CE88" i="94"/>
  <c r="CF88" i="94"/>
  <c r="L89" i="94"/>
  <c r="CB89" i="94"/>
  <c r="CD89" i="94"/>
  <c r="CE89" i="94"/>
  <c r="CF89" i="94"/>
  <c r="L90" i="94"/>
  <c r="CB90" i="94"/>
  <c r="CD90" i="94"/>
  <c r="CE90" i="94"/>
  <c r="CF90" i="94"/>
  <c r="L91" i="94"/>
  <c r="CB91" i="94"/>
  <c r="CD91" i="94"/>
  <c r="CE91" i="94"/>
  <c r="CF91" i="94"/>
  <c r="L92" i="94"/>
  <c r="CB92" i="94"/>
  <c r="CD92" i="94"/>
  <c r="CE92" i="94"/>
  <c r="CF92" i="94"/>
  <c r="L93" i="94"/>
  <c r="CB93" i="94"/>
  <c r="CD93" i="94"/>
  <c r="CE93" i="94"/>
  <c r="CF93" i="94"/>
  <c r="L94" i="94"/>
  <c r="CB94" i="94"/>
  <c r="CD94" i="94"/>
  <c r="CE94" i="94"/>
  <c r="CF94" i="94"/>
  <c r="L95" i="94"/>
  <c r="CB95" i="94"/>
  <c r="CD95" i="94"/>
  <c r="CE95" i="94"/>
  <c r="CF95" i="94"/>
  <c r="L96" i="94"/>
  <c r="CB96" i="94"/>
  <c r="CD96" i="94"/>
  <c r="CE96" i="94"/>
  <c r="CF96" i="94"/>
  <c r="L97" i="94"/>
  <c r="CB97" i="94"/>
  <c r="CD97" i="94"/>
  <c r="CE97" i="94"/>
  <c r="CF97" i="94"/>
  <c r="L98" i="94"/>
  <c r="CB98" i="94"/>
  <c r="CD98" i="94"/>
  <c r="CE98" i="94"/>
  <c r="CF98" i="94"/>
  <c r="L99" i="94"/>
  <c r="CB99" i="94"/>
  <c r="CD99" i="94"/>
  <c r="CE99" i="94"/>
  <c r="CF99" i="94"/>
  <c r="L100" i="94"/>
  <c r="CB100" i="94"/>
  <c r="CD100" i="94"/>
  <c r="CE100" i="94"/>
  <c r="CF100" i="94"/>
  <c r="L101" i="94"/>
  <c r="CB101" i="94"/>
  <c r="CD101" i="94"/>
  <c r="CE101" i="94"/>
  <c r="CF101" i="94"/>
  <c r="L102" i="94"/>
  <c r="CB102" i="94"/>
  <c r="CD102" i="94"/>
  <c r="CE102" i="94"/>
  <c r="CF102" i="94"/>
  <c r="L103" i="94"/>
  <c r="CB103" i="94"/>
  <c r="CD103" i="94"/>
  <c r="CE103" i="94"/>
  <c r="CF103" i="94"/>
  <c r="L104" i="94"/>
  <c r="CB104" i="94"/>
  <c r="CD104" i="94"/>
  <c r="CE104" i="94"/>
  <c r="CF104" i="94"/>
  <c r="L105" i="94"/>
  <c r="CB105" i="94"/>
  <c r="CD105" i="94"/>
  <c r="CE105" i="94"/>
  <c r="CF105" i="94"/>
  <c r="L106" i="94"/>
  <c r="CB106" i="94"/>
  <c r="CD106" i="94"/>
  <c r="CE106" i="94"/>
  <c r="CF106" i="94"/>
  <c r="L107" i="94"/>
  <c r="CB107" i="94"/>
  <c r="CD107" i="94"/>
  <c r="CE107" i="94"/>
  <c r="CF107" i="94"/>
  <c r="L108" i="94"/>
  <c r="CB108" i="94"/>
  <c r="CD108" i="94"/>
  <c r="CE108" i="94"/>
  <c r="CF108" i="94"/>
  <c r="BA10" i="96"/>
  <c r="BB10" i="96"/>
  <c r="BA11" i="96"/>
  <c r="BB11" i="96"/>
  <c r="BA12" i="96"/>
  <c r="BB12" i="96"/>
  <c r="BA13" i="96"/>
  <c r="BB13" i="96"/>
  <c r="BA14" i="96"/>
  <c r="BB14" i="96"/>
  <c r="BA15" i="96"/>
  <c r="BB15" i="96"/>
  <c r="BA16" i="96"/>
  <c r="BB16" i="96"/>
  <c r="BA17" i="96"/>
  <c r="BB17" i="96"/>
  <c r="BA19" i="96"/>
  <c r="BB19" i="96"/>
  <c r="BA20" i="96"/>
  <c r="BB20" i="96"/>
  <c r="BA21" i="96"/>
  <c r="BB21" i="96"/>
  <c r="BB22" i="96"/>
  <c r="BB46" i="96"/>
  <c r="BA48" i="96"/>
  <c r="BB48" i="96"/>
  <c r="BA49" i="96"/>
  <c r="BB49" i="96"/>
  <c r="F50" i="96"/>
  <c r="BA50" i="96"/>
  <c r="BB50" i="96"/>
  <c r="BA51" i="96"/>
  <c r="BB51" i="96"/>
  <c r="BA52" i="96"/>
  <c r="BB52" i="96"/>
  <c r="BA53" i="96"/>
  <c r="BB53" i="96"/>
  <c r="CF53" i="96"/>
  <c r="BA63" i="96"/>
  <c r="BB63" i="96"/>
  <c r="BA64" i="96"/>
  <c r="BB64" i="96"/>
  <c r="BA65" i="96"/>
  <c r="BB65" i="96"/>
  <c r="BA66" i="96"/>
  <c r="BB66" i="96"/>
  <c r="BA67" i="96"/>
  <c r="BB67" i="96"/>
  <c r="BA69" i="96"/>
  <c r="BB69" i="96"/>
  <c r="BA70" i="96"/>
  <c r="BB70" i="96"/>
  <c r="BA71" i="96"/>
  <c r="BB71" i="96"/>
  <c r="BA72" i="96"/>
  <c r="BB72" i="96"/>
  <c r="BA73" i="96"/>
  <c r="BB73" i="96"/>
  <c r="BA75" i="96"/>
  <c r="BB75" i="96"/>
  <c r="BA84" i="96"/>
  <c r="BB84" i="96"/>
  <c r="CC84" i="96"/>
  <c r="CD84" i="96"/>
  <c r="BA85" i="96"/>
  <c r="BB85" i="96"/>
  <c r="BA86" i="96"/>
  <c r="K14" i="97"/>
  <c r="K19" i="97" s="1"/>
  <c r="K22" i="97" s="1"/>
  <c r="K24" i="97" s="1"/>
  <c r="K50" i="97"/>
  <c r="H65" i="97"/>
  <c r="K65" i="97"/>
  <c r="H66" i="97"/>
  <c r="H67" i="97"/>
  <c r="H69" i="97"/>
  <c r="BA11" i="98"/>
  <c r="BB11" i="98"/>
  <c r="BA12" i="98"/>
  <c r="BB12" i="98"/>
  <c r="BA13" i="98"/>
  <c r="BB13" i="98"/>
  <c r="BA14" i="98"/>
  <c r="BB14" i="98"/>
  <c r="BA15" i="98"/>
  <c r="BB15" i="98"/>
  <c r="BA16" i="98"/>
  <c r="BB16" i="98"/>
  <c r="BA18" i="98"/>
  <c r="BB18" i="98"/>
  <c r="BA19" i="98"/>
  <c r="BB19" i="98"/>
  <c r="BA20" i="98"/>
  <c r="BB20" i="98"/>
  <c r="BA21" i="98"/>
  <c r="BB21" i="98"/>
  <c r="BA22" i="98"/>
  <c r="BB22" i="98"/>
  <c r="BA23" i="98"/>
  <c r="BB23" i="98"/>
  <c r="BA24" i="98"/>
  <c r="BB24" i="98"/>
  <c r="BA25" i="98"/>
  <c r="BB25" i="98"/>
  <c r="BB26" i="98"/>
  <c r="BA28" i="98"/>
  <c r="BB28" i="98"/>
  <c r="BA29" i="98"/>
  <c r="BB29" i="98"/>
  <c r="BA30" i="98"/>
  <c r="BB30" i="98"/>
  <c r="BA31" i="98"/>
  <c r="BB31" i="98"/>
  <c r="BA32" i="98"/>
  <c r="BB32" i="98"/>
  <c r="BA33" i="98"/>
  <c r="BB33" i="98"/>
  <c r="BA34" i="98"/>
  <c r="BB34" i="98"/>
  <c r="BA35" i="98"/>
  <c r="BB35" i="98"/>
  <c r="BA36" i="98"/>
  <c r="BB36" i="98"/>
  <c r="BA37" i="98"/>
  <c r="BB37" i="98"/>
  <c r="BB39" i="98"/>
  <c r="BA41" i="98"/>
  <c r="BB41" i="98"/>
  <c r="BA42" i="98"/>
  <c r="BB42" i="98"/>
  <c r="BA43" i="98"/>
  <c r="BB43" i="98"/>
  <c r="BA44" i="98"/>
  <c r="BB44" i="98"/>
  <c r="BA45" i="98"/>
  <c r="BB45" i="98"/>
  <c r="BA46" i="98"/>
  <c r="BB46" i="98"/>
  <c r="BA47" i="98"/>
  <c r="BB47" i="98"/>
  <c r="BA48" i="98"/>
  <c r="BB48" i="98"/>
  <c r="BA49" i="98"/>
  <c r="BB49" i="98"/>
  <c r="BA50" i="98"/>
  <c r="BB50" i="98"/>
  <c r="BA53" i="98"/>
  <c r="BB53" i="98"/>
  <c r="BA54" i="98"/>
  <c r="BB54" i="98"/>
  <c r="BA55" i="98"/>
  <c r="BB55" i="98"/>
  <c r="BA56" i="98"/>
  <c r="BB56" i="98"/>
  <c r="BA57" i="98"/>
  <c r="BB57" i="98"/>
  <c r="BA59" i="98"/>
  <c r="BB59" i="98"/>
  <c r="BA64" i="98"/>
  <c r="BB64" i="98"/>
  <c r="BA65" i="98"/>
  <c r="BB65" i="98"/>
  <c r="BA66" i="98"/>
  <c r="BB66" i="98"/>
  <c r="BA67" i="98"/>
  <c r="BB67" i="98"/>
  <c r="BA68" i="98"/>
  <c r="BB68" i="98"/>
  <c r="BA69" i="98"/>
  <c r="BA11" i="100"/>
  <c r="BB11" i="100"/>
  <c r="BA12" i="100"/>
  <c r="BB12" i="100"/>
  <c r="CB12" i="100"/>
  <c r="BA13" i="100"/>
  <c r="BB13" i="100"/>
  <c r="BA14" i="100"/>
  <c r="BB14" i="100"/>
  <c r="BA15" i="100"/>
  <c r="BB15" i="100"/>
  <c r="CA15" i="100"/>
  <c r="BA16" i="100"/>
  <c r="BB16" i="100"/>
  <c r="CA16" i="100"/>
  <c r="BA18" i="100"/>
  <c r="BB18" i="100"/>
  <c r="CA18" i="100"/>
  <c r="BA19" i="100"/>
  <c r="BB19" i="100"/>
  <c r="BA20" i="100"/>
  <c r="BB20" i="100"/>
  <c r="BA21" i="100"/>
  <c r="BB21" i="100"/>
  <c r="BA22" i="100"/>
  <c r="BB22" i="100"/>
  <c r="BA23" i="100"/>
  <c r="BB23" i="100"/>
  <c r="BA24" i="100"/>
  <c r="BB24" i="100"/>
  <c r="BA25" i="100"/>
  <c r="BB25" i="100"/>
  <c r="BA26" i="100"/>
  <c r="BB26" i="100"/>
  <c r="CA26" i="100"/>
  <c r="BA27" i="100"/>
  <c r="BB27" i="100"/>
  <c r="F28" i="100"/>
  <c r="BA28" i="100"/>
  <c r="BB28" i="100"/>
  <c r="BA30" i="100"/>
  <c r="BB30" i="100"/>
  <c r="CB30" i="100"/>
  <c r="BA31" i="100"/>
  <c r="BB31" i="100"/>
  <c r="CA31" i="100"/>
  <c r="BA32" i="100"/>
  <c r="BB32" i="100"/>
  <c r="CA32" i="100"/>
  <c r="BA33" i="100"/>
  <c r="BB33" i="100"/>
  <c r="CA33" i="100"/>
  <c r="BA34" i="100"/>
  <c r="BB34" i="100"/>
  <c r="CA34" i="100"/>
  <c r="BA35" i="100"/>
  <c r="BB35" i="100"/>
  <c r="CA35" i="100"/>
  <c r="BA36" i="100"/>
  <c r="BB36" i="100"/>
  <c r="CB36" i="100"/>
  <c r="BA37" i="100"/>
  <c r="BB37" i="100"/>
  <c r="CB37" i="100"/>
  <c r="BA38" i="100"/>
  <c r="BB38" i="100"/>
  <c r="CB38" i="100"/>
  <c r="BA39" i="100"/>
  <c r="BB39" i="100"/>
  <c r="CB39" i="100"/>
  <c r="BA40" i="100"/>
  <c r="BB40" i="100"/>
  <c r="CB40" i="100"/>
  <c r="BA43" i="100"/>
  <c r="BB43" i="100"/>
  <c r="CB43" i="100"/>
  <c r="F44" i="100"/>
  <c r="BA44" i="100"/>
  <c r="BB44" i="100"/>
  <c r="BB45" i="100"/>
  <c r="BA47" i="100"/>
  <c r="BB47" i="100"/>
  <c r="CB47" i="100"/>
  <c r="BA48" i="100"/>
  <c r="BB48" i="100"/>
  <c r="CB48" i="100"/>
  <c r="BA49" i="100"/>
  <c r="BB49" i="100"/>
  <c r="CA49" i="100"/>
  <c r="BA50" i="100"/>
  <c r="BB50" i="100"/>
  <c r="CA50" i="100"/>
  <c r="BA51" i="100"/>
  <c r="BB51" i="100"/>
  <c r="CB51" i="100"/>
  <c r="BA52" i="100"/>
  <c r="BB52" i="100"/>
  <c r="CB52" i="100"/>
  <c r="BA53" i="100"/>
  <c r="BB53" i="100"/>
  <c r="CB53" i="100"/>
  <c r="BA54" i="100"/>
  <c r="BB54" i="100"/>
  <c r="CB54" i="100"/>
  <c r="BA55" i="100"/>
  <c r="BB55" i="100"/>
  <c r="CB55" i="100"/>
  <c r="BA56" i="100"/>
  <c r="BB56" i="100"/>
  <c r="CA56" i="100"/>
  <c r="BA57" i="100"/>
  <c r="BB57" i="100"/>
  <c r="CA57" i="100"/>
  <c r="BA58" i="100"/>
  <c r="BB58" i="100"/>
  <c r="CA58" i="100"/>
  <c r="BA59" i="100"/>
  <c r="BB59" i="100"/>
  <c r="CA59" i="100"/>
  <c r="BA60" i="100"/>
  <c r="BB60" i="100"/>
  <c r="CA60" i="100"/>
  <c r="BA62" i="100"/>
  <c r="BB62" i="100"/>
  <c r="BA64" i="100"/>
  <c r="BB64" i="100"/>
  <c r="CB64" i="100"/>
  <c r="F66" i="100"/>
  <c r="BA66" i="100"/>
  <c r="BB66" i="100"/>
  <c r="BA71" i="100"/>
  <c r="BB71" i="100"/>
  <c r="BA77" i="100"/>
  <c r="BB77" i="100"/>
  <c r="CB77" i="100"/>
  <c r="BA78" i="100"/>
  <c r="BB78" i="100"/>
  <c r="CB78" i="100"/>
  <c r="BA79" i="100"/>
  <c r="BB79" i="100"/>
  <c r="F80" i="100"/>
  <c r="CC80" i="100" s="1"/>
  <c r="BA80" i="100"/>
  <c r="BB80" i="100"/>
  <c r="BA82" i="100"/>
  <c r="BB82" i="100"/>
  <c r="CA82" i="100"/>
  <c r="BA83" i="100"/>
  <c r="BB83" i="100"/>
  <c r="CA83" i="100"/>
  <c r="BA84" i="100"/>
  <c r="BB84" i="100"/>
  <c r="F85" i="100"/>
  <c r="CC85" i="100" s="1"/>
  <c r="BA85" i="100"/>
  <c r="BB85" i="100"/>
  <c r="BA87" i="100"/>
  <c r="BB87" i="100"/>
  <c r="F91" i="100"/>
  <c r="F92" i="100" s="1"/>
  <c r="BA91" i="100"/>
  <c r="BB91" i="100"/>
  <c r="BA94" i="100"/>
  <c r="BB94" i="100"/>
  <c r="F97" i="100"/>
  <c r="F98" i="100" s="1"/>
  <c r="BA97" i="100"/>
  <c r="BB97" i="100"/>
  <c r="BA100" i="100"/>
  <c r="BA11" i="101"/>
  <c r="BB11" i="101"/>
  <c r="CB11" i="101"/>
  <c r="BA12" i="101"/>
  <c r="BB12" i="101"/>
  <c r="BA13" i="101"/>
  <c r="BB13" i="101"/>
  <c r="BA17" i="101"/>
  <c r="BB17" i="101"/>
  <c r="BA18" i="101"/>
  <c r="BB18" i="101"/>
  <c r="BA19" i="101"/>
  <c r="BB19" i="101"/>
  <c r="BA20" i="101"/>
  <c r="BB20" i="101"/>
  <c r="BA21" i="101"/>
  <c r="BB21" i="101"/>
  <c r="BA22" i="101"/>
  <c r="BB22" i="101"/>
  <c r="BA23" i="101"/>
  <c r="BB23" i="101"/>
  <c r="BA24" i="101"/>
  <c r="BB24" i="101"/>
  <c r="BA25" i="101"/>
  <c r="BB25" i="101"/>
  <c r="BA27" i="101"/>
  <c r="BB27" i="101"/>
  <c r="CB27" i="101"/>
  <c r="BA28" i="101"/>
  <c r="BB28" i="101"/>
  <c r="BA29" i="101"/>
  <c r="BB29" i="101"/>
  <c r="BA30" i="101"/>
  <c r="BB30" i="101"/>
  <c r="BA31" i="101"/>
  <c r="BB31" i="101"/>
  <c r="BA32" i="101"/>
  <c r="BB32" i="101"/>
  <c r="BA33" i="101"/>
  <c r="BB33" i="101"/>
  <c r="CB33" i="101"/>
  <c r="BA34" i="101"/>
  <c r="BB34" i="101"/>
  <c r="BA36" i="101"/>
  <c r="BB36" i="101"/>
  <c r="BA37" i="101"/>
  <c r="BB37" i="101"/>
  <c r="BA38" i="101"/>
  <c r="BB38" i="101"/>
  <c r="BA39" i="101"/>
  <c r="BB39" i="101"/>
  <c r="BA40" i="101"/>
  <c r="BB40" i="101"/>
  <c r="BA41" i="101"/>
  <c r="BB41" i="101"/>
  <c r="BA10" i="102"/>
  <c r="BB10" i="102"/>
  <c r="CB10" i="102"/>
  <c r="BA11" i="102"/>
  <c r="BB11" i="102"/>
  <c r="BA12" i="102"/>
  <c r="BB12" i="102"/>
  <c r="BA13" i="102"/>
  <c r="BB13" i="102"/>
  <c r="BA14" i="102"/>
  <c r="BB14" i="102"/>
  <c r="BA15" i="102"/>
  <c r="BB15" i="102"/>
  <c r="BA16" i="102"/>
  <c r="BB16" i="102"/>
  <c r="BA17" i="102"/>
  <c r="BB17" i="102"/>
  <c r="BA18" i="102"/>
  <c r="BB18" i="102"/>
  <c r="BA19" i="102"/>
  <c r="BB19" i="102"/>
  <c r="BA20" i="102"/>
  <c r="BB20" i="102"/>
  <c r="BA21" i="102"/>
  <c r="BB21" i="102"/>
  <c r="BA22" i="102"/>
  <c r="BB22" i="102"/>
  <c r="BA23" i="102"/>
  <c r="BB23" i="102"/>
  <c r="CB23" i="102"/>
  <c r="BA24" i="102"/>
  <c r="BB24" i="102"/>
  <c r="CB24" i="102"/>
  <c r="BA25" i="102"/>
  <c r="BB25" i="102"/>
  <c r="CB25" i="102"/>
  <c r="BA26" i="102"/>
  <c r="BB26" i="102"/>
  <c r="BA27" i="102"/>
  <c r="BB27" i="102"/>
  <c r="BA28" i="102"/>
  <c r="BB28" i="102"/>
  <c r="BA29" i="102"/>
  <c r="BB29" i="102"/>
  <c r="BA30" i="102"/>
  <c r="BB30" i="102"/>
  <c r="BA31" i="102"/>
  <c r="BB31" i="102"/>
  <c r="BA33" i="102"/>
  <c r="BB33" i="102"/>
  <c r="BA34" i="102"/>
  <c r="BB34" i="102"/>
  <c r="BA35" i="102"/>
  <c r="BB35" i="102"/>
  <c r="BA36" i="102"/>
  <c r="BB36" i="102"/>
  <c r="BA37" i="102"/>
  <c r="BB37" i="102"/>
  <c r="BA38" i="102"/>
  <c r="BB38" i="102"/>
  <c r="BA39" i="102"/>
  <c r="BB39" i="102"/>
  <c r="BA40" i="102"/>
  <c r="BB40" i="102"/>
  <c r="BA41" i="102"/>
  <c r="BB41" i="102"/>
  <c r="BA48" i="102"/>
  <c r="BB48" i="102"/>
  <c r="CB48" i="102"/>
  <c r="BA49" i="102"/>
  <c r="BB49" i="102"/>
  <c r="BA50" i="102"/>
  <c r="BB50" i="102"/>
  <c r="BA11" i="103"/>
  <c r="BB11" i="103"/>
  <c r="BA12" i="103"/>
  <c r="BB12" i="103"/>
  <c r="BA13" i="103"/>
  <c r="BB13" i="103"/>
  <c r="E14" i="103"/>
  <c r="BA14" i="103"/>
  <c r="BB14" i="103"/>
  <c r="BA15" i="103"/>
  <c r="BB15" i="103"/>
  <c r="BA16" i="103"/>
  <c r="BB16" i="103"/>
  <c r="BA17" i="103"/>
  <c r="BB17" i="103"/>
  <c r="BA18" i="103"/>
  <c r="BB18" i="103"/>
  <c r="E19" i="103"/>
  <c r="BA19" i="103"/>
  <c r="BB19" i="103"/>
  <c r="F29" i="103"/>
  <c r="G29" i="103"/>
  <c r="H29" i="103"/>
  <c r="I29" i="103"/>
  <c r="J29" i="103"/>
  <c r="K29" i="103"/>
  <c r="L29" i="103"/>
  <c r="M29" i="103"/>
  <c r="N29" i="103"/>
  <c r="O29" i="103"/>
  <c r="P29" i="103"/>
  <c r="Q29" i="103"/>
  <c r="BB29" i="103" s="1"/>
  <c r="R29" i="103"/>
  <c r="BA31" i="103"/>
  <c r="BB31" i="103"/>
  <c r="BA32" i="103"/>
  <c r="BB32" i="103"/>
  <c r="BA33" i="103"/>
  <c r="BB33" i="103"/>
  <c r="E34" i="103"/>
  <c r="BA34" i="103"/>
  <c r="BB34" i="103"/>
  <c r="BA35" i="103"/>
  <c r="BB35" i="103"/>
  <c r="BA36" i="103"/>
  <c r="BB36" i="103"/>
  <c r="BA37" i="103"/>
  <c r="BB37" i="103"/>
  <c r="BA38" i="103"/>
  <c r="BB38" i="103"/>
  <c r="E39" i="103"/>
  <c r="BA39" i="103"/>
  <c r="BB39" i="103"/>
  <c r="BB49" i="103"/>
  <c r="BA50" i="103"/>
  <c r="BB50" i="103"/>
  <c r="BA51" i="103"/>
  <c r="BB51" i="103"/>
  <c r="E52" i="103"/>
  <c r="BA52" i="103"/>
  <c r="BB52" i="103"/>
  <c r="BA53" i="103"/>
  <c r="BB53" i="103"/>
  <c r="BA54" i="103"/>
  <c r="BB54" i="103"/>
  <c r="E55" i="103"/>
  <c r="BA55" i="103"/>
  <c r="BB55" i="103"/>
  <c r="BB61" i="103"/>
  <c r="BA63" i="103"/>
  <c r="BB63" i="103"/>
  <c r="BA64" i="103"/>
  <c r="BB64" i="103"/>
  <c r="E65" i="103"/>
  <c r="BA65" i="103"/>
  <c r="BB65" i="103"/>
  <c r="BA66" i="103"/>
  <c r="BB66" i="103"/>
  <c r="BA67" i="103"/>
  <c r="BB67" i="103"/>
  <c r="BA68" i="103"/>
  <c r="BB68" i="103"/>
  <c r="BA69" i="103"/>
  <c r="BB69" i="103"/>
  <c r="E70" i="103"/>
  <c r="BA70" i="103"/>
  <c r="BB70" i="103"/>
  <c r="BB71" i="103"/>
  <c r="BB101" i="103"/>
  <c r="BA105" i="103"/>
  <c r="BB105" i="103"/>
  <c r="BA106" i="103"/>
  <c r="CC15" i="104"/>
  <c r="CC8" i="104" s="1"/>
  <c r="CD23" i="104"/>
  <c r="F24" i="104"/>
  <c r="F28" i="104" s="1"/>
  <c r="CB24" i="104"/>
  <c r="G28" i="104"/>
  <c r="I28" i="104"/>
  <c r="J28" i="104"/>
  <c r="K28" i="104"/>
  <c r="L28" i="104"/>
  <c r="N28" i="104"/>
  <c r="O28" i="104"/>
  <c r="E49" i="104"/>
  <c r="E50" i="104"/>
  <c r="CB50" i="104" s="1"/>
  <c r="E51" i="104"/>
  <c r="CA51" i="104" s="1"/>
  <c r="E52" i="104"/>
  <c r="CA52" i="104" s="1"/>
  <c r="E53" i="104"/>
  <c r="CB53" i="104" s="1"/>
  <c r="E54" i="104"/>
  <c r="E56" i="104"/>
  <c r="CA56" i="104" s="1"/>
  <c r="E57" i="104"/>
  <c r="E60" i="104"/>
  <c r="CB60" i="104" s="1"/>
  <c r="E61" i="104"/>
  <c r="CB61" i="104" s="1"/>
  <c r="G39" i="105"/>
  <c r="J39" i="105"/>
  <c r="CB39" i="105"/>
  <c r="CC39" i="105"/>
  <c r="G40" i="105"/>
  <c r="J40" i="105"/>
  <c r="G41" i="105"/>
  <c r="J41" i="105"/>
  <c r="G43" i="105"/>
  <c r="J43" i="105"/>
  <c r="G44" i="105"/>
  <c r="J44" i="105"/>
  <c r="G55" i="105"/>
  <c r="J55" i="105"/>
  <c r="G58" i="105"/>
  <c r="J58" i="105"/>
  <c r="BA96" i="106"/>
  <c r="BB96" i="106"/>
  <c r="CB96" i="106"/>
  <c r="BA97" i="106"/>
  <c r="BB97" i="106"/>
  <c r="CB97" i="106"/>
  <c r="BA98" i="106"/>
  <c r="BB98" i="106"/>
  <c r="BA99" i="106"/>
  <c r="BB99" i="106"/>
  <c r="BA100" i="106"/>
  <c r="BB100" i="106"/>
  <c r="CB100" i="106"/>
  <c r="BA101" i="106"/>
  <c r="BB101" i="106"/>
  <c r="CA101" i="106"/>
  <c r="CA5" i="106" s="1"/>
  <c r="BA102" i="106"/>
  <c r="BB102" i="106"/>
  <c r="E103" i="106"/>
  <c r="BA103" i="106"/>
  <c r="BB103" i="106"/>
  <c r="BA104" i="106"/>
  <c r="BB104" i="106"/>
  <c r="BA105" i="106"/>
  <c r="BB105" i="106"/>
  <c r="BA107" i="106"/>
  <c r="BB107" i="106"/>
  <c r="BA108" i="106"/>
  <c r="BB108" i="106"/>
  <c r="BA112" i="106"/>
  <c r="BB112" i="106"/>
  <c r="CB112" i="106"/>
  <c r="BA115" i="106"/>
  <c r="CB115" i="106"/>
  <c r="G51" i="107"/>
  <c r="J51" i="107"/>
  <c r="G114" i="107"/>
  <c r="I114" i="107"/>
  <c r="K114" i="107"/>
  <c r="M114" i="107"/>
  <c r="G115" i="107"/>
  <c r="I115" i="107"/>
  <c r="K115" i="107"/>
  <c r="M115" i="107"/>
  <c r="G117" i="107"/>
  <c r="I117" i="107"/>
  <c r="K117" i="107"/>
  <c r="M117" i="107"/>
  <c r="G118" i="107"/>
  <c r="I118" i="107"/>
  <c r="K118" i="107"/>
  <c r="M118" i="107"/>
  <c r="G125" i="107"/>
  <c r="I125" i="107"/>
  <c r="K125" i="107"/>
  <c r="G126" i="107"/>
  <c r="I126" i="107"/>
  <c r="K126" i="107"/>
  <c r="G128" i="107"/>
  <c r="I128" i="107"/>
  <c r="K128" i="107"/>
  <c r="G129" i="107"/>
  <c r="I129" i="107"/>
  <c r="K129" i="107"/>
  <c r="G166" i="107"/>
  <c r="J166" i="107"/>
  <c r="G35" i="108"/>
  <c r="G37" i="108" s="1"/>
  <c r="CB35" i="108"/>
  <c r="E37" i="108"/>
  <c r="E33" i="108" s="1"/>
  <c r="V45" i="108"/>
  <c r="BA45" i="108"/>
  <c r="BB45" i="108"/>
  <c r="V46" i="108"/>
  <c r="BA46" i="108"/>
  <c r="BB46" i="108"/>
  <c r="E47" i="108"/>
  <c r="BA47" i="108"/>
  <c r="BB47" i="108"/>
  <c r="CB47" i="108"/>
  <c r="V48" i="108"/>
  <c r="BA48" i="108"/>
  <c r="BB48" i="108"/>
  <c r="V49" i="108"/>
  <c r="BA49" i="108"/>
  <c r="BB49" i="108"/>
  <c r="V50" i="108"/>
  <c r="BA50" i="108"/>
  <c r="BB50" i="108"/>
  <c r="V51" i="108"/>
  <c r="BA51" i="108"/>
  <c r="BB51" i="108"/>
  <c r="V52" i="108"/>
  <c r="BA52" i="108"/>
  <c r="BB52" i="108"/>
  <c r="CG52" i="108"/>
  <c r="V53" i="108"/>
  <c r="BA53" i="108"/>
  <c r="BB53" i="108"/>
  <c r="V54" i="108"/>
  <c r="BA54" i="108"/>
  <c r="BB54" i="108"/>
  <c r="CG54" i="108"/>
  <c r="BA55" i="108"/>
  <c r="BB55" i="108"/>
  <c r="BA56" i="108"/>
  <c r="BB56" i="108"/>
  <c r="BB57" i="108"/>
  <c r="V62" i="108"/>
  <c r="BA62" i="108"/>
  <c r="BB62" i="108"/>
  <c r="V63" i="108"/>
  <c r="BA63" i="108"/>
  <c r="BB63" i="108"/>
  <c r="CB63" i="108"/>
  <c r="BA64" i="108"/>
  <c r="BB64" i="108"/>
  <c r="V65" i="108"/>
  <c r="BA65" i="108"/>
  <c r="BB65" i="108"/>
  <c r="V70" i="108"/>
  <c r="BA70" i="108"/>
  <c r="BB70" i="108"/>
  <c r="V71" i="108"/>
  <c r="BA71" i="108"/>
  <c r="BB71" i="108"/>
  <c r="BA72" i="108"/>
  <c r="BB141" i="109"/>
  <c r="BB140" i="109"/>
  <c r="BA140" i="109"/>
  <c r="CL156" i="109"/>
  <c r="Z14" i="109"/>
  <c r="CB14" i="109" s="1"/>
  <c r="BA14" i="109"/>
  <c r="BB14" i="109"/>
  <c r="CL157" i="109"/>
  <c r="Z15" i="109"/>
  <c r="CB15" i="109" s="1"/>
  <c r="BA15" i="109"/>
  <c r="BB15" i="109"/>
  <c r="CL158" i="109"/>
  <c r="Z16" i="109"/>
  <c r="CB16" i="109" s="1"/>
  <c r="BA16" i="109"/>
  <c r="BB16" i="109"/>
  <c r="CL159" i="109"/>
  <c r="Z17" i="109"/>
  <c r="CB17" i="109" s="1"/>
  <c r="BA17" i="109"/>
  <c r="BB17" i="109"/>
  <c r="CL160" i="109"/>
  <c r="Z18" i="109"/>
  <c r="CB18" i="109" s="1"/>
  <c r="BA18" i="109"/>
  <c r="BB18" i="109"/>
  <c r="CL161" i="109"/>
  <c r="Z19" i="109"/>
  <c r="CB19" i="109" s="1"/>
  <c r="BA19" i="109"/>
  <c r="BB19" i="109"/>
  <c r="CL162" i="109"/>
  <c r="Z20" i="109"/>
  <c r="BA20" i="109"/>
  <c r="BB20" i="109"/>
  <c r="CB20" i="109"/>
  <c r="CL163" i="109"/>
  <c r="Z21" i="109"/>
  <c r="CB21" i="109" s="1"/>
  <c r="BA21" i="109"/>
  <c r="BB21" i="109"/>
  <c r="CL164" i="109"/>
  <c r="Z22" i="109"/>
  <c r="CB22" i="109" s="1"/>
  <c r="BA22" i="109"/>
  <c r="BB22" i="109"/>
  <c r="CL165" i="109"/>
  <c r="Z23" i="109"/>
  <c r="CB23" i="109" s="1"/>
  <c r="BA23" i="109"/>
  <c r="BB23" i="109"/>
  <c r="CL166" i="109"/>
  <c r="Z24" i="109"/>
  <c r="CB24" i="109" s="1"/>
  <c r="BA24" i="109"/>
  <c r="BB24" i="109"/>
  <c r="CL167" i="109"/>
  <c r="Z25" i="109"/>
  <c r="CB25" i="109" s="1"/>
  <c r="BA25" i="109"/>
  <c r="BB25" i="109"/>
  <c r="CL168" i="109"/>
  <c r="Z26" i="109"/>
  <c r="CB26" i="109" s="1"/>
  <c r="BA26" i="109"/>
  <c r="BB26" i="109"/>
  <c r="CL169" i="109"/>
  <c r="Z27" i="109"/>
  <c r="CB27" i="109" s="1"/>
  <c r="BA27" i="109"/>
  <c r="BB27" i="109"/>
  <c r="CL170" i="109"/>
  <c r="Z28" i="109"/>
  <c r="CB28" i="109" s="1"/>
  <c r="BA28" i="109"/>
  <c r="BB28" i="109"/>
  <c r="CL171" i="109"/>
  <c r="Z29" i="109"/>
  <c r="CB29" i="109" s="1"/>
  <c r="BA29" i="109"/>
  <c r="BB29" i="109"/>
  <c r="CL172" i="109"/>
  <c r="Z30" i="109"/>
  <c r="CB30" i="109" s="1"/>
  <c r="BA30" i="109"/>
  <c r="BB30" i="109"/>
  <c r="CL173" i="109"/>
  <c r="Z31" i="109"/>
  <c r="CB31" i="109" s="1"/>
  <c r="BA31" i="109"/>
  <c r="BB31" i="109"/>
  <c r="CL174" i="109"/>
  <c r="Z32" i="109"/>
  <c r="CB32" i="109" s="1"/>
  <c r="BA32" i="109"/>
  <c r="BB32" i="109"/>
  <c r="CL175" i="109"/>
  <c r="Z33" i="109"/>
  <c r="CB33" i="109" s="1"/>
  <c r="BA33" i="109"/>
  <c r="BB33" i="109"/>
  <c r="CL176" i="109"/>
  <c r="Z34" i="109"/>
  <c r="CB34" i="109" s="1"/>
  <c r="BA34" i="109"/>
  <c r="BB34" i="109"/>
  <c r="CL177" i="109"/>
  <c r="Z35" i="109"/>
  <c r="CB35" i="109" s="1"/>
  <c r="BA35" i="109"/>
  <c r="BB35" i="109"/>
  <c r="CL178" i="109"/>
  <c r="Z36" i="109"/>
  <c r="CB36" i="109" s="1"/>
  <c r="BA36" i="109"/>
  <c r="BB36" i="109"/>
  <c r="CL179" i="109"/>
  <c r="Z37" i="109"/>
  <c r="CB37" i="109" s="1"/>
  <c r="BA37" i="109"/>
  <c r="BB37" i="109"/>
  <c r="CL180" i="109"/>
  <c r="Z38" i="109"/>
  <c r="CB38" i="109" s="1"/>
  <c r="BA38" i="109"/>
  <c r="BB38" i="109"/>
  <c r="CL181" i="109"/>
  <c r="Z39" i="109"/>
  <c r="CB39" i="109" s="1"/>
  <c r="BA39" i="109"/>
  <c r="BB39" i="109"/>
  <c r="CL182" i="109"/>
  <c r="Z40" i="109"/>
  <c r="CB40" i="109" s="1"/>
  <c r="BA40" i="109"/>
  <c r="BB40" i="109"/>
  <c r="CL183" i="109"/>
  <c r="Z41" i="109"/>
  <c r="CB41" i="109" s="1"/>
  <c r="BA41" i="109"/>
  <c r="BB41" i="109"/>
  <c r="CL184" i="109"/>
  <c r="Z42" i="109"/>
  <c r="CB42" i="109" s="1"/>
  <c r="BA42" i="109"/>
  <c r="BB42" i="109"/>
  <c r="CL185" i="109"/>
  <c r="Z43" i="109"/>
  <c r="CB43" i="109" s="1"/>
  <c r="BA43" i="109"/>
  <c r="BB43" i="109"/>
  <c r="CL186" i="109"/>
  <c r="Z44" i="109"/>
  <c r="CB44" i="109" s="1"/>
  <c r="BA44" i="109"/>
  <c r="BB44" i="109"/>
  <c r="CL187" i="109"/>
  <c r="Z45" i="109"/>
  <c r="CB45" i="109" s="1"/>
  <c r="BA45" i="109"/>
  <c r="BB45" i="109"/>
  <c r="CL189" i="109"/>
  <c r="Z47" i="109"/>
  <c r="CB47" i="109" s="1"/>
  <c r="BA47" i="109"/>
  <c r="BB47" i="109"/>
  <c r="CL190" i="109"/>
  <c r="Z48" i="109"/>
  <c r="CB48" i="109" s="1"/>
  <c r="BA48" i="109"/>
  <c r="BB48" i="109"/>
  <c r="CL191" i="109"/>
  <c r="Z49" i="109"/>
  <c r="CB49" i="109" s="1"/>
  <c r="BA49" i="109"/>
  <c r="BB49" i="109"/>
  <c r="CL192" i="109"/>
  <c r="Z50" i="109"/>
  <c r="CB50" i="109" s="1"/>
  <c r="BA50" i="109"/>
  <c r="BB50" i="109"/>
  <c r="CL193" i="109"/>
  <c r="Z51" i="109"/>
  <c r="CB51" i="109" s="1"/>
  <c r="BA51" i="109"/>
  <c r="BB51" i="109"/>
  <c r="CL194" i="109"/>
  <c r="Z52" i="109"/>
  <c r="CB52" i="109" s="1"/>
  <c r="BA52" i="109"/>
  <c r="BB52" i="109"/>
  <c r="CL195" i="109"/>
  <c r="Z53" i="109"/>
  <c r="CB53" i="109" s="1"/>
  <c r="BA53" i="109"/>
  <c r="BB53" i="109"/>
  <c r="CL196" i="109"/>
  <c r="Z54" i="109"/>
  <c r="CB54" i="109" s="1"/>
  <c r="BA54" i="109"/>
  <c r="BB54" i="109"/>
  <c r="CL197" i="109"/>
  <c r="Z55" i="109"/>
  <c r="CB55" i="109" s="1"/>
  <c r="BA55" i="109"/>
  <c r="BB55" i="109"/>
  <c r="CL198" i="109"/>
  <c r="Z56" i="109"/>
  <c r="CB56" i="109" s="1"/>
  <c r="BA56" i="109"/>
  <c r="BB56" i="109"/>
  <c r="CL199" i="109"/>
  <c r="Z57" i="109"/>
  <c r="CB57" i="109" s="1"/>
  <c r="BA57" i="109"/>
  <c r="BB57" i="109"/>
  <c r="CL200" i="109"/>
  <c r="Z58" i="109"/>
  <c r="CB58" i="109" s="1"/>
  <c r="BA58" i="109"/>
  <c r="BB58" i="109"/>
  <c r="CL201" i="109"/>
  <c r="Z59" i="109"/>
  <c r="CB59" i="109" s="1"/>
  <c r="BA59" i="109"/>
  <c r="BB59" i="109"/>
  <c r="CL202" i="109"/>
  <c r="Z60" i="109"/>
  <c r="CB60" i="109" s="1"/>
  <c r="BA60" i="109"/>
  <c r="BB60" i="109"/>
  <c r="CL203" i="109"/>
  <c r="Z61" i="109"/>
  <c r="CB61" i="109" s="1"/>
  <c r="BA61" i="109"/>
  <c r="BB61" i="109"/>
  <c r="CL204" i="109"/>
  <c r="Z62" i="109"/>
  <c r="CB62" i="109" s="1"/>
  <c r="BA62" i="109"/>
  <c r="BB62" i="109"/>
  <c r="CL205" i="109"/>
  <c r="Z63" i="109"/>
  <c r="CB63" i="109" s="1"/>
  <c r="BA63" i="109"/>
  <c r="BB63" i="109"/>
  <c r="CL206" i="109"/>
  <c r="Z64" i="109"/>
  <c r="CB64" i="109" s="1"/>
  <c r="BA64" i="109"/>
  <c r="BB64" i="109"/>
  <c r="CL207" i="109"/>
  <c r="Z65" i="109"/>
  <c r="CB65" i="109" s="1"/>
  <c r="BA65" i="109"/>
  <c r="BB65" i="109"/>
  <c r="CL208" i="109"/>
  <c r="Z66" i="109"/>
  <c r="CB66" i="109" s="1"/>
  <c r="BA66" i="109"/>
  <c r="BB66" i="109"/>
  <c r="I67" i="109"/>
  <c r="BA67" i="109"/>
  <c r="BB67" i="109"/>
  <c r="CL211" i="109"/>
  <c r="Z69" i="109"/>
  <c r="CB69" i="109" s="1"/>
  <c r="BA69" i="109"/>
  <c r="BB69" i="109"/>
  <c r="CL212" i="109"/>
  <c r="Z70" i="109"/>
  <c r="CB70" i="109" s="1"/>
  <c r="BA70" i="109"/>
  <c r="BB70" i="109"/>
  <c r="CL213" i="109"/>
  <c r="Z71" i="109"/>
  <c r="CB71" i="109" s="1"/>
  <c r="BA71" i="109"/>
  <c r="BB71" i="109"/>
  <c r="CK71" i="109"/>
  <c r="CL214" i="109"/>
  <c r="Z72" i="109"/>
  <c r="CB72" i="109" s="1"/>
  <c r="BA72" i="109"/>
  <c r="BB72" i="109"/>
  <c r="I73" i="109"/>
  <c r="BA73" i="109"/>
  <c r="BB73" i="109"/>
  <c r="Z76" i="109"/>
  <c r="BA76" i="109"/>
  <c r="BB76" i="109"/>
  <c r="CA76" i="109"/>
  <c r="Z77" i="109"/>
  <c r="BA77" i="109"/>
  <c r="BB77" i="109"/>
  <c r="CA77" i="109"/>
  <c r="Z78" i="109"/>
  <c r="BA78" i="109"/>
  <c r="BB78" i="109"/>
  <c r="CA78" i="109"/>
  <c r="Z79" i="109"/>
  <c r="BA79" i="109"/>
  <c r="BB79" i="109"/>
  <c r="CA79" i="109"/>
  <c r="Z80" i="109"/>
  <c r="BA80" i="109"/>
  <c r="BB80" i="109"/>
  <c r="CA80" i="109"/>
  <c r="Z81" i="109"/>
  <c r="BA81" i="109"/>
  <c r="BB81" i="109"/>
  <c r="CA81" i="109"/>
  <c r="Z82" i="109"/>
  <c r="BA82" i="109"/>
  <c r="BB82" i="109"/>
  <c r="CA82" i="109"/>
  <c r="Z83" i="109"/>
  <c r="BA83" i="109"/>
  <c r="BB83" i="109"/>
  <c r="CA83" i="109"/>
  <c r="Z84" i="109"/>
  <c r="BA84" i="109"/>
  <c r="BB84" i="109"/>
  <c r="CA84" i="109"/>
  <c r="Z85" i="109"/>
  <c r="BA85" i="109"/>
  <c r="BB85" i="109"/>
  <c r="CA85" i="109"/>
  <c r="Z87" i="109"/>
  <c r="BA87" i="109"/>
  <c r="BB87" i="109"/>
  <c r="CA87" i="109"/>
  <c r="Z88" i="109"/>
  <c r="BA88" i="109"/>
  <c r="BB88" i="109"/>
  <c r="CA88" i="109"/>
  <c r="Z89" i="109"/>
  <c r="BA89" i="109"/>
  <c r="BB89" i="109"/>
  <c r="CA89" i="109"/>
  <c r="Z90" i="109"/>
  <c r="BA90" i="109"/>
  <c r="BB90" i="109"/>
  <c r="CA90" i="109"/>
  <c r="Z91" i="109"/>
  <c r="BA91" i="109"/>
  <c r="BB91" i="109"/>
  <c r="Z92" i="109"/>
  <c r="BA92" i="109"/>
  <c r="BB92" i="109"/>
  <c r="Z93" i="109"/>
  <c r="BA93" i="109"/>
  <c r="BB93" i="109"/>
  <c r="Z94" i="109"/>
  <c r="BA94" i="109"/>
  <c r="BB94" i="109"/>
  <c r="Z95" i="109"/>
  <c r="BA95" i="109"/>
  <c r="BB95" i="109"/>
  <c r="Z96" i="109"/>
  <c r="BA96" i="109"/>
  <c r="BB96" i="109"/>
  <c r="I97" i="109"/>
  <c r="BA97" i="109"/>
  <c r="BB97" i="109"/>
  <c r="Z99" i="109"/>
  <c r="BA99" i="109"/>
  <c r="BB99" i="109"/>
  <c r="CA99" i="109"/>
  <c r="Z100" i="109"/>
  <c r="BA100" i="109"/>
  <c r="BB100" i="109"/>
  <c r="CA100" i="109"/>
  <c r="Z101" i="109"/>
  <c r="BA101" i="109"/>
  <c r="BB101" i="109"/>
  <c r="CA101" i="109"/>
  <c r="Z102" i="109"/>
  <c r="BA102" i="109"/>
  <c r="BB102" i="109"/>
  <c r="CA102" i="109"/>
  <c r="I103" i="109"/>
  <c r="BA103" i="109"/>
  <c r="BB103" i="109"/>
  <c r="BA111" i="109"/>
  <c r="BB111" i="109"/>
  <c r="Z112" i="109"/>
  <c r="BA112" i="109"/>
  <c r="BB112" i="109"/>
  <c r="BB113" i="109"/>
  <c r="Z114" i="109"/>
  <c r="BA114" i="109"/>
  <c r="BB114" i="109"/>
  <c r="BB115" i="109"/>
  <c r="BA116" i="109"/>
  <c r="BB116" i="109"/>
  <c r="BA117" i="109"/>
  <c r="BB117" i="109"/>
  <c r="Z118" i="109"/>
  <c r="BA118" i="109"/>
  <c r="BB118" i="109"/>
  <c r="Z119" i="109"/>
  <c r="BA119" i="109"/>
  <c r="BB119" i="109"/>
  <c r="Z120" i="109"/>
  <c r="BA120" i="109"/>
  <c r="BB120" i="109"/>
  <c r="Z121" i="109"/>
  <c r="BA121" i="109"/>
  <c r="BB121" i="109"/>
  <c r="BA123" i="109"/>
  <c r="BB123" i="109"/>
  <c r="BA124" i="109"/>
  <c r="BB124" i="109"/>
  <c r="Z126" i="109"/>
  <c r="BA126" i="109"/>
  <c r="BB126" i="109"/>
  <c r="D230" i="109"/>
  <c r="CB230" i="109" s="1"/>
  <c r="Z127" i="109"/>
  <c r="BA127" i="109"/>
  <c r="BB127" i="109"/>
  <c r="Z128" i="109"/>
  <c r="BA128" i="109"/>
  <c r="BB128" i="109"/>
  <c r="BA129" i="109"/>
  <c r="BB129" i="109"/>
  <c r="D233" i="109"/>
  <c r="CB233" i="109" s="1"/>
  <c r="Z130" i="109"/>
  <c r="BA130" i="109"/>
  <c r="BB130" i="109"/>
  <c r="BA131" i="109"/>
  <c r="BB131" i="109"/>
  <c r="D235" i="109"/>
  <c r="CB235" i="109" s="1"/>
  <c r="Z132" i="109"/>
  <c r="BA132" i="109"/>
  <c r="BB132" i="109"/>
  <c r="D236" i="109"/>
  <c r="CB236" i="109" s="1"/>
  <c r="Z133" i="109"/>
  <c r="BA133" i="109"/>
  <c r="BB133" i="109"/>
  <c r="BA134" i="109"/>
  <c r="BB134" i="109"/>
  <c r="BA135" i="109"/>
  <c r="BB135" i="109"/>
  <c r="BA136" i="109"/>
  <c r="BB136" i="109"/>
  <c r="BA137" i="109"/>
  <c r="BB137" i="109"/>
  <c r="BA138" i="109"/>
  <c r="BB138" i="109"/>
  <c r="E39" i="111"/>
  <c r="E55" i="111"/>
  <c r="J45" i="111"/>
  <c r="J55" i="111" s="1"/>
  <c r="G75" i="112"/>
  <c r="J75" i="112"/>
  <c r="CH156" i="112"/>
  <c r="G156" i="112" s="1"/>
  <c r="K123" i="112"/>
  <c r="I123" i="112"/>
  <c r="K124" i="112"/>
  <c r="I124" i="112"/>
  <c r="K125" i="112"/>
  <c r="K127" i="112"/>
  <c r="K131" i="112"/>
  <c r="I131" i="112"/>
  <c r="K134" i="112"/>
  <c r="I134" i="112"/>
  <c r="K135" i="112"/>
  <c r="I135" i="112"/>
  <c r="K136" i="112"/>
  <c r="K137" i="112"/>
  <c r="I137" i="112"/>
  <c r="K143" i="112"/>
  <c r="I143" i="112"/>
  <c r="K144" i="112"/>
  <c r="I145" i="112"/>
  <c r="K149" i="112"/>
  <c r="K151" i="112"/>
  <c r="I151" i="112"/>
  <c r="CG234" i="113"/>
  <c r="L91" i="113"/>
  <c r="CF91" i="113" s="1"/>
  <c r="J75" i="113"/>
  <c r="CC234" i="113"/>
  <c r="E124" i="113"/>
  <c r="E145" i="113" s="1"/>
  <c r="CI234" i="113"/>
  <c r="CI268" i="113" s="1"/>
  <c r="I124" i="113"/>
  <c r="I145" i="113" s="1"/>
  <c r="CI224" i="113"/>
  <c r="H224" i="113" s="1"/>
  <c r="K190" i="113"/>
  <c r="K191" i="113"/>
  <c r="I191" i="113"/>
  <c r="K192" i="113"/>
  <c r="I192" i="113"/>
  <c r="K199" i="113"/>
  <c r="I199" i="113"/>
  <c r="K201" i="113"/>
  <c r="I201" i="113"/>
  <c r="I204" i="113"/>
  <c r="K205" i="113"/>
  <c r="K209" i="113"/>
  <c r="I209" i="113"/>
  <c r="K210" i="113"/>
  <c r="K211" i="113"/>
  <c r="I211" i="113"/>
  <c r="K212" i="113"/>
  <c r="K213" i="113"/>
  <c r="I213" i="113"/>
  <c r="K214" i="113"/>
  <c r="I214" i="113"/>
  <c r="K218" i="113"/>
  <c r="I218" i="113"/>
  <c r="K219" i="113"/>
  <c r="K220" i="113"/>
  <c r="K237" i="113"/>
  <c r="I237" i="113"/>
  <c r="K240" i="113"/>
  <c r="I240" i="113"/>
  <c r="K247" i="113"/>
  <c r="K248" i="113"/>
  <c r="K250" i="113"/>
  <c r="K251" i="113"/>
  <c r="I251" i="113"/>
  <c r="K259" i="113"/>
  <c r="I259" i="113"/>
  <c r="K260" i="113"/>
  <c r="K263" i="113"/>
  <c r="I263" i="113"/>
  <c r="N138" i="114"/>
  <c r="O139" i="114" s="1"/>
  <c r="D39" i="115"/>
  <c r="F39" i="115"/>
  <c r="F40" i="115" s="1"/>
  <c r="CP156" i="109"/>
  <c r="CV156" i="109" s="1"/>
  <c r="CP157" i="109"/>
  <c r="CQ157" i="109" s="1"/>
  <c r="CU157" i="109" s="1"/>
  <c r="CP158" i="109"/>
  <c r="CQ158" i="109" s="1"/>
  <c r="CU158" i="109" s="1"/>
  <c r="CP159" i="109"/>
  <c r="CQ159" i="109" s="1"/>
  <c r="CU159" i="109" s="1"/>
  <c r="CP160" i="109"/>
  <c r="CQ160" i="109" s="1"/>
  <c r="CU160" i="109" s="1"/>
  <c r="CP161" i="109"/>
  <c r="CQ161" i="109" s="1"/>
  <c r="CU161" i="109" s="1"/>
  <c r="CP162" i="109"/>
  <c r="CQ162" i="109" s="1"/>
  <c r="CU162" i="109" s="1"/>
  <c r="CP163" i="109"/>
  <c r="CQ163" i="109" s="1"/>
  <c r="CU163" i="109" s="1"/>
  <c r="CP164" i="109"/>
  <c r="CS164" i="109" s="1"/>
  <c r="CU164" i="109" s="1"/>
  <c r="CP165" i="109"/>
  <c r="CQ165" i="109" s="1"/>
  <c r="CU165" i="109" s="1"/>
  <c r="CP166" i="109"/>
  <c r="CT166" i="109" s="1"/>
  <c r="CU166" i="109" s="1"/>
  <c r="CP167" i="109"/>
  <c r="CR167" i="109" s="1"/>
  <c r="CU167" i="109" s="1"/>
  <c r="CP168" i="109"/>
  <c r="CV168" i="109" s="1"/>
  <c r="CP171" i="109"/>
  <c r="CV171" i="109" s="1"/>
  <c r="CP172" i="109"/>
  <c r="CQ172" i="109" s="1"/>
  <c r="CP173" i="109"/>
  <c r="CQ173" i="109" s="1"/>
  <c r="CU173" i="109" s="1"/>
  <c r="CP174" i="109"/>
  <c r="CQ174" i="109" s="1"/>
  <c r="CU174" i="109" s="1"/>
  <c r="CP175" i="109"/>
  <c r="CQ175" i="109" s="1"/>
  <c r="CU175" i="109" s="1"/>
  <c r="CP176" i="109"/>
  <c r="CQ176" i="109" s="1"/>
  <c r="CU176" i="109" s="1"/>
  <c r="CP177" i="109"/>
  <c r="CQ177" i="109" s="1"/>
  <c r="CU177" i="109" s="1"/>
  <c r="CP178" i="109"/>
  <c r="CQ178" i="109" s="1"/>
  <c r="CU178" i="109" s="1"/>
  <c r="CP179" i="109"/>
  <c r="CS179" i="109" s="1"/>
  <c r="CU179" i="109" s="1"/>
  <c r="CP180" i="109"/>
  <c r="CQ180" i="109" s="1"/>
  <c r="CU180" i="109" s="1"/>
  <c r="CP181" i="109"/>
  <c r="CT181" i="109" s="1"/>
  <c r="CU181" i="109" s="1"/>
  <c r="CP182" i="109"/>
  <c r="CR182" i="109" s="1"/>
  <c r="CU182" i="109" s="1"/>
  <c r="CP183" i="109"/>
  <c r="CV183" i="109" s="1"/>
  <c r="CP186" i="109"/>
  <c r="CP187" i="109"/>
  <c r="CP188" i="109"/>
  <c r="CP189" i="109"/>
  <c r="CP190" i="109"/>
  <c r="CP191" i="109"/>
  <c r="CP192" i="109"/>
  <c r="CQ192" i="109" s="1"/>
  <c r="CU192" i="109" s="1"/>
  <c r="CP193" i="109"/>
  <c r="CP194" i="109"/>
  <c r="CP195" i="109"/>
  <c r="CP196" i="109"/>
  <c r="CP197" i="109"/>
  <c r="G98" i="110"/>
  <c r="J14" i="111"/>
  <c r="J26" i="111"/>
  <c r="J37" i="111"/>
  <c r="F85" i="111"/>
  <c r="F86" i="111"/>
  <c r="F87" i="111"/>
  <c r="F88" i="111"/>
  <c r="F89" i="111"/>
  <c r="F90" i="111"/>
  <c r="M20" i="112"/>
  <c r="M43" i="112"/>
  <c r="M46" i="112"/>
  <c r="K54" i="112"/>
  <c r="M56" i="112"/>
  <c r="M68" i="112"/>
  <c r="CC68" i="112" s="1"/>
  <c r="M69" i="112"/>
  <c r="CC69" i="112" s="1"/>
  <c r="M70" i="112"/>
  <c r="CC70" i="112" s="1"/>
  <c r="CE120" i="112"/>
  <c r="CJ120" i="112"/>
  <c r="CB11" i="113"/>
  <c r="M20" i="113"/>
  <c r="M43" i="113"/>
  <c r="M46" i="113"/>
  <c r="F156" i="113" s="1"/>
  <c r="K54" i="113"/>
  <c r="K75" i="113" s="1"/>
  <c r="M56" i="113"/>
  <c r="M68" i="113"/>
  <c r="CC68" i="113" s="1"/>
  <c r="M69" i="113"/>
  <c r="CC69" i="113" s="1"/>
  <c r="M70" i="113"/>
  <c r="CC70" i="113" s="1"/>
  <c r="M114" i="113"/>
  <c r="M126" i="113"/>
  <c r="M138" i="113"/>
  <c r="CC138" i="113" s="1"/>
  <c r="M139" i="113"/>
  <c r="CC139" i="113" s="1"/>
  <c r="M140" i="113"/>
  <c r="CC140" i="113" s="1"/>
  <c r="J167" i="113"/>
  <c r="J168" i="113"/>
  <c r="J169" i="113"/>
  <c r="J170" i="113"/>
  <c r="J171" i="113"/>
  <c r="J172" i="113"/>
  <c r="CE188" i="113"/>
  <c r="CJ188" i="113"/>
  <c r="U13" i="114"/>
  <c r="BA13" i="114"/>
  <c r="BB13" i="114"/>
  <c r="CC13" i="114"/>
  <c r="CE13" i="114"/>
  <c r="U14" i="114"/>
  <c r="BA14" i="114"/>
  <c r="BB14" i="114"/>
  <c r="CC14" i="114"/>
  <c r="CE14" i="114"/>
  <c r="U15" i="114"/>
  <c r="BA15" i="114"/>
  <c r="BB15" i="114"/>
  <c r="CC15" i="114"/>
  <c r="CE15" i="114"/>
  <c r="U16" i="114"/>
  <c r="BA16" i="114"/>
  <c r="BB16" i="114"/>
  <c r="CC16" i="114"/>
  <c r="CE16" i="114"/>
  <c r="U17" i="114"/>
  <c r="BA17" i="114"/>
  <c r="BB17" i="114"/>
  <c r="CC17" i="114"/>
  <c r="CE17" i="114"/>
  <c r="U18" i="114"/>
  <c r="BA18" i="114"/>
  <c r="BB18" i="114"/>
  <c r="CC18" i="114"/>
  <c r="CE18" i="114"/>
  <c r="U19" i="114"/>
  <c r="BA19" i="114"/>
  <c r="BB19" i="114"/>
  <c r="CC19" i="114"/>
  <c r="CE19" i="114"/>
  <c r="U20" i="114"/>
  <c r="BA20" i="114"/>
  <c r="BB20" i="114"/>
  <c r="CC20" i="114"/>
  <c r="CE20" i="114"/>
  <c r="U21" i="114"/>
  <c r="BA21" i="114"/>
  <c r="BB21" i="114"/>
  <c r="CC21" i="114"/>
  <c r="CE21" i="114"/>
  <c r="U22" i="114"/>
  <c r="BA22" i="114"/>
  <c r="BB22" i="114"/>
  <c r="CC22" i="114"/>
  <c r="CE22" i="114"/>
  <c r="U23" i="114"/>
  <c r="BA23" i="114"/>
  <c r="BB23" i="114"/>
  <c r="CC23" i="114"/>
  <c r="CE23" i="114"/>
  <c r="U24" i="114"/>
  <c r="BA24" i="114"/>
  <c r="BB24" i="114"/>
  <c r="CC24" i="114"/>
  <c r="CE24" i="114"/>
  <c r="U25" i="114"/>
  <c r="BA25" i="114"/>
  <c r="BB25" i="114"/>
  <c r="CC25" i="114"/>
  <c r="CE25" i="114"/>
  <c r="U26" i="114"/>
  <c r="BA26" i="114"/>
  <c r="BB26" i="114"/>
  <c r="CC26" i="114"/>
  <c r="CE26" i="114"/>
  <c r="U27" i="114"/>
  <c r="BA27" i="114"/>
  <c r="BB27" i="114"/>
  <c r="CC27" i="114"/>
  <c r="CE27" i="114"/>
  <c r="U28" i="114"/>
  <c r="BA28" i="114"/>
  <c r="BB28" i="114"/>
  <c r="CC28" i="114"/>
  <c r="CE28" i="114"/>
  <c r="U29" i="114"/>
  <c r="BA29" i="114"/>
  <c r="BB29" i="114"/>
  <c r="CC29" i="114"/>
  <c r="CE29" i="114"/>
  <c r="U30" i="114"/>
  <c r="BA30" i="114"/>
  <c r="BB30" i="114"/>
  <c r="CC30" i="114"/>
  <c r="CE30" i="114"/>
  <c r="U31" i="114"/>
  <c r="BA31" i="114"/>
  <c r="BB31" i="114"/>
  <c r="CC31" i="114"/>
  <c r="CE31" i="114"/>
  <c r="U32" i="114"/>
  <c r="BA32" i="114"/>
  <c r="BB32" i="114"/>
  <c r="CC32" i="114"/>
  <c r="CE32" i="114"/>
  <c r="U33" i="114"/>
  <c r="BA33" i="114"/>
  <c r="BB33" i="114"/>
  <c r="CC33" i="114"/>
  <c r="CE33" i="114"/>
  <c r="U34" i="114"/>
  <c r="BA34" i="114"/>
  <c r="BB34" i="114"/>
  <c r="CC34" i="114"/>
  <c r="CE34" i="114"/>
  <c r="U35" i="114"/>
  <c r="BA35" i="114"/>
  <c r="BB35" i="114"/>
  <c r="CC35" i="114"/>
  <c r="CE35" i="114"/>
  <c r="U36" i="114"/>
  <c r="BA36" i="114"/>
  <c r="BB36" i="114"/>
  <c r="CC36" i="114"/>
  <c r="CE36" i="114"/>
  <c r="U37" i="114"/>
  <c r="BA37" i="114"/>
  <c r="BB37" i="114"/>
  <c r="CC37" i="114"/>
  <c r="CE37" i="114"/>
  <c r="U38" i="114"/>
  <c r="BA38" i="114"/>
  <c r="BB38" i="114"/>
  <c r="CC38" i="114"/>
  <c r="CE38" i="114"/>
  <c r="U39" i="114"/>
  <c r="BA39" i="114"/>
  <c r="BB39" i="114"/>
  <c r="CC39" i="114"/>
  <c r="CE39" i="114"/>
  <c r="U40" i="114"/>
  <c r="BA40" i="114"/>
  <c r="BB40" i="114"/>
  <c r="CC40" i="114"/>
  <c r="CE40" i="114"/>
  <c r="U41" i="114"/>
  <c r="BA41" i="114"/>
  <c r="BB41" i="114"/>
  <c r="CC41" i="114"/>
  <c r="CE41" i="114"/>
  <c r="U42" i="114"/>
  <c r="BA42" i="114"/>
  <c r="BB42" i="114"/>
  <c r="CC42" i="114"/>
  <c r="CE42" i="114"/>
  <c r="U43" i="114"/>
  <c r="BA43" i="114"/>
  <c r="BB43" i="114"/>
  <c r="CC43" i="114"/>
  <c r="CE43" i="114"/>
  <c r="U44" i="114"/>
  <c r="BA44" i="114"/>
  <c r="BB44" i="114"/>
  <c r="CC44" i="114"/>
  <c r="CE44" i="114"/>
  <c r="U45" i="114"/>
  <c r="BA45" i="114"/>
  <c r="BB45" i="114"/>
  <c r="CC45" i="114"/>
  <c r="CE45" i="114"/>
  <c r="U46" i="114"/>
  <c r="BA46" i="114"/>
  <c r="BB46" i="114"/>
  <c r="CC46" i="114"/>
  <c r="CE46" i="114"/>
  <c r="U47" i="114"/>
  <c r="BA47" i="114"/>
  <c r="BB47" i="114"/>
  <c r="CC47" i="114"/>
  <c r="CE47" i="114"/>
  <c r="U48" i="114"/>
  <c r="BA48" i="114"/>
  <c r="BB48" i="114"/>
  <c r="CC48" i="114"/>
  <c r="CE48" i="114"/>
  <c r="U49" i="114"/>
  <c r="BA49" i="114"/>
  <c r="BB49" i="114"/>
  <c r="CC49" i="114"/>
  <c r="CE49" i="114"/>
  <c r="U50" i="114"/>
  <c r="BA50" i="114"/>
  <c r="BB50" i="114"/>
  <c r="CC50" i="114"/>
  <c r="CE50" i="114"/>
  <c r="U51" i="114"/>
  <c r="BA51" i="114"/>
  <c r="BB51" i="114"/>
  <c r="CC51" i="114"/>
  <c r="CE51" i="114"/>
  <c r="U52" i="114"/>
  <c r="BA52" i="114"/>
  <c r="BB52" i="114"/>
  <c r="CC52" i="114"/>
  <c r="CE52" i="114"/>
  <c r="U53" i="114"/>
  <c r="BA53" i="114"/>
  <c r="BB53" i="114"/>
  <c r="CC53" i="114"/>
  <c r="CE53" i="114"/>
  <c r="U54" i="114"/>
  <c r="BA54" i="114"/>
  <c r="BB54" i="114"/>
  <c r="CC54" i="114"/>
  <c r="CE54" i="114"/>
  <c r="U55" i="114"/>
  <c r="BA55" i="114"/>
  <c r="BB55" i="114"/>
  <c r="CC55" i="114"/>
  <c r="CE55" i="114"/>
  <c r="U56" i="114"/>
  <c r="BA56" i="114"/>
  <c r="BB56" i="114"/>
  <c r="CC56" i="114"/>
  <c r="CE56" i="114"/>
  <c r="U57" i="114"/>
  <c r="BA57" i="114"/>
  <c r="BB57" i="114"/>
  <c r="CC57" i="114"/>
  <c r="CE57" i="114"/>
  <c r="U58" i="114"/>
  <c r="BA58" i="114"/>
  <c r="BB58" i="114"/>
  <c r="CC58" i="114"/>
  <c r="CE58" i="114"/>
  <c r="U59" i="114"/>
  <c r="BA59" i="114"/>
  <c r="BB59" i="114"/>
  <c r="CC59" i="114"/>
  <c r="CE59" i="114"/>
  <c r="U60" i="114"/>
  <c r="BA60" i="114"/>
  <c r="BB60" i="114"/>
  <c r="CC60" i="114"/>
  <c r="CE60" i="114"/>
  <c r="U61" i="114"/>
  <c r="BA61" i="114"/>
  <c r="BB61" i="114"/>
  <c r="CC61" i="114"/>
  <c r="CE61" i="114"/>
  <c r="U62" i="114"/>
  <c r="BA62" i="114"/>
  <c r="BB62" i="114"/>
  <c r="CC62" i="114"/>
  <c r="CE62" i="114"/>
  <c r="U63" i="114"/>
  <c r="BA63" i="114"/>
  <c r="BB63" i="114"/>
  <c r="CC63" i="114"/>
  <c r="CE63" i="114"/>
  <c r="U64" i="114"/>
  <c r="BA64" i="114"/>
  <c r="BB64" i="114"/>
  <c r="CC64" i="114"/>
  <c r="CE64" i="114"/>
  <c r="U65" i="114"/>
  <c r="BA65" i="114"/>
  <c r="BB65" i="114"/>
  <c r="CC65" i="114"/>
  <c r="CE65" i="114"/>
  <c r="U66" i="114"/>
  <c r="BA66" i="114"/>
  <c r="BB66" i="114"/>
  <c r="CC66" i="114"/>
  <c r="CE66" i="114"/>
  <c r="G67" i="114"/>
  <c r="BA67" i="114"/>
  <c r="CU13" i="117"/>
  <c r="CV13" i="117" s="1"/>
  <c r="H13" i="117" s="1"/>
  <c r="CU14" i="117"/>
  <c r="CV14" i="117" s="1"/>
  <c r="H14" i="117" s="1"/>
  <c r="CU18" i="117"/>
  <c r="CV18" i="117" s="1"/>
  <c r="CU19" i="117"/>
  <c r="CV19" i="117" s="1"/>
  <c r="CU21" i="117"/>
  <c r="CV21" i="117" s="1"/>
  <c r="CU22" i="117"/>
  <c r="CV22" i="117" s="1"/>
  <c r="CU24" i="117"/>
  <c r="CV24" i="117" s="1"/>
  <c r="H24" i="117" s="1"/>
  <c r="CU26" i="117"/>
  <c r="CV26" i="117" s="1"/>
  <c r="H26" i="117" s="1"/>
  <c r="F82" i="23"/>
  <c r="U143" i="109" l="1"/>
  <c r="BB143" i="109" s="1"/>
  <c r="BB142" i="109"/>
  <c r="AD209" i="84"/>
  <c r="AD36" i="84"/>
  <c r="K193" i="113"/>
  <c r="I193" i="113"/>
  <c r="Q102" i="103"/>
  <c r="BB102" i="103" s="1"/>
  <c r="BB100" i="103"/>
  <c r="G39" i="98"/>
  <c r="G51" i="98" s="1"/>
  <c r="BA26" i="98"/>
  <c r="M27" i="87"/>
  <c r="E101" i="87" s="1"/>
  <c r="H103" i="25" s="1"/>
  <c r="M14" i="25" s="1"/>
  <c r="M15" i="25" s="1"/>
  <c r="K45" i="99"/>
  <c r="K200" i="113"/>
  <c r="I200" i="113"/>
  <c r="D238" i="109"/>
  <c r="CB238" i="109" s="1"/>
  <c r="CB11" i="109" s="1"/>
  <c r="Z135" i="109"/>
  <c r="U125" i="109"/>
  <c r="BB125" i="109" s="1"/>
  <c r="BB122" i="109"/>
  <c r="J102" i="103"/>
  <c r="G98" i="100"/>
  <c r="E112" i="84"/>
  <c r="H108" i="84"/>
  <c r="H112" i="84" s="1"/>
  <c r="D240" i="109"/>
  <c r="CB240" i="109" s="1"/>
  <c r="Z137" i="109"/>
  <c r="G139" i="114"/>
  <c r="D138" i="114"/>
  <c r="K246" i="113"/>
  <c r="I246" i="113"/>
  <c r="K239" i="113"/>
  <c r="I239" i="113"/>
  <c r="K264" i="113"/>
  <c r="I264" i="113"/>
  <c r="L136" i="112"/>
  <c r="L138" i="112" s="1"/>
  <c r="I136" i="112"/>
  <c r="L127" i="112"/>
  <c r="I127" i="112"/>
  <c r="AC209" i="84"/>
  <c r="AC36" i="84"/>
  <c r="CC57" i="98"/>
  <c r="CG114" i="93"/>
  <c r="CB114" i="93"/>
  <c r="BF15" i="87"/>
  <c r="BF27" i="87" s="1"/>
  <c r="BF31" i="87" s="1"/>
  <c r="J27" i="87"/>
  <c r="CG74" i="71"/>
  <c r="G145" i="113"/>
  <c r="I217" i="113"/>
  <c r="CE157" i="112"/>
  <c r="G267" i="113"/>
  <c r="CE22" i="102"/>
  <c r="BA61" i="103"/>
  <c r="BA51" i="102"/>
  <c r="H69" i="99"/>
  <c r="AC58" i="82"/>
  <c r="J78" i="105"/>
  <c r="J79" i="105" s="1"/>
  <c r="J26" i="105"/>
  <c r="J27" i="105" s="1"/>
  <c r="D154" i="114"/>
  <c r="CG145" i="114" s="1"/>
  <c r="K257" i="113"/>
  <c r="I250" i="113"/>
  <c r="L117" i="113"/>
  <c r="L124" i="113" s="1"/>
  <c r="L145" i="113" s="1"/>
  <c r="K146" i="112"/>
  <c r="F108" i="110"/>
  <c r="CD108" i="110" s="1"/>
  <c r="CD9" i="110" s="1"/>
  <c r="Z136" i="109"/>
  <c r="Z129" i="109"/>
  <c r="BB24" i="96"/>
  <c r="E24" i="84"/>
  <c r="BC14" i="84"/>
  <c r="CC12" i="84"/>
  <c r="CB48" i="80"/>
  <c r="CB7" i="80" s="1"/>
  <c r="J70" i="99"/>
  <c r="J72" i="99" s="1"/>
  <c r="J74" i="99" s="1"/>
  <c r="J95" i="99" s="1"/>
  <c r="F36" i="23"/>
  <c r="I102" i="103"/>
  <c r="BC66" i="75"/>
  <c r="BC69" i="75" s="1"/>
  <c r="J51" i="105"/>
  <c r="CA7" i="87"/>
  <c r="I152" i="112"/>
  <c r="I195" i="113"/>
  <c r="I196" i="113" s="1"/>
  <c r="I155" i="114"/>
  <c r="BA49" i="103"/>
  <c r="BA101" i="103"/>
  <c r="BA71" i="103"/>
  <c r="M102" i="103"/>
  <c r="CK26" i="112"/>
  <c r="L139" i="114"/>
  <c r="I203" i="113"/>
  <c r="F124" i="113"/>
  <c r="F145" i="113" s="1"/>
  <c r="I141" i="112"/>
  <c r="BA141" i="109"/>
  <c r="L128" i="112"/>
  <c r="E109" i="111"/>
  <c r="J38" i="111"/>
  <c r="J142" i="109"/>
  <c r="I122" i="109"/>
  <c r="K27" i="66"/>
  <c r="K40" i="66" s="1"/>
  <c r="K52" i="66" s="1"/>
  <c r="J134" i="24"/>
  <c r="H242" i="113"/>
  <c r="BC23" i="75"/>
  <c r="AH58" i="82"/>
  <c r="L155" i="114"/>
  <c r="G155" i="114"/>
  <c r="F155" i="114"/>
  <c r="BA29" i="103"/>
  <c r="AF58" i="82"/>
  <c r="K75" i="112"/>
  <c r="I89" i="112" s="1"/>
  <c r="K216" i="113"/>
  <c r="K255" i="113"/>
  <c r="K267" i="113" s="1"/>
  <c r="L115" i="113"/>
  <c r="M44" i="113"/>
  <c r="K147" i="112"/>
  <c r="K153" i="112" s="1"/>
  <c r="I132" i="112"/>
  <c r="D234" i="109"/>
  <c r="CB234" i="109" s="1"/>
  <c r="I260" i="113"/>
  <c r="I258" i="113"/>
  <c r="I249" i="113"/>
  <c r="I252" i="113" s="1"/>
  <c r="K117" i="113"/>
  <c r="I149" i="112"/>
  <c r="BA90" i="100"/>
  <c r="J125" i="109"/>
  <c r="BA125" i="109" s="1"/>
  <c r="CE113" i="93"/>
  <c r="BA42" i="101"/>
  <c r="BA67" i="100"/>
  <c r="I261" i="113"/>
  <c r="I248" i="113"/>
  <c r="L206" i="113"/>
  <c r="I210" i="113"/>
  <c r="CG53" i="112"/>
  <c r="CI53" i="112" s="1"/>
  <c r="I139" i="109"/>
  <c r="Z139" i="109" s="1"/>
  <c r="G242" i="113"/>
  <c r="G221" i="113"/>
  <c r="G102" i="103"/>
  <c r="BA38" i="98"/>
  <c r="BA51" i="98"/>
  <c r="CA7" i="93"/>
  <c r="F102" i="103"/>
  <c r="CF10" i="99"/>
  <c r="K265" i="113"/>
  <c r="I247" i="113"/>
  <c r="K241" i="113"/>
  <c r="I219" i="113"/>
  <c r="Z134" i="109"/>
  <c r="G51" i="105"/>
  <c r="CB7" i="105"/>
  <c r="BB92" i="100"/>
  <c r="CE94" i="100"/>
  <c r="J73" i="93"/>
  <c r="AC219" i="82"/>
  <c r="BG205" i="71"/>
  <c r="I122" i="24"/>
  <c r="H39" i="111"/>
  <c r="J155" i="114"/>
  <c r="H196" i="113"/>
  <c r="G153" i="112"/>
  <c r="BA104" i="109"/>
  <c r="H267" i="113"/>
  <c r="CF57" i="70"/>
  <c r="I215" i="113"/>
  <c r="BB109" i="106"/>
  <c r="BA92" i="100"/>
  <c r="BB90" i="100"/>
  <c r="BA39" i="98"/>
  <c r="E109" i="106"/>
  <c r="AE36" i="84"/>
  <c r="BA45" i="100"/>
  <c r="F128" i="112"/>
  <c r="BA122" i="109"/>
  <c r="BA115" i="109"/>
  <c r="CG22" i="102"/>
  <c r="BA109" i="106"/>
  <c r="F138" i="112"/>
  <c r="F102" i="84"/>
  <c r="H45" i="99"/>
  <c r="E15" i="87"/>
  <c r="E27" i="87" s="1"/>
  <c r="AD58" i="82"/>
  <c r="H94" i="25"/>
  <c r="G30" i="9" s="1"/>
  <c r="F30" i="9" s="1"/>
  <c r="N30" i="9" s="1"/>
  <c r="E142" i="11"/>
  <c r="H150" i="23"/>
  <c r="H129" i="23"/>
  <c r="H134" i="23" s="1"/>
  <c r="H102" i="23"/>
  <c r="G42" i="9" s="1"/>
  <c r="H133" i="23"/>
  <c r="G44" i="9" s="1"/>
  <c r="F84" i="23"/>
  <c r="H84" i="23" s="1"/>
  <c r="H36" i="23"/>
  <c r="G39" i="9" s="1"/>
  <c r="L40" i="9"/>
  <c r="BA142" i="109"/>
  <c r="BC205" i="71"/>
  <c r="CB192" i="71"/>
  <c r="L267" i="113"/>
  <c r="AI58" i="82"/>
  <c r="I262" i="113"/>
  <c r="I236" i="113"/>
  <c r="I242" i="113" s="1"/>
  <c r="CC7" i="105"/>
  <c r="F45" i="100"/>
  <c r="I246" i="80"/>
  <c r="CC12" i="73"/>
  <c r="CC7" i="73" s="1"/>
  <c r="F110" i="106"/>
  <c r="L221" i="113"/>
  <c r="CG123" i="113"/>
  <c r="CI123" i="113" s="1"/>
  <c r="H35" i="23"/>
  <c r="F25" i="23"/>
  <c r="F28" i="9" s="1"/>
  <c r="N28" i="9" s="1"/>
  <c r="N35" i="9" s="1"/>
  <c r="F263" i="23"/>
  <c r="H58" i="82"/>
  <c r="AE58" i="82"/>
  <c r="L43" i="9"/>
  <c r="Q139" i="114"/>
  <c r="K245" i="113"/>
  <c r="K252" i="113" s="1"/>
  <c r="K238" i="113"/>
  <c r="K242" i="113" s="1"/>
  <c r="K217" i="113"/>
  <c r="K195" i="113"/>
  <c r="H124" i="113"/>
  <c r="H145" i="113" s="1"/>
  <c r="CH234" i="113"/>
  <c r="CH268" i="113" s="1"/>
  <c r="CH270" i="113" s="1"/>
  <c r="G270" i="113" s="1"/>
  <c r="I150" i="112"/>
  <c r="I148" i="112"/>
  <c r="I144" i="112"/>
  <c r="I142" i="112"/>
  <c r="I153" i="112" s="1"/>
  <c r="I133" i="112"/>
  <c r="I126" i="112"/>
  <c r="I122" i="112"/>
  <c r="I128" i="112" s="1"/>
  <c r="J39" i="111"/>
  <c r="BA139" i="109"/>
  <c r="BA113" i="109"/>
  <c r="CL71" i="109"/>
  <c r="BA100" i="103"/>
  <c r="BB74" i="96"/>
  <c r="G73" i="93"/>
  <c r="L246" i="80"/>
  <c r="H246" i="80"/>
  <c r="H34" i="78"/>
  <c r="H56" i="78" s="1"/>
  <c r="H133" i="19" s="1"/>
  <c r="K36" i="76"/>
  <c r="CC13" i="73"/>
  <c r="I113" i="109"/>
  <c r="Z113" i="109" s="1"/>
  <c r="BC83" i="84"/>
  <c r="BC91" i="84" s="1"/>
  <c r="BC102" i="84" s="1"/>
  <c r="AL36" i="84"/>
  <c r="AJ36" i="84"/>
  <c r="AH36" i="84"/>
  <c r="AF36" i="84"/>
  <c r="F66" i="23"/>
  <c r="L252" i="113"/>
  <c r="CG53" i="113"/>
  <c r="CI53" i="113" s="1"/>
  <c r="F36" i="84"/>
  <c r="F206" i="113"/>
  <c r="J136" i="24"/>
  <c r="H263" i="23"/>
  <c r="H58" i="22"/>
  <c r="G15" i="9" s="1"/>
  <c r="F15" i="9" s="1"/>
  <c r="N15" i="9" s="1"/>
  <c r="H64" i="13"/>
  <c r="G128" i="112"/>
  <c r="G154" i="112" s="1"/>
  <c r="G157" i="112" s="1"/>
  <c r="G78" i="105"/>
  <c r="G79" i="105" s="1"/>
  <c r="H153" i="112"/>
  <c r="H154" i="112" s="1"/>
  <c r="H157" i="112" s="1"/>
  <c r="O102" i="103"/>
  <c r="H36" i="84"/>
  <c r="AK58" i="82"/>
  <c r="BC48" i="75"/>
  <c r="F104" i="87"/>
  <c r="I266" i="113"/>
  <c r="I256" i="113"/>
  <c r="I267" i="113" s="1"/>
  <c r="I202" i="113"/>
  <c r="J117" i="113"/>
  <c r="J124" i="113" s="1"/>
  <c r="J145" i="113" s="1"/>
  <c r="F67" i="100"/>
  <c r="M246" i="80"/>
  <c r="AF219" i="82"/>
  <c r="J83" i="24"/>
  <c r="G222" i="113"/>
  <c r="G225" i="113" s="1"/>
  <c r="G26" i="105"/>
  <c r="G27" i="105" s="1"/>
  <c r="CD22" i="102"/>
  <c r="I157" i="113"/>
  <c r="I220" i="113"/>
  <c r="I212" i="113"/>
  <c r="I194" i="113"/>
  <c r="BB61" i="96"/>
  <c r="I122" i="86"/>
  <c r="K246" i="80"/>
  <c r="G246" i="80"/>
  <c r="L107" i="80"/>
  <c r="G34" i="78"/>
  <c r="J34" i="78" s="1"/>
  <c r="I57" i="76"/>
  <c r="I36" i="76"/>
  <c r="I58" i="76" s="1"/>
  <c r="E18" i="73"/>
  <c r="E23" i="73" s="1"/>
  <c r="CB13" i="73"/>
  <c r="I115" i="109"/>
  <c r="Z115" i="109" s="1"/>
  <c r="L118" i="94"/>
  <c r="H118" i="94"/>
  <c r="BE15" i="87"/>
  <c r="BE27" i="87" s="1"/>
  <c r="BE31" i="87" s="1"/>
  <c r="E22" i="9"/>
  <c r="F221" i="113"/>
  <c r="L196" i="113"/>
  <c r="K39" i="66"/>
  <c r="G134" i="24"/>
  <c r="G136" i="24" s="1"/>
  <c r="F150" i="23"/>
  <c r="L32" i="9"/>
  <c r="P102" i="103"/>
  <c r="K102" i="103"/>
  <c r="BC65" i="84"/>
  <c r="AG58" i="82"/>
  <c r="AJ58" i="82"/>
  <c r="H27" i="66"/>
  <c r="H40" i="66" s="1"/>
  <c r="H52" i="66" s="1"/>
  <c r="AM58" i="82"/>
  <c r="AL58" i="82"/>
  <c r="L22" i="9"/>
  <c r="L44" i="9"/>
  <c r="L34" i="9"/>
  <c r="N29" i="9"/>
  <c r="L30" i="9"/>
  <c r="L29" i="9"/>
  <c r="E126" i="11" s="1"/>
  <c r="E131" i="11" s="1"/>
  <c r="E24" i="11" s="1"/>
  <c r="L20" i="9"/>
  <c r="G33" i="9"/>
  <c r="F21" i="9"/>
  <c r="M79" i="13"/>
  <c r="E128" i="22"/>
  <c r="E129" i="22"/>
  <c r="E139" i="11"/>
  <c r="E141" i="11" s="1"/>
  <c r="F58" i="22"/>
  <c r="H109" i="23"/>
  <c r="H113" i="23" s="1"/>
  <c r="H25" i="23"/>
  <c r="G28" i="9" s="1"/>
  <c r="F33" i="9"/>
  <c r="N33" i="9" s="1"/>
  <c r="F102" i="23"/>
  <c r="F42" i="9" s="1"/>
  <c r="N42" i="9" s="1"/>
  <c r="E36" i="23"/>
  <c r="J72" i="24"/>
  <c r="E29" i="30"/>
  <c r="F138" i="82"/>
  <c r="E127" i="82"/>
  <c r="F126" i="82"/>
  <c r="W108" i="84"/>
  <c r="L57" i="76"/>
  <c r="J57" i="76"/>
  <c r="H57" i="76"/>
  <c r="F57" i="76"/>
  <c r="L36" i="76"/>
  <c r="J36" i="76"/>
  <c r="H36" i="76"/>
  <c r="H58" i="76" s="1"/>
  <c r="F36" i="76"/>
  <c r="CB12" i="73"/>
  <c r="CB31" i="71"/>
  <c r="CB28" i="71"/>
  <c r="CB29" i="70"/>
  <c r="CB7" i="70" s="1"/>
  <c r="L242" i="113"/>
  <c r="F252" i="113"/>
  <c r="H222" i="113"/>
  <c r="H225" i="113" s="1"/>
  <c r="L153" i="112"/>
  <c r="J56" i="12"/>
  <c r="J58" i="12" s="1"/>
  <c r="I139" i="24"/>
  <c r="R139" i="114"/>
  <c r="P139" i="114"/>
  <c r="E23" i="65"/>
  <c r="E54" i="65" s="1"/>
  <c r="F242" i="113"/>
  <c r="F267" i="113"/>
  <c r="F196" i="113"/>
  <c r="CE225" i="113"/>
  <c r="F153" i="112"/>
  <c r="J77" i="13"/>
  <c r="J79" i="13" s="1"/>
  <c r="E137" i="11"/>
  <c r="E143" i="11"/>
  <c r="J21" i="10"/>
  <c r="E38" i="8" s="1"/>
  <c r="H45" i="10"/>
  <c r="J71" i="111"/>
  <c r="CU169" i="109"/>
  <c r="CB28" i="104"/>
  <c r="H74" i="97"/>
  <c r="H77" i="97" s="1"/>
  <c r="BC18" i="73"/>
  <c r="BC23" i="73" s="1"/>
  <c r="CB7" i="69"/>
  <c r="BC27" i="69"/>
  <c r="BC44" i="69" s="1"/>
  <c r="CC42" i="69" s="1"/>
  <c r="CE42" i="69" s="1"/>
  <c r="CB71" i="111"/>
  <c r="CB7" i="111" s="1"/>
  <c r="K97" i="21"/>
  <c r="K107" i="21" s="1"/>
  <c r="K96" i="21"/>
  <c r="L97" i="21"/>
  <c r="L107" i="21" s="1"/>
  <c r="E96" i="21"/>
  <c r="H107" i="21"/>
  <c r="G107" i="21"/>
  <c r="F107" i="21"/>
  <c r="E107" i="21"/>
  <c r="CC7" i="100"/>
  <c r="H92" i="23"/>
  <c r="H20" i="117"/>
  <c r="H17" i="117"/>
  <c r="CG144" i="114"/>
  <c r="G124" i="114"/>
  <c r="CE7" i="114"/>
  <c r="CC7" i="114"/>
  <c r="U67" i="114"/>
  <c r="U124" i="114" s="1"/>
  <c r="CJ222" i="113"/>
  <c r="L188" i="113"/>
  <c r="CE222" i="113"/>
  <c r="K188" i="113"/>
  <c r="I188" i="113"/>
  <c r="M144" i="113"/>
  <c r="CG143" i="113"/>
  <c r="CI143" i="113" s="1"/>
  <c r="M74" i="113"/>
  <c r="CG73" i="113"/>
  <c r="CI73" i="113" s="1"/>
  <c r="M54" i="113"/>
  <c r="CB46" i="113"/>
  <c r="CB7" i="113" s="1"/>
  <c r="N172" i="113"/>
  <c r="N171" i="113"/>
  <c r="N170" i="113"/>
  <c r="N169" i="113"/>
  <c r="N168" i="113"/>
  <c r="N167" i="113"/>
  <c r="CJ154" i="112"/>
  <c r="L120" i="112"/>
  <c r="CE154" i="112"/>
  <c r="K120" i="112"/>
  <c r="I120" i="112"/>
  <c r="M74" i="112"/>
  <c r="CG73" i="112"/>
  <c r="CI73" i="112" s="1"/>
  <c r="M54" i="112"/>
  <c r="CB46" i="112"/>
  <c r="CB7" i="112" s="1"/>
  <c r="CK25" i="112"/>
  <c r="F107" i="111"/>
  <c r="F109" i="111" s="1"/>
  <c r="H85" i="111"/>
  <c r="H107" i="111" s="1"/>
  <c r="H109" i="111" s="1"/>
  <c r="CV197" i="109"/>
  <c r="CR197" i="109"/>
  <c r="CU197" i="109" s="1"/>
  <c r="CV196" i="109"/>
  <c r="CT196" i="109"/>
  <c r="CU196" i="109" s="1"/>
  <c r="CV195" i="109"/>
  <c r="CQ195" i="109"/>
  <c r="CU195" i="109" s="1"/>
  <c r="CV194" i="109"/>
  <c r="CS194" i="109"/>
  <c r="CU194" i="109" s="1"/>
  <c r="CV193" i="109"/>
  <c r="CQ193" i="109"/>
  <c r="CU193" i="109" s="1"/>
  <c r="CV191" i="109"/>
  <c r="CQ191" i="109"/>
  <c r="CU191" i="109" s="1"/>
  <c r="CV190" i="109"/>
  <c r="CQ190" i="109"/>
  <c r="CU190" i="109" s="1"/>
  <c r="CV189" i="109"/>
  <c r="CQ189" i="109"/>
  <c r="CU189" i="109" s="1"/>
  <c r="CV188" i="109"/>
  <c r="CV11" i="109" s="1"/>
  <c r="CQ188" i="109"/>
  <c r="CU188" i="109" s="1"/>
  <c r="CV187" i="109"/>
  <c r="CQ187" i="109"/>
  <c r="CU187" i="109" s="1"/>
  <c r="CQ184" i="109"/>
  <c r="CU172" i="109"/>
  <c r="D40" i="115"/>
  <c r="I221" i="113"/>
  <c r="K206" i="113"/>
  <c r="K196" i="113"/>
  <c r="CI225" i="113"/>
  <c r="CH225" i="113"/>
  <c r="CJ224" i="113"/>
  <c r="F224" i="113"/>
  <c r="CG225" i="113"/>
  <c r="CI270" i="113"/>
  <c r="H270" i="113" s="1"/>
  <c r="CD268" i="113"/>
  <c r="CD271" i="113" s="1"/>
  <c r="H234" i="113"/>
  <c r="CF124" i="113"/>
  <c r="CF7" i="113" s="1"/>
  <c r="K124" i="113"/>
  <c r="K145" i="113" s="1"/>
  <c r="M117" i="113"/>
  <c r="M124" i="113" s="1"/>
  <c r="CC268" i="113"/>
  <c r="CC271" i="113" s="1"/>
  <c r="CG268" i="113"/>
  <c r="CB234" i="113"/>
  <c r="K91" i="113"/>
  <c r="K115" i="113" s="1"/>
  <c r="M82" i="113"/>
  <c r="M91" i="113" s="1"/>
  <c r="M115" i="113" s="1"/>
  <c r="K138" i="112"/>
  <c r="K128" i="112"/>
  <c r="CI157" i="112"/>
  <c r="CH157" i="112"/>
  <c r="CJ156" i="112"/>
  <c r="F156" i="112"/>
  <c r="CG157" i="112"/>
  <c r="F88" i="112"/>
  <c r="Z122" i="109"/>
  <c r="CE102" i="109"/>
  <c r="CC102" i="109"/>
  <c r="CE101" i="109"/>
  <c r="CC101" i="109"/>
  <c r="CE100" i="109"/>
  <c r="CC100" i="109"/>
  <c r="Z103" i="109"/>
  <c r="Z124" i="109" s="1"/>
  <c r="CE99" i="109"/>
  <c r="CC99" i="109"/>
  <c r="I123" i="109"/>
  <c r="D180" i="109"/>
  <c r="CC180" i="109" s="1"/>
  <c r="CE96" i="109"/>
  <c r="CC96" i="109"/>
  <c r="D179" i="109"/>
  <c r="CC179" i="109" s="1"/>
  <c r="CE95" i="109"/>
  <c r="CC95" i="109"/>
  <c r="D178" i="109"/>
  <c r="CC178" i="109" s="1"/>
  <c r="CE94" i="109"/>
  <c r="CC94" i="109"/>
  <c r="D177" i="109"/>
  <c r="CC177" i="109" s="1"/>
  <c r="CE93" i="109"/>
  <c r="CC93" i="109"/>
  <c r="D176" i="109"/>
  <c r="CC176" i="109" s="1"/>
  <c r="CE92" i="109"/>
  <c r="CC92" i="109"/>
  <c r="D175" i="109"/>
  <c r="CC175" i="109" s="1"/>
  <c r="CE91" i="109"/>
  <c r="CC91" i="109"/>
  <c r="D174" i="109"/>
  <c r="CC174" i="109" s="1"/>
  <c r="CE90" i="109"/>
  <c r="CC90" i="109"/>
  <c r="D173" i="109"/>
  <c r="CC173" i="109" s="1"/>
  <c r="CE89" i="109"/>
  <c r="CC89" i="109"/>
  <c r="D172" i="109"/>
  <c r="CC172" i="109" s="1"/>
  <c r="CE88" i="109"/>
  <c r="CC88" i="109"/>
  <c r="D171" i="109"/>
  <c r="CC171" i="109" s="1"/>
  <c r="CE87" i="109"/>
  <c r="CC87" i="109"/>
  <c r="D225" i="109"/>
  <c r="CC225" i="109" s="1"/>
  <c r="B225" i="109"/>
  <c r="CE85" i="109"/>
  <c r="CC85" i="109"/>
  <c r="D224" i="109"/>
  <c r="CC224" i="109" s="1"/>
  <c r="B224" i="109"/>
  <c r="CE84" i="109"/>
  <c r="CC84" i="109"/>
  <c r="D223" i="109"/>
  <c r="CC223" i="109" s="1"/>
  <c r="B223" i="109"/>
  <c r="CE83" i="109"/>
  <c r="CC83" i="109"/>
  <c r="D222" i="109"/>
  <c r="CC222" i="109" s="1"/>
  <c r="B222" i="109"/>
  <c r="CE82" i="109"/>
  <c r="CC82" i="109"/>
  <c r="D221" i="109"/>
  <c r="CC221" i="109" s="1"/>
  <c r="B221" i="109"/>
  <c r="CE81" i="109"/>
  <c r="CC81" i="109"/>
  <c r="D220" i="109"/>
  <c r="CC220" i="109" s="1"/>
  <c r="B220" i="109"/>
  <c r="CE80" i="109"/>
  <c r="CC80" i="109"/>
  <c r="D219" i="109"/>
  <c r="CC219" i="109" s="1"/>
  <c r="B219" i="109"/>
  <c r="CE79" i="109"/>
  <c r="CC79" i="109"/>
  <c r="D218" i="109"/>
  <c r="CC218" i="109" s="1"/>
  <c r="B218" i="109"/>
  <c r="CE78" i="109"/>
  <c r="CC78" i="109"/>
  <c r="D217" i="109"/>
  <c r="CC217" i="109" s="1"/>
  <c r="B217" i="109"/>
  <c r="CE77" i="109"/>
  <c r="CC77" i="109"/>
  <c r="CA11" i="109"/>
  <c r="D216" i="109"/>
  <c r="CC216" i="109" s="1"/>
  <c r="B216" i="109"/>
  <c r="Z97" i="109"/>
  <c r="Z123" i="109" s="1"/>
  <c r="CE76" i="109"/>
  <c r="CC76" i="109"/>
  <c r="CE72" i="109"/>
  <c r="CC72" i="109"/>
  <c r="CE71" i="109"/>
  <c r="CC71" i="109"/>
  <c r="CE70" i="109"/>
  <c r="CC70" i="109"/>
  <c r="Z73" i="109"/>
  <c r="CE69" i="109"/>
  <c r="CC69" i="109"/>
  <c r="I104" i="109"/>
  <c r="D170" i="109"/>
  <c r="CC170" i="109" s="1"/>
  <c r="CE66" i="109"/>
  <c r="CC66" i="109"/>
  <c r="D169" i="109"/>
  <c r="CC169" i="109" s="1"/>
  <c r="CE65" i="109"/>
  <c r="CC65" i="109"/>
  <c r="D168" i="109"/>
  <c r="CC168" i="109" s="1"/>
  <c r="CE64" i="109"/>
  <c r="CC64" i="109"/>
  <c r="D167" i="109"/>
  <c r="CC167" i="109" s="1"/>
  <c r="CE63" i="109"/>
  <c r="CC63" i="109"/>
  <c r="D166" i="109"/>
  <c r="CC166" i="109" s="1"/>
  <c r="CE62" i="109"/>
  <c r="CC62" i="109"/>
  <c r="D165" i="109"/>
  <c r="CC165" i="109" s="1"/>
  <c r="CE61" i="109"/>
  <c r="CC61" i="109"/>
  <c r="D164" i="109"/>
  <c r="CC164" i="109" s="1"/>
  <c r="CE60" i="109"/>
  <c r="CC60" i="109"/>
  <c r="D163" i="109"/>
  <c r="CC163" i="109" s="1"/>
  <c r="CE59" i="109"/>
  <c r="CC59" i="109"/>
  <c r="D162" i="109"/>
  <c r="CC162" i="109" s="1"/>
  <c r="CE58" i="109"/>
  <c r="CC58" i="109"/>
  <c r="D161" i="109"/>
  <c r="CC161" i="109" s="1"/>
  <c r="CE57" i="109"/>
  <c r="CC57" i="109"/>
  <c r="D160" i="109"/>
  <c r="CC160" i="109" s="1"/>
  <c r="CE56" i="109"/>
  <c r="CC56" i="109"/>
  <c r="D159" i="109"/>
  <c r="CC159" i="109" s="1"/>
  <c r="CE55" i="109"/>
  <c r="CC55" i="109"/>
  <c r="D158" i="109"/>
  <c r="CC158" i="109" s="1"/>
  <c r="CE54" i="109"/>
  <c r="CC54" i="109"/>
  <c r="D157" i="109"/>
  <c r="CC157" i="109" s="1"/>
  <c r="CE53" i="109"/>
  <c r="CC53" i="109"/>
  <c r="D156" i="109"/>
  <c r="CC156" i="109" s="1"/>
  <c r="CE52" i="109"/>
  <c r="CC52" i="109"/>
  <c r="D155" i="109"/>
  <c r="CC155" i="109" s="1"/>
  <c r="CE51" i="109"/>
  <c r="CC51" i="109"/>
  <c r="D154" i="109"/>
  <c r="CC154" i="109" s="1"/>
  <c r="CE50" i="109"/>
  <c r="CC50" i="109"/>
  <c r="D153" i="109"/>
  <c r="CC153" i="109" s="1"/>
  <c r="CE49" i="109"/>
  <c r="CC49" i="109"/>
  <c r="D152" i="109"/>
  <c r="CC152" i="109" s="1"/>
  <c r="CE48" i="109"/>
  <c r="CC48" i="109"/>
  <c r="D151" i="109"/>
  <c r="CC151" i="109" s="1"/>
  <c r="Z67" i="109"/>
  <c r="CE47" i="109"/>
  <c r="CC47" i="109"/>
  <c r="D215" i="109"/>
  <c r="CC215" i="109" s="1"/>
  <c r="B215" i="109"/>
  <c r="CE45" i="109"/>
  <c r="CC45" i="109"/>
  <c r="D214" i="109"/>
  <c r="CC214" i="109" s="1"/>
  <c r="B214" i="109"/>
  <c r="CE44" i="109"/>
  <c r="CC44" i="109"/>
  <c r="D213" i="109"/>
  <c r="CC213" i="109" s="1"/>
  <c r="B213" i="109"/>
  <c r="CE43" i="109"/>
  <c r="CC43" i="109"/>
  <c r="D212" i="109"/>
  <c r="CC212" i="109" s="1"/>
  <c r="B212" i="109"/>
  <c r="CE42" i="109"/>
  <c r="CC42" i="109"/>
  <c r="D211" i="109"/>
  <c r="CC211" i="109" s="1"/>
  <c r="B211" i="109"/>
  <c r="CE41" i="109"/>
  <c r="CC41" i="109"/>
  <c r="D210" i="109"/>
  <c r="CC210" i="109" s="1"/>
  <c r="B210" i="109"/>
  <c r="CE40" i="109"/>
  <c r="CC40" i="109"/>
  <c r="D209" i="109"/>
  <c r="CC209" i="109" s="1"/>
  <c r="B209" i="109"/>
  <c r="CE39" i="109"/>
  <c r="CC39" i="109"/>
  <c r="D208" i="109"/>
  <c r="CC208" i="109" s="1"/>
  <c r="B208" i="109"/>
  <c r="CE38" i="109"/>
  <c r="CC38" i="109"/>
  <c r="D207" i="109"/>
  <c r="CC207" i="109" s="1"/>
  <c r="B207" i="109"/>
  <c r="CE37" i="109"/>
  <c r="CC37" i="109"/>
  <c r="D206" i="109"/>
  <c r="CC206" i="109" s="1"/>
  <c r="B206" i="109"/>
  <c r="CE36" i="109"/>
  <c r="CC36" i="109"/>
  <c r="D205" i="109"/>
  <c r="CC205" i="109" s="1"/>
  <c r="B205" i="109"/>
  <c r="CE35" i="109"/>
  <c r="CC35" i="109"/>
  <c r="D204" i="109"/>
  <c r="CC204" i="109" s="1"/>
  <c r="B204" i="109"/>
  <c r="CE34" i="109"/>
  <c r="CC34" i="109"/>
  <c r="D203" i="109"/>
  <c r="CC203" i="109" s="1"/>
  <c r="B203" i="109"/>
  <c r="CE33" i="109"/>
  <c r="CC33" i="109"/>
  <c r="D202" i="109"/>
  <c r="CC202" i="109" s="1"/>
  <c r="B202" i="109"/>
  <c r="CE32" i="109"/>
  <c r="CC32" i="109"/>
  <c r="D201" i="109"/>
  <c r="CC201" i="109" s="1"/>
  <c r="B201" i="109"/>
  <c r="CE31" i="109"/>
  <c r="CC31" i="109"/>
  <c r="D200" i="109"/>
  <c r="CC200" i="109" s="1"/>
  <c r="B200" i="109"/>
  <c r="CE30" i="109"/>
  <c r="CC30" i="109"/>
  <c r="D199" i="109"/>
  <c r="CC199" i="109" s="1"/>
  <c r="B199" i="109"/>
  <c r="CE29" i="109"/>
  <c r="CC29" i="109"/>
  <c r="D198" i="109"/>
  <c r="CC198" i="109" s="1"/>
  <c r="B198" i="109"/>
  <c r="CE28" i="109"/>
  <c r="CC28" i="109"/>
  <c r="D197" i="109"/>
  <c r="CC197" i="109" s="1"/>
  <c r="B197" i="109"/>
  <c r="CE27" i="109"/>
  <c r="CC27" i="109"/>
  <c r="D196" i="109"/>
  <c r="CC196" i="109" s="1"/>
  <c r="B196" i="109"/>
  <c r="CE26" i="109"/>
  <c r="CC26" i="109"/>
  <c r="D195" i="109"/>
  <c r="CC195" i="109" s="1"/>
  <c r="B195" i="109"/>
  <c r="CE25" i="109"/>
  <c r="CC25" i="109"/>
  <c r="D194" i="109"/>
  <c r="CC194" i="109" s="1"/>
  <c r="B194" i="109"/>
  <c r="CE24" i="109"/>
  <c r="CC24" i="109"/>
  <c r="D193" i="109"/>
  <c r="CC193" i="109" s="1"/>
  <c r="B193" i="109"/>
  <c r="CE23" i="109"/>
  <c r="CC23" i="109"/>
  <c r="D192" i="109"/>
  <c r="CC192" i="109" s="1"/>
  <c r="B192" i="109"/>
  <c r="CE22" i="109"/>
  <c r="CC22" i="109"/>
  <c r="D191" i="109"/>
  <c r="CC191" i="109" s="1"/>
  <c r="B191" i="109"/>
  <c r="CE21" i="109"/>
  <c r="CC21" i="109"/>
  <c r="D190" i="109"/>
  <c r="CC190" i="109" s="1"/>
  <c r="B190" i="109"/>
  <c r="CE20" i="109"/>
  <c r="CC20" i="109"/>
  <c r="D189" i="109"/>
  <c r="CC189" i="109" s="1"/>
  <c r="B189" i="109"/>
  <c r="CE19" i="109"/>
  <c r="CC19" i="109"/>
  <c r="D188" i="109"/>
  <c r="CC188" i="109" s="1"/>
  <c r="B188" i="109"/>
  <c r="CE18" i="109"/>
  <c r="CC18" i="109"/>
  <c r="D187" i="109"/>
  <c r="CC187" i="109" s="1"/>
  <c r="B187" i="109"/>
  <c r="CE17" i="109"/>
  <c r="CC17" i="109"/>
  <c r="D186" i="109"/>
  <c r="CC186" i="109" s="1"/>
  <c r="B186" i="109"/>
  <c r="CE16" i="109"/>
  <c r="CC16" i="109"/>
  <c r="D185" i="109"/>
  <c r="CC185" i="109" s="1"/>
  <c r="B185" i="109"/>
  <c r="CE15" i="109"/>
  <c r="CC15" i="109"/>
  <c r="D184" i="109"/>
  <c r="CC184" i="109" s="1"/>
  <c r="B184" i="109"/>
  <c r="CE14" i="109"/>
  <c r="CC14" i="109"/>
  <c r="V72" i="108"/>
  <c r="V64" i="108"/>
  <c r="CG55" i="108"/>
  <c r="CG53" i="108"/>
  <c r="E55" i="108"/>
  <c r="E57" i="108" s="1"/>
  <c r="CI56" i="108" s="1"/>
  <c r="V47" i="108"/>
  <c r="V55" i="108" s="1"/>
  <c r="V57" i="108" s="1"/>
  <c r="E38" i="108"/>
  <c r="G33" i="108"/>
  <c r="G38" i="108" s="1"/>
  <c r="CB6" i="108"/>
  <c r="E105" i="106"/>
  <c r="CB103" i="106"/>
  <c r="CB5" i="106"/>
  <c r="J46" i="105"/>
  <c r="J48" i="105" s="1"/>
  <c r="J50" i="105" s="1"/>
  <c r="J52" i="105" s="1"/>
  <c r="J53" i="105" s="1"/>
  <c r="G46" i="105"/>
  <c r="G48" i="105" s="1"/>
  <c r="G50" i="105" s="1"/>
  <c r="CA8" i="104"/>
  <c r="E58" i="104"/>
  <c r="CB49" i="104"/>
  <c r="E71" i="103"/>
  <c r="E61" i="103"/>
  <c r="E49" i="103"/>
  <c r="E101" i="103"/>
  <c r="E100" i="103"/>
  <c r="E29" i="103"/>
  <c r="CB7" i="102"/>
  <c r="CB7" i="101"/>
  <c r="CA7" i="100"/>
  <c r="CB7" i="100"/>
  <c r="CF11" i="94"/>
  <c r="CE11" i="94"/>
  <c r="CD11" i="94"/>
  <c r="CB11" i="94"/>
  <c r="L109" i="94"/>
  <c r="M115" i="93"/>
  <c r="N112" i="93"/>
  <c r="CB69" i="93"/>
  <c r="M69" i="93"/>
  <c r="M72" i="93" s="1"/>
  <c r="CD10" i="93"/>
  <c r="CD12" i="93"/>
  <c r="M53" i="93"/>
  <c r="H87" i="93"/>
  <c r="H86" i="93"/>
  <c r="H85" i="93"/>
  <c r="H84" i="93"/>
  <c r="H83" i="93"/>
  <c r="H82" i="93"/>
  <c r="G19" i="92"/>
  <c r="I19" i="92" s="1"/>
  <c r="J18" i="92"/>
  <c r="F33" i="91"/>
  <c r="G28" i="91"/>
  <c r="CG106" i="89"/>
  <c r="CD28" i="89"/>
  <c r="CE35" i="89"/>
  <c r="CD35" i="89"/>
  <c r="CB7" i="89"/>
  <c r="H83" i="86"/>
  <c r="CC80" i="86"/>
  <c r="H72" i="86"/>
  <c r="CC69" i="86"/>
  <c r="H61" i="86"/>
  <c r="CC58" i="86"/>
  <c r="CC7" i="86" s="1"/>
  <c r="H122" i="86"/>
  <c r="CE16" i="86"/>
  <c r="J119" i="86"/>
  <c r="J18" i="86"/>
  <c r="J122" i="86" s="1"/>
  <c r="E173" i="23"/>
  <c r="E165" i="23"/>
  <c r="E168" i="23" s="1"/>
  <c r="E173" i="84"/>
  <c r="BC35" i="84"/>
  <c r="E36" i="84"/>
  <c r="CF36" i="84" s="1"/>
  <c r="CG7" i="84"/>
  <c r="BC24" i="84"/>
  <c r="E194" i="22"/>
  <c r="E14" i="9" s="1"/>
  <c r="E182" i="22"/>
  <c r="BC57" i="82"/>
  <c r="F58" i="82"/>
  <c r="E58" i="82"/>
  <c r="CG7" i="82"/>
  <c r="CB7" i="82"/>
  <c r="BC42" i="82"/>
  <c r="H43" i="22"/>
  <c r="F43" i="22"/>
  <c r="BC241" i="80"/>
  <c r="O234" i="80"/>
  <c r="BC229" i="80"/>
  <c r="CA7" i="80"/>
  <c r="J42" i="78"/>
  <c r="I56" i="78"/>
  <c r="I133" i="19" s="1"/>
  <c r="G56" i="78"/>
  <c r="G133" i="19" s="1"/>
  <c r="F56" i="78"/>
  <c r="F133" i="19" s="1"/>
  <c r="E56" i="78"/>
  <c r="J16" i="78"/>
  <c r="M71" i="76"/>
  <c r="M44" i="76"/>
  <c r="L58" i="76"/>
  <c r="K58" i="76"/>
  <c r="J58" i="76"/>
  <c r="G58" i="76"/>
  <c r="E58" i="76"/>
  <c r="M18" i="76"/>
  <c r="E69" i="75"/>
  <c r="CB7" i="75"/>
  <c r="F23" i="73"/>
  <c r="BC50" i="72"/>
  <c r="CB47" i="72"/>
  <c r="BC32" i="72"/>
  <c r="CB29" i="72"/>
  <c r="BC26" i="72"/>
  <c r="CB23" i="72"/>
  <c r="BC20" i="72"/>
  <c r="CB17" i="72"/>
  <c r="E66" i="71"/>
  <c r="CC47" i="71"/>
  <c r="CF7" i="71"/>
  <c r="CD33" i="71"/>
  <c r="BC57" i="71"/>
  <c r="BC66" i="71" s="1"/>
  <c r="CM12" i="71" s="1"/>
  <c r="BC14" i="71"/>
  <c r="CB14" i="71" s="1"/>
  <c r="CC47" i="70"/>
  <c r="E24" i="70"/>
  <c r="CE7" i="70"/>
  <c r="BC19" i="70"/>
  <c r="BC24" i="70" s="1"/>
  <c r="E67" i="69"/>
  <c r="E63" i="11" s="1"/>
  <c r="E64" i="11" s="1"/>
  <c r="E44" i="69"/>
  <c r="CA7" i="69"/>
  <c r="CB7" i="67"/>
  <c r="I48" i="67"/>
  <c r="H48" i="67"/>
  <c r="F48" i="67"/>
  <c r="E48" i="67"/>
  <c r="J17" i="67"/>
  <c r="CA9" i="66"/>
  <c r="E48" i="65"/>
  <c r="H75" i="64"/>
  <c r="J143" i="109"/>
  <c r="I142" i="109"/>
  <c r="Z142" i="109" s="1"/>
  <c r="Z141" i="109"/>
  <c r="E27" i="108"/>
  <c r="CE28" i="108" s="1"/>
  <c r="CE6" i="108" s="1"/>
  <c r="F61" i="107"/>
  <c r="G60" i="107"/>
  <c r="G61" i="107" s="1"/>
  <c r="F25" i="107"/>
  <c r="CC27" i="107" s="1"/>
  <c r="CC4" i="107" s="1"/>
  <c r="G22" i="107"/>
  <c r="G25" i="107" s="1"/>
  <c r="G70" i="100"/>
  <c r="F68" i="100"/>
  <c r="G72" i="99"/>
  <c r="G74" i="99" s="1"/>
  <c r="G95" i="99" s="1"/>
  <c r="H70" i="99"/>
  <c r="H72" i="99" s="1"/>
  <c r="J74" i="97"/>
  <c r="J77" i="97" s="1"/>
  <c r="K61" i="97"/>
  <c r="K74" i="97" s="1"/>
  <c r="K77" i="97" s="1"/>
  <c r="J54" i="97"/>
  <c r="CP69" i="97" s="1"/>
  <c r="K46" i="97"/>
  <c r="K54" i="97" s="1"/>
  <c r="G54" i="97"/>
  <c r="CM70" i="97" s="1"/>
  <c r="H46" i="97"/>
  <c r="H54" i="97" s="1"/>
  <c r="P74" i="96"/>
  <c r="P77" i="96" s="1"/>
  <c r="CG61" i="96"/>
  <c r="M74" i="96"/>
  <c r="M77" i="96" s="1"/>
  <c r="CF61" i="96"/>
  <c r="J74" i="96"/>
  <c r="J77" i="96" s="1"/>
  <c r="CE61" i="96"/>
  <c r="G46" i="96"/>
  <c r="BA46" i="96" s="1"/>
  <c r="G24" i="96"/>
  <c r="BA24" i="96" s="1"/>
  <c r="F22" i="96"/>
  <c r="CG113" i="93"/>
  <c r="CB113" i="93"/>
  <c r="K72" i="93"/>
  <c r="K73" i="93" s="1"/>
  <c r="G105" i="93" s="1"/>
  <c r="H95" i="93"/>
  <c r="G102" i="93"/>
  <c r="L50" i="92"/>
  <c r="K86" i="92"/>
  <c r="L37" i="92"/>
  <c r="H86" i="92"/>
  <c r="I37" i="92"/>
  <c r="K31" i="92"/>
  <c r="L30" i="92"/>
  <c r="H31" i="92"/>
  <c r="I30" i="92"/>
  <c r="I18" i="92"/>
  <c r="L18" i="92"/>
  <c r="H84" i="92"/>
  <c r="K19" i="92"/>
  <c r="F87" i="92"/>
  <c r="F56" i="92" s="1"/>
  <c r="F89" i="92"/>
  <c r="E102" i="87"/>
  <c r="H104" i="25" s="1"/>
  <c r="N14" i="25" s="1"/>
  <c r="N15" i="25" s="1"/>
  <c r="N31" i="87"/>
  <c r="E99" i="87"/>
  <c r="H101" i="25" s="1"/>
  <c r="K14" i="25" s="1"/>
  <c r="K15" i="25" s="1"/>
  <c r="K31" i="87"/>
  <c r="E98" i="87"/>
  <c r="H100" i="25" s="1"/>
  <c r="J14" i="25" s="1"/>
  <c r="J15" i="25" s="1"/>
  <c r="J31" i="87"/>
  <c r="E97" i="87"/>
  <c r="H99" i="25" s="1"/>
  <c r="I14" i="25" s="1"/>
  <c r="I15" i="25" s="1"/>
  <c r="I31" i="87"/>
  <c r="E96" i="87"/>
  <c r="H98" i="25" s="1"/>
  <c r="H14" i="25" s="1"/>
  <c r="H15" i="25" s="1"/>
  <c r="H31" i="87"/>
  <c r="BB27" i="87"/>
  <c r="BB31" i="87" s="1"/>
  <c r="E94" i="87"/>
  <c r="F31" i="87"/>
  <c r="E15" i="21"/>
  <c r="G13" i="9" s="1"/>
  <c r="E80" i="19"/>
  <c r="J80" i="19" s="1"/>
  <c r="J78" i="19"/>
  <c r="J76" i="19"/>
  <c r="E88" i="18"/>
  <c r="M88" i="18" s="1"/>
  <c r="M86" i="18"/>
  <c r="M84" i="18"/>
  <c r="BD18" i="73"/>
  <c r="BD23" i="73" s="1"/>
  <c r="BC48" i="70"/>
  <c r="BC62" i="65"/>
  <c r="CK63" i="64"/>
  <c r="J56" i="64"/>
  <c r="K48" i="64"/>
  <c r="K56" i="64" s="1"/>
  <c r="J76" i="64"/>
  <c r="J79" i="64" s="1"/>
  <c r="K63" i="64"/>
  <c r="K76" i="64" s="1"/>
  <c r="K79" i="64" s="1"/>
  <c r="CJ63" i="64"/>
  <c r="I56" i="64"/>
  <c r="CH63" i="64"/>
  <c r="G56" i="64"/>
  <c r="H48" i="64"/>
  <c r="G76" i="64"/>
  <c r="G79" i="64" s="1"/>
  <c r="H63" i="64"/>
  <c r="CG63" i="64"/>
  <c r="F56" i="64"/>
  <c r="CF63" i="64"/>
  <c r="E56" i="64"/>
  <c r="F33" i="32"/>
  <c r="G40" i="30"/>
  <c r="G45" i="30" s="1"/>
  <c r="J138" i="24"/>
  <c r="J61" i="24"/>
  <c r="H122" i="24"/>
  <c r="J119" i="24"/>
  <c r="J18" i="24"/>
  <c r="J122" i="24" s="1"/>
  <c r="E31" i="9"/>
  <c r="AM210" i="23"/>
  <c r="Q75" i="21" s="1"/>
  <c r="H49" i="21" s="1"/>
  <c r="AL210" i="23"/>
  <c r="P75" i="21" s="1"/>
  <c r="AK210" i="23"/>
  <c r="O75" i="21" s="1"/>
  <c r="AJ210" i="23"/>
  <c r="N75" i="21" s="1"/>
  <c r="AI210" i="23"/>
  <c r="M75" i="21" s="1"/>
  <c r="AH210" i="23"/>
  <c r="L75" i="21" s="1"/>
  <c r="AG210" i="23"/>
  <c r="K75" i="21" s="1"/>
  <c r="U75" i="21" s="1"/>
  <c r="H48" i="21" s="1"/>
  <c r="AF210" i="23"/>
  <c r="J75" i="21" s="1"/>
  <c r="AE210" i="23"/>
  <c r="I75" i="21" s="1"/>
  <c r="AD210" i="23"/>
  <c r="H75" i="21" s="1"/>
  <c r="AC210" i="23"/>
  <c r="G75" i="21" s="1"/>
  <c r="F39" i="9"/>
  <c r="N39" i="9" s="1"/>
  <c r="N46" i="9" s="1"/>
  <c r="E39" i="9"/>
  <c r="AM209" i="23"/>
  <c r="Q74" i="21" s="1"/>
  <c r="AM37" i="23"/>
  <c r="AL209" i="23"/>
  <c r="P74" i="21" s="1"/>
  <c r="AL37" i="23"/>
  <c r="AK209" i="23"/>
  <c r="O74" i="21" s="1"/>
  <c r="AK37" i="23"/>
  <c r="AJ209" i="23"/>
  <c r="N74" i="21" s="1"/>
  <c r="N76" i="21" s="1"/>
  <c r="AJ37" i="23"/>
  <c r="AI209" i="23"/>
  <c r="M74" i="21" s="1"/>
  <c r="AI37" i="23"/>
  <c r="AH209" i="23"/>
  <c r="L74" i="21" s="1"/>
  <c r="AH37" i="23"/>
  <c r="AG209" i="23"/>
  <c r="K74" i="21" s="1"/>
  <c r="AG37" i="23"/>
  <c r="AF209" i="23"/>
  <c r="J74" i="21" s="1"/>
  <c r="J76" i="21" s="1"/>
  <c r="AF37" i="23"/>
  <c r="AE209" i="23"/>
  <c r="I74" i="21" s="1"/>
  <c r="AE37" i="23"/>
  <c r="AD209" i="23"/>
  <c r="H74" i="21" s="1"/>
  <c r="AD37" i="23"/>
  <c r="AC209" i="23"/>
  <c r="G74" i="21" s="1"/>
  <c r="AC37" i="23"/>
  <c r="E28" i="9"/>
  <c r="E37" i="23"/>
  <c r="F51" i="21"/>
  <c r="F53" i="21" s="1"/>
  <c r="F54" i="21" s="1"/>
  <c r="E15" i="9"/>
  <c r="AM221" i="22"/>
  <c r="Q69" i="21" s="1"/>
  <c r="AM59" i="22"/>
  <c r="AL221" i="22"/>
  <c r="P69" i="21" s="1"/>
  <c r="P71" i="21" s="1"/>
  <c r="AL59" i="22"/>
  <c r="AK221" i="22"/>
  <c r="O69" i="21" s="1"/>
  <c r="O71" i="21" s="1"/>
  <c r="AK59" i="22"/>
  <c r="AJ221" i="22"/>
  <c r="N69" i="21" s="1"/>
  <c r="N71" i="21" s="1"/>
  <c r="AJ59" i="22"/>
  <c r="AI221" i="22"/>
  <c r="M69" i="21" s="1"/>
  <c r="AI59" i="22"/>
  <c r="AH221" i="22"/>
  <c r="L69" i="21" s="1"/>
  <c r="L71" i="21" s="1"/>
  <c r="AH59" i="22"/>
  <c r="AG221" i="22"/>
  <c r="K69" i="21" s="1"/>
  <c r="AG59" i="22"/>
  <c r="AF221" i="22"/>
  <c r="J69" i="21" s="1"/>
  <c r="J71" i="21" s="1"/>
  <c r="AF59" i="22"/>
  <c r="AE221" i="22"/>
  <c r="I69" i="21" s="1"/>
  <c r="I71" i="21" s="1"/>
  <c r="AE59" i="22"/>
  <c r="AD221" i="22"/>
  <c r="H69" i="21" s="1"/>
  <c r="H71" i="21" s="1"/>
  <c r="AD59" i="22"/>
  <c r="AC221" i="22"/>
  <c r="G69" i="21" s="1"/>
  <c r="G71" i="21" s="1"/>
  <c r="AC59" i="22"/>
  <c r="E19" i="9"/>
  <c r="E59" i="22"/>
  <c r="E13" i="11"/>
  <c r="E105" i="20"/>
  <c r="G42" i="13"/>
  <c r="G41" i="13"/>
  <c r="G40" i="13"/>
  <c r="G39" i="13"/>
  <c r="E61" i="31"/>
  <c r="E63" i="31" s="1"/>
  <c r="E16" i="8"/>
  <c r="E125" i="15"/>
  <c r="G52" i="13"/>
  <c r="G14" i="13"/>
  <c r="E30" i="21"/>
  <c r="E13" i="9" s="1"/>
  <c r="K18" i="15"/>
  <c r="G70" i="13"/>
  <c r="E10" i="8"/>
  <c r="E62" i="13"/>
  <c r="K70" i="99" l="1"/>
  <c r="K72" i="99" s="1"/>
  <c r="K74" i="99" s="1"/>
  <c r="F154" i="112"/>
  <c r="M31" i="87"/>
  <c r="BC62" i="69"/>
  <c r="BC67" i="69" s="1"/>
  <c r="CG7" i="114"/>
  <c r="H155" i="114"/>
  <c r="K155" i="114"/>
  <c r="E155" i="114"/>
  <c r="H96" i="100"/>
  <c r="O246" i="80"/>
  <c r="H74" i="99"/>
  <c r="G52" i="105"/>
  <c r="G53" i="105" s="1"/>
  <c r="H63" i="117"/>
  <c r="I206" i="113"/>
  <c r="M155" i="114"/>
  <c r="M139" i="114"/>
  <c r="H139" i="114"/>
  <c r="I139" i="114"/>
  <c r="J139" i="114"/>
  <c r="E139" i="114"/>
  <c r="F139" i="114"/>
  <c r="K139" i="114"/>
  <c r="F222" i="113"/>
  <c r="F225" i="113" s="1"/>
  <c r="BA102" i="103"/>
  <c r="G62" i="13"/>
  <c r="J139" i="24"/>
  <c r="H76" i="64"/>
  <c r="H79" i="64" s="1"/>
  <c r="I125" i="109"/>
  <c r="H268" i="113"/>
  <c r="G234" i="113"/>
  <c r="G268" i="113" s="1"/>
  <c r="G271" i="113" s="1"/>
  <c r="F92" i="23"/>
  <c r="F31" i="9" s="1"/>
  <c r="N31" i="9" s="1"/>
  <c r="CB7" i="73"/>
  <c r="I138" i="112"/>
  <c r="I154" i="112" s="1"/>
  <c r="K221" i="113"/>
  <c r="K222" i="113" s="1"/>
  <c r="K225" i="113" s="1"/>
  <c r="F37" i="23"/>
  <c r="H37" i="23"/>
  <c r="F58" i="76"/>
  <c r="CC11" i="109"/>
  <c r="CB7" i="71"/>
  <c r="CB7" i="72"/>
  <c r="G15" i="19"/>
  <c r="H61" i="117"/>
  <c r="E110" i="106"/>
  <c r="BA110" i="106"/>
  <c r="L28" i="9"/>
  <c r="L15" i="9"/>
  <c r="BA15" i="87"/>
  <c r="BA27" i="87" s="1"/>
  <c r="M36" i="76"/>
  <c r="CJ157" i="112"/>
  <c r="L157" i="113"/>
  <c r="L154" i="112"/>
  <c r="BA31" i="87"/>
  <c r="L39" i="9"/>
  <c r="E31" i="87"/>
  <c r="BC58" i="82"/>
  <c r="BC36" i="84"/>
  <c r="CG11" i="94"/>
  <c r="CJ234" i="113"/>
  <c r="CJ268" i="113" s="1"/>
  <c r="H271" i="113"/>
  <c r="L222" i="113"/>
  <c r="M13" i="9"/>
  <c r="M14" i="9"/>
  <c r="L33" i="9"/>
  <c r="N21" i="9"/>
  <c r="L21" i="9"/>
  <c r="E111" i="11" s="1"/>
  <c r="E116" i="11" s="1"/>
  <c r="E22" i="11" s="1"/>
  <c r="H76" i="21"/>
  <c r="L76" i="21"/>
  <c r="P76" i="21"/>
  <c r="F59" i="22"/>
  <c r="W109" i="23"/>
  <c r="G76" i="21"/>
  <c r="O76" i="21"/>
  <c r="E174" i="23"/>
  <c r="I76" i="21"/>
  <c r="E102" i="103"/>
  <c r="CG6" i="108"/>
  <c r="CE11" i="109"/>
  <c r="E144" i="11"/>
  <c r="CC27" i="87"/>
  <c r="G72" i="100"/>
  <c r="H68" i="100" s="1"/>
  <c r="I143" i="109"/>
  <c r="Z143" i="109" s="1"/>
  <c r="BA143" i="109"/>
  <c r="F157" i="112"/>
  <c r="CJ225" i="113"/>
  <c r="H62" i="117"/>
  <c r="E26" i="11"/>
  <c r="H77" i="21"/>
  <c r="H72" i="21"/>
  <c r="E105" i="11"/>
  <c r="E18" i="9"/>
  <c r="L96" i="21"/>
  <c r="G18" i="9" s="1"/>
  <c r="F18" i="9" s="1"/>
  <c r="E11" i="8"/>
  <c r="E14" i="8" s="1"/>
  <c r="E71" i="13"/>
  <c r="E80" i="32"/>
  <c r="E81" i="32" s="1"/>
  <c r="E68" i="32"/>
  <c r="G64" i="13"/>
  <c r="G71" i="13" s="1"/>
  <c r="E59" i="8"/>
  <c r="K71" i="21"/>
  <c r="U69" i="21"/>
  <c r="E51" i="21"/>
  <c r="M71" i="21"/>
  <c r="Q71" i="21"/>
  <c r="E49" i="21"/>
  <c r="E35" i="9"/>
  <c r="K76" i="21"/>
  <c r="U74" i="21"/>
  <c r="G51" i="21"/>
  <c r="M76" i="21"/>
  <c r="Q76" i="21"/>
  <c r="G49" i="21"/>
  <c r="H51" i="21"/>
  <c r="E102" i="23"/>
  <c r="G33" i="32"/>
  <c r="CI63" i="64"/>
  <c r="H56" i="64"/>
  <c r="E69" i="9"/>
  <c r="F13" i="9"/>
  <c r="L13" i="9" s="1"/>
  <c r="E103" i="87"/>
  <c r="E104" i="87" s="1"/>
  <c r="H27" i="25"/>
  <c r="I27" i="25"/>
  <c r="J27" i="25"/>
  <c r="K27" i="25"/>
  <c r="M27" i="25"/>
  <c r="N27" i="25"/>
  <c r="F91" i="92"/>
  <c r="F59" i="92"/>
  <c r="K84" i="92"/>
  <c r="K38" i="92"/>
  <c r="L38" i="92" s="1"/>
  <c r="H85" i="92"/>
  <c r="I31" i="92"/>
  <c r="K85" i="92"/>
  <c r="L31" i="92"/>
  <c r="G61" i="96"/>
  <c r="BA61" i="96" s="1"/>
  <c r="CF24" i="96"/>
  <c r="CE24" i="96"/>
  <c r="F24" i="96"/>
  <c r="G54" i="96"/>
  <c r="BA54" i="96" s="1"/>
  <c r="CE46" i="96"/>
  <c r="F46" i="96"/>
  <c r="F54" i="96" s="1"/>
  <c r="CF54" i="96" s="1"/>
  <c r="CG95" i="99"/>
  <c r="F70" i="100"/>
  <c r="F72" i="100" s="1"/>
  <c r="F88" i="100" s="1"/>
  <c r="G88" i="100"/>
  <c r="E62" i="65"/>
  <c r="J48" i="67"/>
  <c r="CD48" i="67"/>
  <c r="CD7" i="67" s="1"/>
  <c r="BC49" i="70"/>
  <c r="E49" i="70"/>
  <c r="CC23" i="70"/>
  <c r="CC7" i="70" s="1"/>
  <c r="CK72" i="76"/>
  <c r="M18" i="18"/>
  <c r="E17" i="18"/>
  <c r="E36" i="18"/>
  <c r="F17" i="18"/>
  <c r="F36" i="18"/>
  <c r="G17" i="18"/>
  <c r="G36" i="18"/>
  <c r="H17" i="18"/>
  <c r="H36" i="18"/>
  <c r="I17" i="18"/>
  <c r="I36" i="18"/>
  <c r="J17" i="18"/>
  <c r="J36" i="18"/>
  <c r="K17" i="18"/>
  <c r="K36" i="18"/>
  <c r="L17" i="18"/>
  <c r="L36" i="18"/>
  <c r="M57" i="76"/>
  <c r="M44" i="18"/>
  <c r="M57" i="18" s="1"/>
  <c r="E42" i="18"/>
  <c r="E57" i="18"/>
  <c r="F42" i="18"/>
  <c r="F57" i="18"/>
  <c r="G42" i="18"/>
  <c r="G57" i="18"/>
  <c r="H42" i="18"/>
  <c r="H57" i="18"/>
  <c r="I42" i="18"/>
  <c r="I57" i="18"/>
  <c r="J42" i="18"/>
  <c r="J57" i="18"/>
  <c r="K42" i="18"/>
  <c r="K57" i="18"/>
  <c r="L42" i="18"/>
  <c r="L57" i="18"/>
  <c r="CF16" i="78"/>
  <c r="E133" i="19"/>
  <c r="CD63" i="78"/>
  <c r="J16" i="19"/>
  <c r="E15" i="19"/>
  <c r="E34" i="19"/>
  <c r="F15" i="19"/>
  <c r="F34" i="19"/>
  <c r="G34" i="19"/>
  <c r="H15" i="19"/>
  <c r="H34" i="19"/>
  <c r="I15" i="19"/>
  <c r="I34" i="19"/>
  <c r="J55" i="78"/>
  <c r="J42" i="19"/>
  <c r="J55" i="19" s="1"/>
  <c r="E40" i="19"/>
  <c r="E55" i="19"/>
  <c r="F40" i="19"/>
  <c r="F55" i="19"/>
  <c r="G40" i="19"/>
  <c r="G55" i="19"/>
  <c r="H40" i="19"/>
  <c r="H55" i="19"/>
  <c r="I40" i="19"/>
  <c r="I55" i="19"/>
  <c r="BC234" i="80"/>
  <c r="BC246" i="80" s="1"/>
  <c r="O234" i="21"/>
  <c r="E233" i="21"/>
  <c r="E246" i="21"/>
  <c r="F233" i="21"/>
  <c r="F246" i="21"/>
  <c r="G233" i="21"/>
  <c r="G246" i="21"/>
  <c r="H233" i="21"/>
  <c r="H246" i="21"/>
  <c r="I233" i="21"/>
  <c r="I246" i="21"/>
  <c r="J233" i="21"/>
  <c r="J246" i="21"/>
  <c r="K233" i="21"/>
  <c r="K246" i="21"/>
  <c r="L233" i="21"/>
  <c r="L246" i="21"/>
  <c r="M233" i="21"/>
  <c r="M246" i="21"/>
  <c r="N233" i="21"/>
  <c r="N246" i="21"/>
  <c r="G19" i="9"/>
  <c r="H59" i="22"/>
  <c r="G14" i="9"/>
  <c r="H139" i="86"/>
  <c r="G33" i="91"/>
  <c r="H28" i="91"/>
  <c r="G84" i="92"/>
  <c r="J19" i="92"/>
  <c r="J84" i="92" s="1"/>
  <c r="G38" i="92"/>
  <c r="I38" i="92" s="1"/>
  <c r="M73" i="93"/>
  <c r="G104" i="93" s="1"/>
  <c r="N115" i="93"/>
  <c r="CG112" i="93"/>
  <c r="CG7" i="93" s="1"/>
  <c r="CB112" i="93"/>
  <c r="CB7" i="93" s="1"/>
  <c r="E62" i="104"/>
  <c r="CB62" i="104" s="1"/>
  <c r="CB58" i="104"/>
  <c r="CC134" i="106"/>
  <c r="E107" i="106"/>
  <c r="CH55" i="108"/>
  <c r="Z104" i="109"/>
  <c r="CF11" i="109"/>
  <c r="Z125" i="109"/>
  <c r="L156" i="112"/>
  <c r="I156" i="112"/>
  <c r="CB268" i="113"/>
  <c r="CB271" i="113" s="1"/>
  <c r="CE271" i="113" s="1"/>
  <c r="CE234" i="113"/>
  <c r="F234" i="113"/>
  <c r="F268" i="113" s="1"/>
  <c r="CG270" i="113"/>
  <c r="CH271" i="113"/>
  <c r="CI271" i="113"/>
  <c r="L224" i="113"/>
  <c r="L225" i="113" s="1"/>
  <c r="I224" i="113"/>
  <c r="M75" i="112"/>
  <c r="I88" i="112" s="1"/>
  <c r="K154" i="112"/>
  <c r="K157" i="112" s="1"/>
  <c r="M75" i="113"/>
  <c r="I156" i="113" s="1"/>
  <c r="M145" i="113"/>
  <c r="L156" i="113" s="1"/>
  <c r="I222" i="113"/>
  <c r="G31" i="9"/>
  <c r="G35" i="9" s="1"/>
  <c r="H103" i="23"/>
  <c r="H29" i="117" l="1"/>
  <c r="I157" i="112"/>
  <c r="L157" i="112"/>
  <c r="F103" i="23"/>
  <c r="H98" i="100"/>
  <c r="M42" i="18"/>
  <c r="L234" i="113"/>
  <c r="L268" i="113" s="1"/>
  <c r="I225" i="113"/>
  <c r="L31" i="9"/>
  <c r="L35" i="9" s="1"/>
  <c r="L18" i="9"/>
  <c r="M18" i="9"/>
  <c r="N13" i="9"/>
  <c r="CB8" i="104"/>
  <c r="E120" i="11"/>
  <c r="H70" i="100"/>
  <c r="E23" i="9"/>
  <c r="CJ270" i="113"/>
  <c r="F270" i="113"/>
  <c r="F271" i="113" s="1"/>
  <c r="CG271" i="113"/>
  <c r="CJ271" i="113" s="1"/>
  <c r="CE268" i="113"/>
  <c r="K234" i="113"/>
  <c r="K268" i="113" s="1"/>
  <c r="K271" i="113" s="1"/>
  <c r="I234" i="113"/>
  <c r="I268" i="113" s="1"/>
  <c r="J90" i="92"/>
  <c r="J89" i="92"/>
  <c r="J87" i="92"/>
  <c r="J56" i="92" s="1"/>
  <c r="G90" i="92"/>
  <c r="G89" i="92"/>
  <c r="G87" i="92"/>
  <c r="G56" i="92" s="1"/>
  <c r="G39" i="92" s="1"/>
  <c r="G40" i="92" s="1"/>
  <c r="H33" i="91"/>
  <c r="I28" i="91"/>
  <c r="E66" i="9"/>
  <c r="F14" i="9"/>
  <c r="L14" i="9" s="1"/>
  <c r="F19" i="9"/>
  <c r="G23" i="9"/>
  <c r="O246" i="21"/>
  <c r="E24" i="9" s="1"/>
  <c r="O233" i="21"/>
  <c r="J40" i="19"/>
  <c r="I56" i="19"/>
  <c r="H56" i="19"/>
  <c r="G56" i="19"/>
  <c r="F56" i="19"/>
  <c r="E56" i="19"/>
  <c r="J34" i="19"/>
  <c r="J56" i="19" s="1"/>
  <c r="E12" i="9" s="1"/>
  <c r="J15" i="19"/>
  <c r="J56" i="78"/>
  <c r="J133" i="19" s="1"/>
  <c r="L58" i="18"/>
  <c r="K58" i="18"/>
  <c r="J58" i="18"/>
  <c r="I58" i="18"/>
  <c r="H58" i="18"/>
  <c r="G58" i="18"/>
  <c r="F58" i="18"/>
  <c r="E58" i="18"/>
  <c r="M36" i="18"/>
  <c r="M58" i="18" s="1"/>
  <c r="E11" i="9" s="1"/>
  <c r="M17" i="18"/>
  <c r="M58" i="76"/>
  <c r="I48" i="10"/>
  <c r="E53" i="9" s="1"/>
  <c r="I15" i="10"/>
  <c r="G53" i="9" s="1"/>
  <c r="F53" i="9" s="1"/>
  <c r="H48" i="10"/>
  <c r="H15" i="10"/>
  <c r="G52" i="9" s="1"/>
  <c r="F52" i="9" s="1"/>
  <c r="F15" i="10"/>
  <c r="G50" i="9" s="1"/>
  <c r="E48" i="10"/>
  <c r="E15" i="10"/>
  <c r="G74" i="96"/>
  <c r="BA74" i="96" s="1"/>
  <c r="F61" i="96"/>
  <c r="H90" i="92"/>
  <c r="H89" i="92"/>
  <c r="H87" i="92"/>
  <c r="H56" i="92" s="1"/>
  <c r="H39" i="92" s="1"/>
  <c r="L19" i="92"/>
  <c r="K90" i="92"/>
  <c r="K89" i="92"/>
  <c r="K87" i="92"/>
  <c r="K56" i="92" s="1"/>
  <c r="K39" i="92" s="1"/>
  <c r="F58" i="92"/>
  <c r="F57" i="92"/>
  <c r="E104" i="25"/>
  <c r="N31" i="25"/>
  <c r="E103" i="25"/>
  <c r="M31" i="25"/>
  <c r="E101" i="25"/>
  <c r="K31" i="25"/>
  <c r="E100" i="25"/>
  <c r="J31" i="25"/>
  <c r="E99" i="25"/>
  <c r="I31" i="25"/>
  <c r="E98" i="25"/>
  <c r="H31" i="25"/>
  <c r="F105" i="25"/>
  <c r="F106" i="25" s="1"/>
  <c r="H96" i="25"/>
  <c r="H33" i="32"/>
  <c r="E42" i="9"/>
  <c r="L42" i="9" s="1"/>
  <c r="E103" i="23"/>
  <c r="H53" i="21"/>
  <c r="H54" i="21" s="1"/>
  <c r="U76" i="21"/>
  <c r="G48" i="21"/>
  <c r="F35" i="9"/>
  <c r="E118" i="11"/>
  <c r="U71" i="21"/>
  <c r="E48" i="21"/>
  <c r="E53" i="21" s="1"/>
  <c r="E11" i="11"/>
  <c r="E18" i="8"/>
  <c r="I96" i="100" l="1"/>
  <c r="E98" i="11"/>
  <c r="E101" i="11" s="1"/>
  <c r="E20" i="11" s="1"/>
  <c r="G11" i="9"/>
  <c r="J15" i="10"/>
  <c r="G12" i="9"/>
  <c r="E65" i="9" s="1"/>
  <c r="N14" i="9"/>
  <c r="N19" i="9"/>
  <c r="L19" i="9"/>
  <c r="L23" i="9" s="1"/>
  <c r="N18" i="9"/>
  <c r="M23" i="9"/>
  <c r="M25" i="9" s="1"/>
  <c r="M36" i="9" s="1"/>
  <c r="L53" i="9"/>
  <c r="M53" i="9"/>
  <c r="N53" i="9" s="1"/>
  <c r="M11" i="9"/>
  <c r="M12" i="9"/>
  <c r="H72" i="100"/>
  <c r="E23" i="8"/>
  <c r="E124" i="11"/>
  <c r="G53" i="21"/>
  <c r="G54" i="21" s="1"/>
  <c r="I33" i="32"/>
  <c r="H105" i="25"/>
  <c r="F14" i="25"/>
  <c r="K40" i="92"/>
  <c r="L40" i="92" s="1"/>
  <c r="L39" i="92"/>
  <c r="K91" i="92"/>
  <c r="K59" i="92"/>
  <c r="H40" i="92"/>
  <c r="I40" i="92" s="1"/>
  <c r="I39" i="92"/>
  <c r="H91" i="92"/>
  <c r="H59" i="92"/>
  <c r="G77" i="96"/>
  <c r="BA77" i="96" s="1"/>
  <c r="CF74" i="96"/>
  <c r="CE74" i="96"/>
  <c r="F74" i="96"/>
  <c r="F77" i="96" s="1"/>
  <c r="G49" i="9"/>
  <c r="E49" i="9"/>
  <c r="E79" i="9"/>
  <c r="F50" i="9"/>
  <c r="E52" i="9"/>
  <c r="E64" i="9"/>
  <c r="F11" i="9"/>
  <c r="L11" i="9" s="1"/>
  <c r="E16" i="9"/>
  <c r="F12" i="9"/>
  <c r="L12" i="9" s="1"/>
  <c r="G24" i="9"/>
  <c r="G25" i="9" s="1"/>
  <c r="G36" i="9" s="1"/>
  <c r="E25" i="9"/>
  <c r="F23" i="9"/>
  <c r="I33" i="91"/>
  <c r="J28" i="91"/>
  <c r="G91" i="92"/>
  <c r="G59" i="92"/>
  <c r="J91" i="92"/>
  <c r="J59" i="92"/>
  <c r="L270" i="113"/>
  <c r="L271" i="113" s="1"/>
  <c r="I270" i="113"/>
  <c r="I271" i="113" s="1"/>
  <c r="G16" i="9" l="1"/>
  <c r="I98" i="100"/>
  <c r="N12" i="9"/>
  <c r="L16" i="9"/>
  <c r="M49" i="9"/>
  <c r="M52" i="9"/>
  <c r="N52" i="9" s="1"/>
  <c r="L52" i="9"/>
  <c r="M16" i="9"/>
  <c r="M26" i="9" s="1"/>
  <c r="M37" i="9" s="1"/>
  <c r="M47" i="9" s="1"/>
  <c r="N11" i="9"/>
  <c r="N23" i="9"/>
  <c r="N25" i="9" s="1"/>
  <c r="N36" i="9" s="1"/>
  <c r="I68" i="100"/>
  <c r="H88" i="100"/>
  <c r="J58" i="92"/>
  <c r="J57" i="92"/>
  <c r="G58" i="92"/>
  <c r="G57" i="92"/>
  <c r="J33" i="91"/>
  <c r="K28" i="91"/>
  <c r="E103" i="11"/>
  <c r="E36" i="9"/>
  <c r="E67" i="9"/>
  <c r="F24" i="9"/>
  <c r="E26" i="9"/>
  <c r="F16" i="9"/>
  <c r="G26" i="9"/>
  <c r="G37" i="9" s="1"/>
  <c r="G54" i="9"/>
  <c r="F49" i="9"/>
  <c r="L49" i="9" s="1"/>
  <c r="H58" i="92"/>
  <c r="H57" i="92"/>
  <c r="K58" i="92"/>
  <c r="K57" i="92"/>
  <c r="E14" i="25"/>
  <c r="F15" i="25"/>
  <c r="G41" i="9"/>
  <c r="H106" i="25"/>
  <c r="J33" i="32"/>
  <c r="E23" i="11"/>
  <c r="E54" i="21"/>
  <c r="Q32" i="32"/>
  <c r="E54" i="8"/>
  <c r="E48" i="8"/>
  <c r="F31" i="4"/>
  <c r="J96" i="100" l="1"/>
  <c r="N16" i="9"/>
  <c r="N26" i="9" s="1"/>
  <c r="N37" i="9" s="1"/>
  <c r="N47" i="9" s="1"/>
  <c r="N49" i="9"/>
  <c r="N24" i="9"/>
  <c r="L24" i="9"/>
  <c r="L25" i="9" s="1"/>
  <c r="I70" i="100"/>
  <c r="E62" i="8"/>
  <c r="F45" i="10"/>
  <c r="F48" i="10" s="1"/>
  <c r="E50" i="9" s="1"/>
  <c r="J20" i="10"/>
  <c r="J45" i="10" s="1"/>
  <c r="J48" i="10" s="1"/>
  <c r="K33" i="32"/>
  <c r="F41" i="9"/>
  <c r="N41" i="9" s="1"/>
  <c r="G46" i="9"/>
  <c r="G47" i="9" s="1"/>
  <c r="F27" i="25"/>
  <c r="E15" i="25"/>
  <c r="E27" i="25" s="1"/>
  <c r="F54" i="9"/>
  <c r="E37" i="9"/>
  <c r="F25" i="9"/>
  <c r="E109" i="11"/>
  <c r="K33" i="91"/>
  <c r="L28" i="91"/>
  <c r="H97" i="4"/>
  <c r="C80" i="4"/>
  <c r="H102" i="4"/>
  <c r="J98" i="100" l="1"/>
  <c r="L50" i="9"/>
  <c r="L54" i="9" s="1"/>
  <c r="M50" i="9"/>
  <c r="L36" i="9"/>
  <c r="L26" i="9"/>
  <c r="L37" i="9" s="1"/>
  <c r="I72" i="100"/>
  <c r="L33" i="91"/>
  <c r="M28" i="91"/>
  <c r="E21" i="11"/>
  <c r="F36" i="9"/>
  <c r="F26" i="9"/>
  <c r="E96" i="25"/>
  <c r="F31" i="25"/>
  <c r="E31" i="25" s="1"/>
  <c r="F46" i="9"/>
  <c r="L33" i="32"/>
  <c r="E54" i="9"/>
  <c r="K96" i="100" l="1"/>
  <c r="N50" i="9"/>
  <c r="N54" i="9" s="1"/>
  <c r="M54" i="9"/>
  <c r="J68" i="100"/>
  <c r="I88" i="100"/>
  <c r="M33" i="32"/>
  <c r="E105" i="25"/>
  <c r="F37" i="9"/>
  <c r="F47" i="9" s="1"/>
  <c r="E27" i="11"/>
  <c r="M33" i="91"/>
  <c r="N28" i="91"/>
  <c r="K98" i="100" l="1"/>
  <c r="J70" i="100"/>
  <c r="N33" i="91"/>
  <c r="O28" i="91"/>
  <c r="E44" i="11"/>
  <c r="E62" i="11"/>
  <c r="E41" i="9"/>
  <c r="L41" i="9" s="1"/>
  <c r="L46" i="9" s="1"/>
  <c r="L47" i="9" s="1"/>
  <c r="E106" i="25"/>
  <c r="N33" i="32"/>
  <c r="L96" i="100" l="1"/>
  <c r="L98" i="100" s="1"/>
  <c r="M96" i="100" s="1"/>
  <c r="M98" i="100" s="1"/>
  <c r="N96" i="100" s="1"/>
  <c r="N98" i="100" s="1"/>
  <c r="O96" i="100" s="1"/>
  <c r="O98" i="100" s="1"/>
  <c r="P96" i="100" s="1"/>
  <c r="P98" i="100" s="1"/>
  <c r="Q96" i="100" s="1"/>
  <c r="Q98" i="100" s="1"/>
  <c r="R96" i="100" s="1"/>
  <c r="J72" i="100"/>
  <c r="O33" i="32"/>
  <c r="E46" i="9"/>
  <c r="E67" i="11"/>
  <c r="O33" i="91"/>
  <c r="P28" i="91"/>
  <c r="R98" i="100" l="1"/>
  <c r="BB96" i="100"/>
  <c r="BA96" i="100"/>
  <c r="J88" i="100"/>
  <c r="K68" i="100"/>
  <c r="P33" i="91"/>
  <c r="CC11" i="91"/>
  <c r="E47" i="9"/>
  <c r="P33" i="32"/>
  <c r="Q33" i="32"/>
  <c r="S96" i="100" l="1"/>
  <c r="S98" i="100" s="1"/>
  <c r="CE100" i="100" s="1"/>
  <c r="BB98" i="100"/>
  <c r="BA98" i="100"/>
  <c r="K70" i="100"/>
  <c r="K72" i="100" l="1"/>
  <c r="E47" i="32"/>
  <c r="E48" i="32" s="1"/>
  <c r="L68" i="100" l="1"/>
  <c r="K88" i="100"/>
  <c r="L70" i="100" l="1"/>
  <c r="L72" i="100" s="1"/>
  <c r="M68" i="100" l="1"/>
  <c r="M70" i="100" s="1"/>
  <c r="M72" i="100" s="1"/>
  <c r="L88" i="100"/>
  <c r="D99" i="4"/>
  <c r="F32" i="4"/>
  <c r="N68" i="100" l="1"/>
  <c r="N70" i="100" s="1"/>
  <c r="N72" i="100" s="1"/>
  <c r="M88" i="100"/>
  <c r="D98" i="4"/>
  <c r="O68" i="100" l="1"/>
  <c r="O70" i="100" s="1"/>
  <c r="O72" i="100" s="1"/>
  <c r="N88" i="100"/>
  <c r="P68" i="100" l="1"/>
  <c r="P70" i="100" s="1"/>
  <c r="P72" i="100" s="1"/>
  <c r="O88" i="100"/>
  <c r="Q68" i="100" l="1"/>
  <c r="Q70" i="100" s="1"/>
  <c r="Q72" i="100" s="1"/>
  <c r="P88" i="100"/>
  <c r="R68" i="100" l="1"/>
  <c r="Q88" i="100"/>
  <c r="R70" i="100" l="1"/>
  <c r="BB68" i="100"/>
  <c r="BA68" i="100"/>
  <c r="R72" i="100" l="1"/>
  <c r="BB70" i="100"/>
  <c r="BA70" i="100"/>
  <c r="BB72" i="100" l="1"/>
  <c r="BA72" i="100"/>
  <c r="R88" i="100"/>
  <c r="S68" i="100"/>
  <c r="S70" i="100" s="1"/>
  <c r="S72" i="100" s="1"/>
  <c r="S88" i="100" s="1"/>
  <c r="CE88" i="100" l="1"/>
  <c r="BB88" i="100"/>
  <c r="BA88" i="100"/>
</calcChain>
</file>

<file path=xl/comments1.xml><?xml version="1.0" encoding="utf-8"?>
<comments xmlns="http://schemas.openxmlformats.org/spreadsheetml/2006/main">
  <authors>
    <author>kcowell</author>
  </authors>
  <commentList>
    <comment ref="C107" authorId="0">
      <text>
        <r>
          <rPr>
            <b/>
            <sz val="8"/>
            <color indexed="12"/>
            <rFont val="Tahoma"/>
            <family val="2"/>
          </rPr>
          <t>EITHER copy and paste an electronic signature to the right here, or return a signed paper copy</t>
        </r>
      </text>
    </comment>
  </commentList>
</comments>
</file>

<file path=xl/sharedStrings.xml><?xml version="1.0" encoding="utf-8"?>
<sst xmlns="http://schemas.openxmlformats.org/spreadsheetml/2006/main" count="24920" uniqueCount="3823">
  <si>
    <t>Collection ID:</t>
  </si>
  <si>
    <t>Collection Name:</t>
  </si>
  <si>
    <t>Distribution Name:</t>
  </si>
  <si>
    <t>Collection Period ID:</t>
  </si>
  <si>
    <t>Period:</t>
  </si>
  <si>
    <t>OrgCode:</t>
  </si>
  <si>
    <t>OrgName:</t>
  </si>
  <si>
    <t>RO Code:</t>
  </si>
  <si>
    <t>Contact Email Address:</t>
  </si>
  <si>
    <t>Summary of Validation Errors</t>
  </si>
  <si>
    <t>Collection Contact:</t>
  </si>
  <si>
    <t>Return Email Address:</t>
  </si>
  <si>
    <t>Return Address:</t>
  </si>
  <si>
    <t>Telephone:</t>
  </si>
  <si>
    <t>Forms :</t>
  </si>
  <si>
    <t>Mr</t>
  </si>
  <si>
    <t>Miss</t>
  </si>
  <si>
    <t>Ms</t>
  </si>
  <si>
    <t>Title:</t>
  </si>
  <si>
    <t>Surname :</t>
  </si>
  <si>
    <t>FirstName :</t>
  </si>
  <si>
    <t>Fax :</t>
  </si>
  <si>
    <t>Telephone :</t>
  </si>
  <si>
    <t xml:space="preserve"> </t>
  </si>
  <si>
    <t>HACode</t>
  </si>
  <si>
    <t>SIGN</t>
  </si>
  <si>
    <t>Signature:</t>
  </si>
  <si>
    <t xml:space="preserve">Name: </t>
  </si>
  <si>
    <t xml:space="preserve">Contact Name : </t>
  </si>
  <si>
    <t xml:space="preserve">email : </t>
  </si>
  <si>
    <t xml:space="preserve">Job Title: </t>
  </si>
  <si>
    <t xml:space="preserve">telephone : </t>
  </si>
  <si>
    <t>or</t>
  </si>
  <si>
    <t xml:space="preserve">Telephone number: </t>
  </si>
  <si>
    <t xml:space="preserve">Email address: </t>
  </si>
  <si>
    <t xml:space="preserve">Date: </t>
  </si>
  <si>
    <t xml:space="preserve">for : </t>
  </si>
  <si>
    <t>Technical queries directed to:</t>
  </si>
  <si>
    <t xml:space="preserve">NTDA Team : </t>
  </si>
  <si>
    <t>Approved by the NHS Trust Director of Finance (or Trust Executive)</t>
  </si>
  <si>
    <t xml:space="preserve">Return date: </t>
  </si>
  <si>
    <t xml:space="preserve">Return by email to : </t>
  </si>
  <si>
    <t>TDAfinance@dh.gsi.gov.uk</t>
  </si>
  <si>
    <t>Organisation code :</t>
  </si>
  <si>
    <t xml:space="preserve">Organisation type : </t>
  </si>
  <si>
    <t>guidance:</t>
  </si>
  <si>
    <r>
      <t xml:space="preserve">NHS Trust Contact </t>
    </r>
    <r>
      <rPr>
        <sz val="11"/>
        <rFont val="Arial"/>
        <family val="2"/>
      </rPr>
      <t>(completed by)</t>
    </r>
    <r>
      <rPr>
        <b/>
        <sz val="11"/>
        <rFont val="Arial"/>
        <family val="2"/>
      </rPr>
      <t>:</t>
    </r>
  </si>
  <si>
    <t xml:space="preserve">or if 'Other' : </t>
  </si>
  <si>
    <r>
      <t xml:space="preserve">NTDA Contact </t>
    </r>
    <r>
      <rPr>
        <sz val="11"/>
        <rFont val="Arial"/>
        <family val="2"/>
      </rPr>
      <t>(queries directed to):</t>
    </r>
  </si>
  <si>
    <t>TDA.TFMSqueries@nhs.net</t>
  </si>
  <si>
    <t>Count now killed (for import purposes) kc 11/09/14 :</t>
  </si>
  <si>
    <t>Total Error Count :</t>
  </si>
  <si>
    <t xml:space="preserve">Summary of Validation errors (level 1 only): </t>
  </si>
  <si>
    <t>Auditors unique reference :</t>
  </si>
  <si>
    <t>Auditors details:
Name, E-mail and phone number</t>
  </si>
  <si>
    <t>See FinMan</t>
  </si>
  <si>
    <t>Draft (23rdApr15…Noon), Final (5thJun15…Noon)</t>
  </si>
  <si>
    <t>Mrs</t>
  </si>
  <si>
    <t>RO in first instance, then</t>
  </si>
  <si>
    <t>Please contact your Regional Office</t>
  </si>
  <si>
    <t>In first instance contact the Budget Holder</t>
  </si>
  <si>
    <t>Pleae contact your STRHA</t>
  </si>
  <si>
    <t>Please contact your Strategic HA</t>
  </si>
  <si>
    <t>Please contact your StHA</t>
  </si>
  <si>
    <t>FT</t>
  </si>
  <si>
    <t>TRU Index - ROCR/OR/0190/002</t>
  </si>
  <si>
    <t>Financial Monitoring and Accounts Forms</t>
  </si>
  <si>
    <t>List of Forms</t>
  </si>
  <si>
    <t>Form Content</t>
  </si>
  <si>
    <t>M/Not M</t>
  </si>
  <si>
    <t>Requires Input Y/N</t>
  </si>
  <si>
    <t>Primary Statements:</t>
  </si>
  <si>
    <t>Hyperlinks</t>
  </si>
  <si>
    <t>TRU01_CNE</t>
  </si>
  <si>
    <t>Statement of Comprehensive Income</t>
  </si>
  <si>
    <t>Mandatory</t>
  </si>
  <si>
    <t>Y</t>
  </si>
  <si>
    <t>Other Comprehensive Income</t>
  </si>
  <si>
    <t>N</t>
  </si>
  <si>
    <t>Reported NHS financial performance</t>
  </si>
  <si>
    <t>Reported NHS Financial Position Additional Items</t>
  </si>
  <si>
    <t>TRU02_SFP</t>
  </si>
  <si>
    <t>Statement of Financial Position</t>
  </si>
  <si>
    <t>TRU03_STE</t>
  </si>
  <si>
    <t>Statement of Taxpayers Equity</t>
  </si>
  <si>
    <t>Statement of Taxpayers Equity Prior Year</t>
  </si>
  <si>
    <t>TRU04_CF</t>
  </si>
  <si>
    <t>Statement of Cash flows</t>
  </si>
  <si>
    <t>Reconciliation of Statement of Financial Position to working balances adjustment in Cash Flow</t>
  </si>
  <si>
    <t>Notes to the accounts:</t>
  </si>
  <si>
    <t>TRU05_REV</t>
  </si>
  <si>
    <t>Revenue from Patient Care Activities:</t>
  </si>
  <si>
    <t>Other Operating Revenue:</t>
  </si>
  <si>
    <t>Income Generation aggregate</t>
  </si>
  <si>
    <t>TRU06_EXP</t>
  </si>
  <si>
    <t>Operating Expenses</t>
  </si>
  <si>
    <t>DH Consolidated Account Additional Categories</t>
  </si>
  <si>
    <t>Employee Benefits</t>
  </si>
  <si>
    <t>Analysis for DH Consolidated Account</t>
  </si>
  <si>
    <t>TRU08_OPL</t>
  </si>
  <si>
    <t>Operating Lease as Lessee</t>
  </si>
  <si>
    <t>Operating Lease as Lessor</t>
  </si>
  <si>
    <t>TRU09_EMP</t>
  </si>
  <si>
    <t>Employee Benefits Prior Year</t>
  </si>
  <si>
    <t>Average staff numbers</t>
  </si>
  <si>
    <t>Staff Sickness</t>
  </si>
  <si>
    <t>Better Payment Practice Code - Measure of Compliance</t>
  </si>
  <si>
    <t>The Late Payment of Commercial Debts (Interest) Act 1998</t>
  </si>
  <si>
    <t>TRU10_EXT</t>
  </si>
  <si>
    <t>Exit Packages</t>
  </si>
  <si>
    <t>TRU11_IGF</t>
  </si>
  <si>
    <t>Investment Revenue</t>
  </si>
  <si>
    <t>Other Gains and Losses</t>
  </si>
  <si>
    <t>Finance Costs</t>
  </si>
  <si>
    <t>TRU12_PPE</t>
  </si>
  <si>
    <t>Property Plant and Equipment - Cost or Valuation / Depreciation</t>
  </si>
  <si>
    <t>Asset Financing</t>
  </si>
  <si>
    <t>Revaluation Reserve for PPE</t>
  </si>
  <si>
    <t>Economic lives of non current assets</t>
  </si>
  <si>
    <t>Open Market Value of Assets as at YTD</t>
  </si>
  <si>
    <t>Property Plant and Equipment - Cost or Valuation / Depreciation - Prior Year</t>
  </si>
  <si>
    <t>Assets Under Construction</t>
  </si>
  <si>
    <t>TRU13_INT</t>
  </si>
  <si>
    <t>Intangible Non Current Assets Cost or Valuation / Amortisation</t>
  </si>
  <si>
    <t>Revaluation reserve balance for intangible assets</t>
  </si>
  <si>
    <t>Intangible Non Current Assets - Cost or Valuation / Amortisation - Prior Year</t>
  </si>
  <si>
    <t>Subtotals for Hyperion use only (not printed)</t>
  </si>
  <si>
    <t>TRU14_IMP</t>
  </si>
  <si>
    <t>Analysis of Impairments &amp; Reversals Working Paper</t>
  </si>
  <si>
    <t>TRU15_ICG</t>
  </si>
  <si>
    <t>Investment Property</t>
  </si>
  <si>
    <t>Capital Commitments</t>
  </si>
  <si>
    <t>Intra-Government and Other Balances</t>
  </si>
  <si>
    <t>Inventories at YTD</t>
  </si>
  <si>
    <t>Non-Current Assets Held for Sale YTD</t>
  </si>
  <si>
    <t>Non-Current Assets Held for Sale Prior Year</t>
  </si>
  <si>
    <t>TRU16_AST</t>
  </si>
  <si>
    <t>Trade and Other Receivables YTD (Current and Non Current)</t>
  </si>
  <si>
    <t>-Transfers (to)/from Bodies In Year</t>
  </si>
  <si>
    <t>Receivables Past Their Due Date but not Impaired</t>
  </si>
  <si>
    <t>Provision for Impairment of Receivables</t>
  </si>
  <si>
    <t>Overseas visitors</t>
  </si>
  <si>
    <t>Other Current Assets</t>
  </si>
  <si>
    <t>Cash and Cash Equivalents</t>
  </si>
  <si>
    <t>Other Financial Assets - Non Current</t>
  </si>
  <si>
    <t>Other Financial Assets - Current</t>
  </si>
  <si>
    <t>Inter Company Analysis for Receivables for AoB Analysis</t>
  </si>
  <si>
    <t>Trade and other Capital Receivables at YTD - Current</t>
  </si>
  <si>
    <t>Trade and other Capital Receivables at YTD - Non Current</t>
  </si>
  <si>
    <t>TRU17_LIA</t>
  </si>
  <si>
    <t>Trade and Other Payables (Current and Non Current)</t>
  </si>
  <si>
    <t>Other Liabilities (Current and Non Current)</t>
  </si>
  <si>
    <t>Borrowings (Current and Non Current)</t>
  </si>
  <si>
    <t>Borrowings/Loans - Payment of Principal Falling Due</t>
  </si>
  <si>
    <t>Analysis of Loans from DH (Current and Non Current)</t>
  </si>
  <si>
    <t>Other Financial Liabilities at Fair Value through SoCI (Current and Non Current)</t>
  </si>
  <si>
    <t>Deferred Income (Current and Non Current)</t>
  </si>
  <si>
    <t>Free Text Note - Counter Party Transactions for Deferred Income</t>
  </si>
  <si>
    <t>Trade and Other Capital Payables at YTD - Current</t>
  </si>
  <si>
    <t>Trade and Other Capital Payables at YTD - Non Current</t>
  </si>
  <si>
    <t>TRU18_FL</t>
  </si>
  <si>
    <t>Finance Lease Obligations (as Lessee) for Building, Land and Other</t>
  </si>
  <si>
    <t>Finance Leases (as Lessee)</t>
  </si>
  <si>
    <t>Finance Lease Receivables (as Lessor) for Buildings</t>
  </si>
  <si>
    <t>Finance Leases (as a Lessor)</t>
  </si>
  <si>
    <t>Rental Revenue</t>
  </si>
  <si>
    <t>Finance Lease Commitments</t>
  </si>
  <si>
    <t>Total Finance Lease Obligations (as Lessee) for Building, Land and Other</t>
  </si>
  <si>
    <t>Total Finance Lease Obligations (as Lessor) for Building, Land and Other</t>
  </si>
  <si>
    <t>TRU19_PRV</t>
  </si>
  <si>
    <t>Provisions</t>
  </si>
  <si>
    <t>Explanation of Provisions in the "Other" Category</t>
  </si>
  <si>
    <t>Contingencies</t>
  </si>
  <si>
    <t>Other Financial Commitments</t>
  </si>
  <si>
    <t>Analysis of Provisions - Current/Non-Current</t>
  </si>
  <si>
    <t>TRU20_PFI</t>
  </si>
  <si>
    <t>Charges to operating expenditure and future commitments in respect of ON and OFF SOFP PFI</t>
  </si>
  <si>
    <t>Imputed "finance lease" obligations for on SOFP PFI contracts due</t>
  </si>
  <si>
    <t>Present Value Imputed "finance lease" obligations for on SOFP PFI contracts due</t>
  </si>
  <si>
    <t>Number of on SOFP PFI Contracts</t>
  </si>
  <si>
    <t>Obligations for off SOFP PFI contracts</t>
  </si>
  <si>
    <t>Number of off SOFP PFI Contracts</t>
  </si>
  <si>
    <t>Charges to operating expenditure and future commitments in respect of on and off SOFP LIFT</t>
  </si>
  <si>
    <t>Imputed "finance lease" obligations for on SOFP LIFT Contracts due</t>
  </si>
  <si>
    <t>Present Value Imputed "finance lease" obligations for on SOFP LIFT contracts due</t>
  </si>
  <si>
    <t>Number of on SOFP LIFT Contracts</t>
  </si>
  <si>
    <t>Obligations for off SOFP LIFT contracts</t>
  </si>
  <si>
    <t>Number of off SOFP LIFT Contracts</t>
  </si>
  <si>
    <t>FIMS 2014-15: IFRIC12/UKGAAP DATA FROM HMT FORMS</t>
  </si>
  <si>
    <t>Analysis of PFI Payments - On Balance Sheet / Off Balance Sheet</t>
  </si>
  <si>
    <t>Analysis of LIFT Payments - On Balance Sheet / Off Balance Sheet</t>
  </si>
  <si>
    <t>TRU21_FAL</t>
  </si>
  <si>
    <t>Financial Assets</t>
  </si>
  <si>
    <t>Financial Liabilities</t>
  </si>
  <si>
    <t>Events after Reporting Period</t>
  </si>
  <si>
    <t>LIFT Investments</t>
  </si>
  <si>
    <t>TRU22_LSP</t>
  </si>
  <si>
    <t>Losses and Special Payments</t>
  </si>
  <si>
    <t>Recovered Losses</t>
  </si>
  <si>
    <t>TRU23_CHF</t>
  </si>
  <si>
    <t>NHS Hosted Charities</t>
  </si>
  <si>
    <t>Statement of Financial Activities</t>
  </si>
  <si>
    <t>Charitable Funds</t>
  </si>
  <si>
    <t>Balance Sheet Detail</t>
  </si>
  <si>
    <t>Restricted/Non Restricted Analysis</t>
  </si>
  <si>
    <t>Analysis of Opening Balance Adjustments</t>
  </si>
  <si>
    <t>TRU24_CFN</t>
  </si>
  <si>
    <t>Cash Flow Internal Consistency Checks;</t>
  </si>
  <si>
    <t>Purchase of non current assets - cash flow to PPE and intangibles notes</t>
  </si>
  <si>
    <t>PPE additions reconciliations</t>
  </si>
  <si>
    <t>Intangibles additions reconciliations</t>
  </si>
  <si>
    <t>Disposal of non current assets - cash flow to PPE and intangibles notes</t>
  </si>
  <si>
    <t>Capital receipts cash flow to notes</t>
  </si>
  <si>
    <t>TRU25_BVN</t>
  </si>
  <si>
    <t>Breakeven Performance</t>
  </si>
  <si>
    <t>External Financing Limit</t>
  </si>
  <si>
    <t>Capital Rrsource Limit summary</t>
  </si>
  <si>
    <t>Clinical Commissioning Groups</t>
  </si>
  <si>
    <t>NHS Trusts</t>
  </si>
  <si>
    <t>TRU55_MI</t>
  </si>
  <si>
    <t>TRU56_MI</t>
  </si>
  <si>
    <t>TRU65_MI</t>
  </si>
  <si>
    <t>give form one cell to import so Index can be reported</t>
  </si>
  <si>
    <t>TRU05 P15 - only 900s exist so force in a single feed (publisher bug)</t>
  </si>
  <si>
    <t>TRU Metrics P03 - only 900s exist so force in a single feed (publisher bug) - not needed at Q4 as these links updated to sigles feeds to Q3</t>
  </si>
  <si>
    <t>TRU97 Q4 - 900 link to tru12 ppe P16 so force single feed (not needed at Q4 as tru97 sc100 formulas fixed (at q3) to point ot current period)</t>
  </si>
  <si>
    <t>TRU97 Q4 - 900 link to tru13 int P16 so force single feed (not needed at Q4 as tru97 sc100 formulas fixed (at q3) to point ot current period)</t>
  </si>
  <si>
    <t>TRU97 Q4 - 900 link to tru17 lia P16 so force single feed (not needed at Q4 as tru97 sc100 formulas fixed (at q3) to point ot current period)</t>
  </si>
  <si>
    <t>TRU16 - only 900s exist so force in a single feed (publisher bug)</t>
  </si>
  <si>
    <t>TRU01 - ROCR/OR/0190/002</t>
  </si>
  <si>
    <t>Zero</t>
  </si>
  <si>
    <t>Val Neg</t>
  </si>
  <si>
    <t>Val Pos</t>
  </si>
  <si>
    <t>YTD Calc</t>
  </si>
  <si>
    <t>FOT Calc</t>
  </si>
  <si>
    <t>Maincode 01</t>
  </si>
  <si>
    <t>Maincode 02</t>
  </si>
  <si>
    <t>Maincode 51</t>
  </si>
  <si>
    <t>Sub</t>
  </si>
  <si>
    <t>Current YTD</t>
  </si>
  <si>
    <t>Prior Year</t>
  </si>
  <si>
    <t>Forecast Outturn</t>
  </si>
  <si>
    <t>Code</t>
  </si>
  <si>
    <t>£000s</t>
  </si>
  <si>
    <t>Gross Employee Benefits</t>
  </si>
  <si>
    <t>-</t>
  </si>
  <si>
    <t>Other Operating Costs</t>
  </si>
  <si>
    <t>Revenue from Patient Care Activities</t>
  </si>
  <si>
    <t>+</t>
  </si>
  <si>
    <t>Other Operating Revenue</t>
  </si>
  <si>
    <t>OPERATING SURPLUS/(DEFICIT)</t>
  </si>
  <si>
    <t>+/-</t>
  </si>
  <si>
    <t>SURPLUS/(DEFICIT) FOR THE FINANCIAL YEAR</t>
  </si>
  <si>
    <t>Dividends Payable on Public Dividend Capital (PDC)</t>
  </si>
  <si>
    <t>Transfers by absorption - gains</t>
  </si>
  <si>
    <t>Transfers by absorption - (losses)</t>
  </si>
  <si>
    <t>Net gain/(loss) on transfers by absorption</t>
  </si>
  <si>
    <t>RETAINED SURPLUS/(DEFICIT) FOR THE YEAR</t>
  </si>
  <si>
    <t>Analysis of Transfers by absorption</t>
  </si>
  <si>
    <t>Impairments and reversals taken to the Revaluation Reserve</t>
  </si>
  <si>
    <t>Net gain/(loss) on revaluation of property, plant, equipment</t>
  </si>
  <si>
    <t>Net gain/(loss) on revaluation of intangible assets</t>
  </si>
  <si>
    <t>Net gain/(loss) on revaluation of financial assets</t>
  </si>
  <si>
    <t>Other gains/(loss) (provide details on Freetext)</t>
  </si>
  <si>
    <t>Net gain/(loss) on revaluation of available for sale financial assets</t>
  </si>
  <si>
    <t>Net gain/(loss) on Assets Held for Sale</t>
  </si>
  <si>
    <t>Net actuarial gain/(loss) on pensions</t>
  </si>
  <si>
    <t>Other Pensions Remeasurements</t>
  </si>
  <si>
    <t>Reclassification Adjustments</t>
  </si>
  <si>
    <t>On Disposal of Available for Sale Financial Assets</t>
  </si>
  <si>
    <t>Other Comprehensive Net Expenditure / Income for the Year</t>
  </si>
  <si>
    <t>Retained surplus/(deficit) for the year</t>
  </si>
  <si>
    <t>Prior period adjustments to correct errors* and other performance adjustments at sc470</t>
  </si>
  <si>
    <t>Impairments IFRIC 12</t>
  </si>
  <si>
    <t>Other: IFRIC 12</t>
  </si>
  <si>
    <t>IFRIC 12 adjustment including IFRIC impairments</t>
  </si>
  <si>
    <t>Impairments - Excluding IFRIC12 impairments recorded at sc356</t>
  </si>
  <si>
    <t>Adjustments in respect of donated/government grant asset reserve elimination</t>
  </si>
  <si>
    <t>Adjustment re Absorption accounting</t>
  </si>
  <si>
    <t>Adjusted retained surplus/(deficit)</t>
  </si>
  <si>
    <t>Note: The calculation in sc390 is the sum of sc350 + sc355 + sc360 + sc370 + sc380 + sc385</t>
  </si>
  <si>
    <t>*Where PPA impacted on expenditure, this is a -ve figure (+ve where income recognised)</t>
  </si>
  <si>
    <t>PDC dividend</t>
  </si>
  <si>
    <t>At 01 April 2014</t>
  </si>
  <si>
    <t>At 31 March 2015</t>
  </si>
  <si>
    <t>Opening PDC dividend receivable / (payable) with Department of Health</t>
  </si>
  <si>
    <t>Closing PDC dividend receivable / (payable) with Department of Health</t>
  </si>
  <si>
    <t>Reported NHS financial position - Additional Items</t>
  </si>
  <si>
    <t>Prior period adjustment to correct errors</t>
  </si>
  <si>
    <t>Other performance adjustments</t>
  </si>
  <si>
    <t>Subtotal - to sc355 above</t>
  </si>
  <si>
    <t>TRU02 - ROCR/OR/0190/002</t>
  </si>
  <si>
    <t>Additions</t>
  </si>
  <si>
    <t>Maincode 03</t>
  </si>
  <si>
    <t>Maincode 04</t>
  </si>
  <si>
    <t>Maincode 05</t>
  </si>
  <si>
    <t>Maincode 06</t>
  </si>
  <si>
    <t>Maincode 08</t>
  </si>
  <si>
    <t>Maincode 09</t>
  </si>
  <si>
    <t>Maincode 10</t>
  </si>
  <si>
    <t>YTD</t>
  </si>
  <si>
    <t>Current Year - Local Accounts - Opening Balance Adjusted for local PPAs</t>
  </si>
  <si>
    <t>Current Year - Local PPA Adjustment</t>
  </si>
  <si>
    <t>Restated Opening Balance</t>
  </si>
  <si>
    <t>Opening Balance Restatement Adjustment</t>
  </si>
  <si>
    <t>Opening Balance (per DH consolidated account)</t>
  </si>
  <si>
    <t>YTD Movement in Balances (MC01-MC02)</t>
  </si>
  <si>
    <t>FOT</t>
  </si>
  <si>
    <t>FOT Movement</t>
  </si>
  <si>
    <t>NON-CURRENT ASSETS:</t>
  </si>
  <si>
    <t>Property, Plant and Equipment</t>
  </si>
  <si>
    <t>Intangible Assets</t>
  </si>
  <si>
    <t>Other Financial Assets</t>
  </si>
  <si>
    <t>Trade and Other Receivables</t>
  </si>
  <si>
    <t>TOTAL Non Current Assets</t>
  </si>
  <si>
    <t>CURRENT ASSETS:</t>
  </si>
  <si>
    <t>Inventories</t>
  </si>
  <si>
    <t>Sub Total Current Assets</t>
  </si>
  <si>
    <t>Non-Current Assets Held For Sale</t>
  </si>
  <si>
    <t>TOTAL Current Assets</t>
  </si>
  <si>
    <t>TOTAL ASSETS</t>
  </si>
  <si>
    <t>CURRENT LIABILITIES</t>
  </si>
  <si>
    <t>Trade and Other Payables</t>
  </si>
  <si>
    <t>Other Liabilities</t>
  </si>
  <si>
    <t>Borrowings</t>
  </si>
  <si>
    <t>Other Financial Liabilities</t>
  </si>
  <si>
    <t>DH Revenue Support Loan</t>
  </si>
  <si>
    <t>DH Capital Loan</t>
  </si>
  <si>
    <t>Total Current Liabilities</t>
  </si>
  <si>
    <t>NET CURRENT ASSETS/(LIABILITIES)</t>
  </si>
  <si>
    <t>TOTAL ASSETS LESS CURRENT LIABILITIES</t>
  </si>
  <si>
    <t>NON-CURRENT LIABILITIES:</t>
  </si>
  <si>
    <t>Total Non-Current Liabilities</t>
  </si>
  <si>
    <t>ASSETS LESS LIABILITIES (Total Assets Employed)</t>
  </si>
  <si>
    <t>TAXPAYERS EQUITY</t>
  </si>
  <si>
    <t>Public Dividend Capital</t>
  </si>
  <si>
    <t>Retained Earnings reserve</t>
  </si>
  <si>
    <t>General Fund</t>
  </si>
  <si>
    <t>Revaluation Reserve</t>
  </si>
  <si>
    <t>Other Reserves</t>
  </si>
  <si>
    <t>Total</t>
  </si>
  <si>
    <t>Cash held in Government Banking Service account</t>
  </si>
  <si>
    <t>Maincode 07</t>
  </si>
  <si>
    <t>CAPITAL - Analysis of Adjustments to Opening Balances</t>
  </si>
  <si>
    <t>Total adjustment to Opening Balance (Local PPA Adj)</t>
  </si>
  <si>
    <t>Total of Analysis (MC03-MC06)</t>
  </si>
  <si>
    <t>Addition PFI</t>
  </si>
  <si>
    <t>Addition - Purchased (non-PFI)</t>
  </si>
  <si>
    <t>Addition - Donated/Govt granted (non-PFI)</t>
  </si>
  <si>
    <t>Addition - Leased Additions</t>
  </si>
  <si>
    <t>Disposal PFI</t>
  </si>
  <si>
    <t>Disposal Non-PFI</t>
  </si>
  <si>
    <t>Other</t>
  </si>
  <si>
    <t>PPE</t>
  </si>
  <si>
    <t>INT</t>
  </si>
  <si>
    <t>Non-Current Assets Held for Sale</t>
  </si>
  <si>
    <t>Reversionary interest (UK GAAP cost of PFI additions)</t>
  </si>
  <si>
    <t>Investment Properties</t>
  </si>
  <si>
    <t>TOTAL</t>
  </si>
  <si>
    <t>PROGRAMME</t>
  </si>
  <si>
    <t>Maincode 11</t>
  </si>
  <si>
    <t>Maincode 12</t>
  </si>
  <si>
    <t>Maincode 13</t>
  </si>
  <si>
    <t>REVENUE - Analysis of Adjustments to Opening Balances</t>
  </si>
  <si>
    <t>Total of Analysis (MC03 - MC24)</t>
  </si>
  <si>
    <t>Depreciation on Donated Assets - Prog</t>
  </si>
  <si>
    <t>Depreciation Other - Prog</t>
  </si>
  <si>
    <t>Provision Arising - Prog</t>
  </si>
  <si>
    <t>Provision Utilisation DEL  - Prog</t>
  </si>
  <si>
    <t>Provision Utilisation AME - Prog</t>
  </si>
  <si>
    <t>Impairment AME - Prog</t>
  </si>
  <si>
    <t>Impairment DEL - Prog</t>
  </si>
  <si>
    <t>PFI Revenue - Prog</t>
  </si>
  <si>
    <t>Other - Prog Cash</t>
  </si>
  <si>
    <t>Other - Prog Non Cash</t>
  </si>
  <si>
    <t>Other - Prog Income</t>
  </si>
  <si>
    <t>Non PFI</t>
  </si>
  <si>
    <t>Retained Earnings Reserve Adjustments:</t>
  </si>
  <si>
    <t>Retained Earnings</t>
  </si>
  <si>
    <t>Other - Not Retained Earnings</t>
  </si>
  <si>
    <t>Revenue consequences of LIFT/PFI schemes under UK GAAP / ESA95 (net of any sublease income)</t>
  </si>
  <si>
    <t>TRU03 - ROCR/OR/0190/002</t>
  </si>
  <si>
    <t>Reval Res +ve</t>
  </si>
  <si>
    <t>Statement of Changes in Taxpayers Equity</t>
  </si>
  <si>
    <t>PDC</t>
  </si>
  <si>
    <t>Retained Earnings Reserve</t>
  </si>
  <si>
    <t>Total Reserves</t>
  </si>
  <si>
    <t>TCS Adjustment</t>
  </si>
  <si>
    <t>Restated Opening Balance (Adjusted for TCS)</t>
  </si>
  <si>
    <t>Opening Balance Adjustment - Local PPAs</t>
  </si>
  <si>
    <t>Opening Balance Adjustment - Other</t>
  </si>
  <si>
    <t>Local Accounts - Restated Opening Balance</t>
  </si>
  <si>
    <t>CHANGES IN TAXPAYERS EQUITY FOR 2014-15</t>
  </si>
  <si>
    <t>Net Operating Cost for the Year</t>
  </si>
  <si>
    <t>Retained surplus(deficit) for the year</t>
  </si>
  <si>
    <t>Net Gain / (loss) on Revaluation of Property, Plant and Equipment</t>
  </si>
  <si>
    <t>Net Gain / (loss) on Revaluation of Intangible Assets</t>
  </si>
  <si>
    <t>Net Gain / (loss) on Revaluation of Financial Assets</t>
  </si>
  <si>
    <t>Net Gain / (loss) on Revaluation of Available for Sale Financial Assets</t>
  </si>
  <si>
    <t>Impairments and Reversals</t>
  </si>
  <si>
    <t>Transfers Between Reserves</t>
  </si>
  <si>
    <t>Transfers under Modified Absorption Accounting - PCTs &amp; SHAs</t>
  </si>
  <si>
    <t>Transfers under Modified Absorption Accounting - Other Bodies</t>
  </si>
  <si>
    <t>Transfers to/(from) Other Bodies within the Resource Account Boundary</t>
  </si>
  <si>
    <t>Transfers between Revaluation Reserve &amp; Retained Earnings Reserve in respect of assets transferred under absorption</t>
  </si>
  <si>
    <t>- On Disposal of Available for Sale financial Assets</t>
  </si>
  <si>
    <t>Reserves Eliminated on Dissolution</t>
  </si>
  <si>
    <t>Originating capital for Trust established in year</t>
  </si>
  <si>
    <t>New Temporary and Permanent PDC Received - Cash</t>
  </si>
  <si>
    <t>New PDC Received/(Repaid) - PCTs and SHAs Legacy items paid for by DH</t>
  </si>
  <si>
    <t>New Temporary and Permanent PDC Repaid In Year</t>
  </si>
  <si>
    <t>PDC Written Off</t>
  </si>
  <si>
    <t>Transfer due to change of status form Trust to Foundation Trust</t>
  </si>
  <si>
    <t>Other Movements (provide details on Freetext)</t>
  </si>
  <si>
    <t>Net Actuarial Gain/(Loss) on Pension</t>
  </si>
  <si>
    <t>Other Pensions Remeasurement</t>
  </si>
  <si>
    <t>Total Recognised Revenue and Expense for 2014-15</t>
  </si>
  <si>
    <t>Transfers between reserves in respect of modified absorption - PCTs &amp; SHAs</t>
  </si>
  <si>
    <t>Transfers between reserves in respect of modified absorption - Other Bodies</t>
  </si>
  <si>
    <t>Balance at YTD</t>
  </si>
  <si>
    <t>Statement of Changes in Taxpayers Equity - prior-year</t>
  </si>
  <si>
    <t>Prior Year Opening Balance</t>
  </si>
  <si>
    <t>CHANGES IN TAXPAYERS EQUITY FOR 2013-14</t>
  </si>
  <si>
    <t>Other gains/(loss)</t>
  </si>
  <si>
    <t>New PDC Received - Cash</t>
  </si>
  <si>
    <t>PDC Repaid In Year</t>
  </si>
  <si>
    <t>Transferred to NHS Foundation Trust</t>
  </si>
  <si>
    <t>Other Movements</t>
  </si>
  <si>
    <t>Other Pension Remeasurement</t>
  </si>
  <si>
    <t>Total Recognised Revenue and Expense for 2013-14</t>
  </si>
  <si>
    <t>Prior year Closing Balance</t>
  </si>
  <si>
    <t>TRU04 - ROCR/OR/0190/002</t>
  </si>
  <si>
    <t>Validate DA and GA</t>
  </si>
  <si>
    <t>Statement of Cash Flows (CF)</t>
  </si>
  <si>
    <t>Cash Flows from Operating Activities</t>
  </si>
  <si>
    <t>Operating Surplus/Deficit</t>
  </si>
  <si>
    <t>Depreciation and Amortisation</t>
  </si>
  <si>
    <t>Other Gains / (Losses) on foreign exchange</t>
  </si>
  <si>
    <t>Donated Assets received credited to revenue but non-cash</t>
  </si>
  <si>
    <t>Government Granted Assets received credited to revenue but non-cash</t>
  </si>
  <si>
    <t>Interest Paid</t>
  </si>
  <si>
    <t>Dividend (Paid)/Refunded</t>
  </si>
  <si>
    <t>Release of PFI/deferred credit</t>
  </si>
  <si>
    <t>(Increase)/Decrease in Inventories</t>
  </si>
  <si>
    <t>(Increase)/Decrease in Trade and Other Receivables</t>
  </si>
  <si>
    <t>(Increase)/Decrease in Other Current Assets</t>
  </si>
  <si>
    <t>Increase/(Decrease) in Trade and Other Payables</t>
  </si>
  <si>
    <t>Increase/(Decrease) in Other Current Liabilities</t>
  </si>
  <si>
    <t>Provisions Utilised</t>
  </si>
  <si>
    <t>Increase/(Decrease) in Movement in non Cash Provisions</t>
  </si>
  <si>
    <t>Net Cash Inflow/(Outflow) from Operating Activities</t>
  </si>
  <si>
    <t>CASH FLOWS FROM INVESTING ACTIVITIES</t>
  </si>
  <si>
    <t>Interest Received</t>
  </si>
  <si>
    <t>(Payments) for Property, Plant and Equipment</t>
  </si>
  <si>
    <t>(Payments) for Intangible Assets</t>
  </si>
  <si>
    <t>(Payments) for Investments with DH</t>
  </si>
  <si>
    <t>(Payments) for Other Financial Assets</t>
  </si>
  <si>
    <t>(Payments) for Financial Assets (LIFT)</t>
  </si>
  <si>
    <t>Proceeds of disposal of assets held for sale (PPE)</t>
  </si>
  <si>
    <t>Proceeds of disposal of assets held for sale (Intangible)</t>
  </si>
  <si>
    <t>Proceeds from Disposal of Investment with DH</t>
  </si>
  <si>
    <t>Proceeds from Disposal of Other Financial Assets</t>
  </si>
  <si>
    <t>Proceeds from the disposal of Financial Assets (LIFT)</t>
  </si>
  <si>
    <t>Loans Made in Respect of LIFT</t>
  </si>
  <si>
    <t>Loans Repaid in Respect of LIFT</t>
  </si>
  <si>
    <t>Feed to TRU55 - Cash Flow Financing</t>
  </si>
  <si>
    <t>Net Cash Inflow/(Outflow) from Investing Activities</t>
  </si>
  <si>
    <t>NET CASH INFLOW/(OUTFLOW) BEFORE FINANCING</t>
  </si>
  <si>
    <t>CASH FLOWS FROM FINANCING ACTIVITIES</t>
  </si>
  <si>
    <t>Gross Temporary and Permanent PDC Received</t>
  </si>
  <si>
    <t>Gross Temporary and Permanent PDC Repaid</t>
  </si>
  <si>
    <t>Loans received from DH - New Capital Investment Loans</t>
  </si>
  <si>
    <t>Loans received from DH - New Revenue Support Loans (previously known as Working Capital Loans)</t>
  </si>
  <si>
    <t>Other Loans Received</t>
  </si>
  <si>
    <t>Loans repaid to DH - Capital Investment Loans Repayment of Principal</t>
  </si>
  <si>
    <t>Loans repaid to DH - Working Capital Loans/Revenue Support Loans</t>
  </si>
  <si>
    <t>Other Loans Repaid</t>
  </si>
  <si>
    <t>Other Capital Receipts</t>
  </si>
  <si>
    <t>Cash transferred to NHS Foundation Trusts or on dissolution</t>
  </si>
  <si>
    <t>Capital Element of Payments in Respect of Finance Leases and On-SoFP PFI and LIFT</t>
  </si>
  <si>
    <t>Net Parliamentary Funding</t>
  </si>
  <si>
    <t>Capital Receipts Surrendered</t>
  </si>
  <si>
    <t>Capital grants and other capital receipts (excluding donated / government granted cash receipts)</t>
  </si>
  <si>
    <t>Cash Transferred (to)/from Other NHS Bodies (free text note required)</t>
  </si>
  <si>
    <t>Net Cash Inflow/(Outflow) from Financing Activities</t>
  </si>
  <si>
    <t>NET INCREASE/(DECREASE) IN CASH AND CASH EQUIVALENTS</t>
  </si>
  <si>
    <t>Cash and Cash Equivalents ( and Bank Overdraft) at Beginning of the Period</t>
  </si>
  <si>
    <t>Opening Balance Adjustment</t>
  </si>
  <si>
    <t>Restated Cash and Cash Equivalents (and Bank Overdraft) at Beginning of the Period</t>
  </si>
  <si>
    <t>Effect of Exchange Rate Changes in the Balance of Cash Held in Foreign Currencies</t>
  </si>
  <si>
    <t>Cash and Cash Equivalents (and Bank Overdraft) at YTD</t>
  </si>
  <si>
    <t>Reconciliation of Cash Drawings to Parliamentary Funding</t>
  </si>
  <si>
    <t>Total cash received from DH (Gross)</t>
  </si>
  <si>
    <t>Less: Trade Income from DH reported on AoB form XX sc100 mcC AoB In Ex</t>
  </si>
  <si>
    <t>Less/(Plus): movement in DH drs on AoB form XX sc100 mcB  AoB Cr Dr</t>
  </si>
  <si>
    <t>Sub total: net advances</t>
  </si>
  <si>
    <t>(Less)/plus: transfers (to)/from other resource account bodies  (free text note required)</t>
  </si>
  <si>
    <t>Plus: cost of Dentistry Schemes (central charge to cash limits)</t>
  </si>
  <si>
    <t>Plus: drugs reimbursement (central charge to cash limits)</t>
  </si>
  <si>
    <t>Parliamentary funding credited to General Fund</t>
  </si>
  <si>
    <t>TEMPORARY PDC</t>
  </si>
  <si>
    <t>Temporary PDC Received</t>
  </si>
  <si>
    <t>Temporary PDC Repaid</t>
  </si>
  <si>
    <t>Temporary PDC Converted to Permanent PDC</t>
  </si>
  <si>
    <t>Anticipated month of Repayment for temporary PDC (enter MM/YYYY)</t>
  </si>
  <si>
    <t>Reconciliation of Statement of Financial Position to working balances adjustment in Cash Flow - Working Paper</t>
  </si>
  <si>
    <t>(Increase)/decrease in inventories per SOFP</t>
  </si>
  <si>
    <t>Transfers of inventories to/(from) other NHS bodies</t>
  </si>
  <si>
    <t>Transfer to NHS Foundation Trust</t>
  </si>
  <si>
    <t>(Increase)/decrease in inventories adjusted for non-SOCI items</t>
  </si>
  <si>
    <t>Receivables</t>
  </si>
  <si>
    <t>(Increase)/decrease in receivables per SOFP</t>
  </si>
  <si>
    <t>Adjustment for receivables movement not related to SOCI:</t>
  </si>
  <si>
    <t>(Increase)/decrease in capital receivables</t>
  </si>
  <si>
    <t>Transfers of receivables to/(from) other NHS bodies</t>
  </si>
  <si>
    <t>Financing transactions</t>
  </si>
  <si>
    <t>(Increase)/decrease in receivables adjusted for non-SoCI items</t>
  </si>
  <si>
    <t>(Increase)/decrease in Other Current Assets per SOFP</t>
  </si>
  <si>
    <t>Adjustment for other current assets movement not related to SoCI:</t>
  </si>
  <si>
    <t>Adjustments for EU/ETS</t>
  </si>
  <si>
    <t>Transfers of payables (to)/from other NHS bodies</t>
  </si>
  <si>
    <t>(Increase)/decrease in other current assets adjusted for non-SoCI items</t>
  </si>
  <si>
    <t>Payables</t>
  </si>
  <si>
    <t>Increase/(decrease) in payables per SOFP</t>
  </si>
  <si>
    <t>Adjustment for payables movement not related to SoCI:</t>
  </si>
  <si>
    <t>Increase/(decrease) in capital payables</t>
  </si>
  <si>
    <t>Increase/(decrease) in payables adjusted for non-SoCI items</t>
  </si>
  <si>
    <t>(Increase)/decrease in Other Liabilities per SOFP</t>
  </si>
  <si>
    <t>Adjustment for liabilities movement not related to SoCI:</t>
  </si>
  <si>
    <t>Transfer (to)/from NHS bodies</t>
  </si>
  <si>
    <t>Transfer to NHS Foundation Trusts</t>
  </si>
  <si>
    <t>EU ETS and LA Pension liabilities</t>
  </si>
  <si>
    <t>(Increase)/decrease in other Liabilities adjusted for non-SoCI items</t>
  </si>
  <si>
    <t>Increase/(decrease) in non-cash provisions (excl unwinding of discount)</t>
  </si>
  <si>
    <t>Adjustment for provisions movement not related to SoCI:</t>
  </si>
  <si>
    <t>Other adjusting transactions</t>
  </si>
  <si>
    <t>Adjustment for EU ETS on surrender of allowances</t>
  </si>
  <si>
    <t>Increase/(decrease) in non-cash provisions for cash flow</t>
  </si>
  <si>
    <t>Capital Receivables and Payables</t>
  </si>
  <si>
    <t>Capital receivables Prior Year Closing</t>
  </si>
  <si>
    <t>Capital receivables YTD</t>
  </si>
  <si>
    <t>(Increase)/decrease in capital receivables in year</t>
  </si>
  <si>
    <t>Capital payables Prior Year Closing</t>
  </si>
  <si>
    <t>Capital payables YTD</t>
  </si>
  <si>
    <t>Increase/(decrease) in capital payables in year</t>
  </si>
  <si>
    <t>Analysis of Public Dividend Capital (PDC)</t>
  </si>
  <si>
    <t>Analysis of PDC Received in Year</t>
  </si>
  <si>
    <t>Permanent PDC Capital Received</t>
  </si>
  <si>
    <t>PDC recognised for Legacy Balances</t>
  </si>
  <si>
    <t>Permanent PDC Revenue Received</t>
  </si>
  <si>
    <t>Temporary PDC Capital Received</t>
  </si>
  <si>
    <t>Temporary PDC Revenue Received</t>
  </si>
  <si>
    <t>Total Temporary and Permanent PDC Received (sc430)</t>
  </si>
  <si>
    <t>Analysis of PDC Repaid in Year</t>
  </si>
  <si>
    <t>Permanent PDC Capital Repaid</t>
  </si>
  <si>
    <t>Public Dividend Capital recognised for Legacy Balances</t>
  </si>
  <si>
    <t>Permanent Revenue PDC Repaid</t>
  </si>
  <si>
    <t>Temporary Capital PDC Repaid</t>
  </si>
  <si>
    <t>Temporary Revenue PDC Repaid</t>
  </si>
  <si>
    <t>Total Temporary and Permanent PDC Repaid (sc440)</t>
  </si>
  <si>
    <t>Value of Temporary PDC Received Converted to Permanent PDC</t>
  </si>
  <si>
    <t>Other Loans  Received / Repaid in Year</t>
  </si>
  <si>
    <t>Loans received from DH - FT Liquidity Loans</t>
  </si>
  <si>
    <t>Loans received - London RE-FIT loans (London Trusts only)</t>
  </si>
  <si>
    <t>Other Loans Received (not included in above)</t>
  </si>
  <si>
    <t>Total Other Loans received</t>
  </si>
  <si>
    <t>Loans repaid to DH - FT Liquidity Loans</t>
  </si>
  <si>
    <t>Loans repaid - London RE-FIT loans (London Trusts only)</t>
  </si>
  <si>
    <t>Other Loans Repaid (not included in above)</t>
  </si>
  <si>
    <t>Total Other Loans repaid</t>
  </si>
  <si>
    <t>TRU05 - ROCR/OR/0190/002</t>
  </si>
  <si>
    <t>Analysis of Current Year to Date figures (MC01)</t>
  </si>
  <si>
    <t>Checking "Other" is no more than 30%</t>
  </si>
  <si>
    <t>Check Inter columns are not greater than total</t>
  </si>
  <si>
    <t>Validate Charitable and Other Contributions</t>
  </si>
  <si>
    <t>Trading Vals</t>
  </si>
  <si>
    <t>Maincode 14</t>
  </si>
  <si>
    <t>Maincode 15</t>
  </si>
  <si>
    <t>Maincode 16</t>
  </si>
  <si>
    <t>Maincode 17</t>
  </si>
  <si>
    <t>Maincode 18</t>
  </si>
  <si>
    <t>Maincode 19</t>
  </si>
  <si>
    <t>Maincode 20</t>
  </si>
  <si>
    <t>Maincode 21</t>
  </si>
  <si>
    <t>Maincode 22</t>
  </si>
  <si>
    <t>Restated Prior Year</t>
  </si>
  <si>
    <t>Inter SHA Admin</t>
  </si>
  <si>
    <t>Inter Agencies (PHE) Prog</t>
  </si>
  <si>
    <t>Inter NHS England (incl. CCGs) Prog</t>
  </si>
  <si>
    <t>Inter NDPBs</t>
  </si>
  <si>
    <t>Inter Other Group Bodies</t>
  </si>
  <si>
    <t>Inter WGA (inc OGD) Prog</t>
  </si>
  <si>
    <t>Inter DH Admin</t>
  </si>
  <si>
    <t>Inter DH Prog</t>
  </si>
  <si>
    <t>Inter NHS Trust Admin</t>
  </si>
  <si>
    <t>Inter NHS Trust Prog</t>
  </si>
  <si>
    <t>Inter FTs Admin</t>
  </si>
  <si>
    <t>Inter FTs Prog</t>
  </si>
  <si>
    <t>Inter NDPBs &amp; Other Admin (CGA)</t>
  </si>
  <si>
    <t>Inter HEE</t>
  </si>
  <si>
    <t>Inter Special Health Auth Admin (Other RAB bodies)</t>
  </si>
  <si>
    <t>Inter Special Health Auth Prog (Other RAB bodies)</t>
  </si>
  <si>
    <t>Inter LA Admin</t>
  </si>
  <si>
    <t>Inter LA Prog</t>
  </si>
  <si>
    <t>NHS Charities</t>
  </si>
  <si>
    <t>Prior Year (sc280)</t>
  </si>
  <si>
    <t>NHS England</t>
  </si>
  <si>
    <t>Prior Year (sc290)</t>
  </si>
  <si>
    <t>PCT</t>
  </si>
  <si>
    <t>Income Plus Investment</t>
  </si>
  <si>
    <t>Primary Care Trusts</t>
  </si>
  <si>
    <t>Strategic Health Authorities</t>
  </si>
  <si>
    <t>Foundation Trusts</t>
  </si>
  <si>
    <t>Non NHS</t>
  </si>
  <si>
    <t>Department of Health</t>
  </si>
  <si>
    <t>NHS Other (including Public Health England and Prop Co)</t>
  </si>
  <si>
    <t>Total operational Revenue from DH &amp; NHS Bodies</t>
  </si>
  <si>
    <t>Additional income for delivery of healthcare services</t>
  </si>
  <si>
    <t>Local Authorities</t>
  </si>
  <si>
    <t>Non NHS: Private Patients</t>
  </si>
  <si>
    <t>Non-NHS: Overseas Patients (non-reciprocal)</t>
  </si>
  <si>
    <t>Injury Cost Recovery</t>
  </si>
  <si>
    <t>Non NHS: Other (free text note required)</t>
  </si>
  <si>
    <t>TOTAL Revenue from Patient Care Activities</t>
  </si>
  <si>
    <t>Recoveries in respect employee benefits</t>
  </si>
  <si>
    <t>Patient Transport Services</t>
  </si>
  <si>
    <t>Education, Training and Research</t>
  </si>
  <si>
    <t>Charitable and Other Contributions to Expenditure - NHS</t>
  </si>
  <si>
    <t>Charitable and Other Contributions to Expenditure - Non NHS</t>
  </si>
  <si>
    <t>Total Charitable and Other Contributions to Expenditure</t>
  </si>
  <si>
    <t>Receipts of cash donations for capital acquisitions</t>
  </si>
  <si>
    <t>Receipt of non-cash donations (i.e. physical assets) for capital acquisitions)</t>
  </si>
  <si>
    <t>Total Receipts of Charity donations for capital acquisitions</t>
  </si>
  <si>
    <t>Support from DH for mergers</t>
  </si>
  <si>
    <t>Receipt of Grants for capital acquisitions</t>
  </si>
  <si>
    <t>Non-Patient Care Services to Other Bodies</t>
  </si>
  <si>
    <t>Income generation (Other fees and charges)</t>
  </si>
  <si>
    <t>Contingent Rent from Finance Leases</t>
  </si>
  <si>
    <t>Other Rental Revenue from Finance Leases</t>
  </si>
  <si>
    <t>Total Rental Revenue from Finance Leases</t>
  </si>
  <si>
    <t>Rental Revenue from Operating Leases (Minimum lease receipts)</t>
  </si>
  <si>
    <t>Contingent Rent from Operating Leases</t>
  </si>
  <si>
    <t>Total Rental Revenue from Operating Leases</t>
  </si>
  <si>
    <t>Other Cash Revenue (freetext required)</t>
  </si>
  <si>
    <t>Other Non-Cash Revenue (freetext required)</t>
  </si>
  <si>
    <t>Total Other Revenue</t>
  </si>
  <si>
    <t>TOTAL Other Operating Revenue</t>
  </si>
  <si>
    <t>Total Operating Revenue</t>
  </si>
  <si>
    <t>Total Revenue</t>
  </si>
  <si>
    <t>AoB</t>
  </si>
  <si>
    <t>Difference</t>
  </si>
  <si>
    <t>Revenue</t>
  </si>
  <si>
    <t>From rendering of services</t>
  </si>
  <si>
    <t>From sale of goods</t>
  </si>
  <si>
    <t>Income Generation - aggregate of all schemes that, individually, have a cost exceeding £1m</t>
  </si>
  <si>
    <t>Income</t>
  </si>
  <si>
    <t>Full Cost</t>
  </si>
  <si>
    <t>Surplus/(Deficit)</t>
  </si>
  <si>
    <t>Miscellaneous Revenue Analysis</t>
  </si>
  <si>
    <t>Rental Revenue from Finance Leases</t>
  </si>
  <si>
    <t>Contingent Rent</t>
  </si>
  <si>
    <t>Total Rental Revenue</t>
  </si>
  <si>
    <t>Rental Revenue from Operating Leases</t>
  </si>
  <si>
    <t>Rental Revenue (Minimum lease receipts)</t>
  </si>
  <si>
    <t>Other Revenue</t>
  </si>
  <si>
    <t>Other Cash Revenue (free text note required)</t>
  </si>
  <si>
    <t>Other Non Cash Revenue</t>
  </si>
  <si>
    <t>Donations - Capital</t>
  </si>
  <si>
    <t>Grants - Capital</t>
  </si>
  <si>
    <t>Receipts of grants/donations for capital acquisitions - Grant - CASH</t>
  </si>
  <si>
    <t>Receipts of grants/donations for capital acquisitions - Grant - NON CASH</t>
  </si>
  <si>
    <t>Memorandum 1: Split of Commissioner income between Tariff and non Tariff Income</t>
  </si>
  <si>
    <t>CCGs</t>
  </si>
  <si>
    <t>Tariff Income</t>
  </si>
  <si>
    <t>Non Tariff Income</t>
  </si>
  <si>
    <t>Total Income from NHS England and CCGs (sc110 &amp; 120 above)</t>
  </si>
  <si>
    <t>TRU06 - ROCR/OR/0190/002</t>
  </si>
  <si>
    <t>Local Accounts</t>
  </si>
  <si>
    <t>Dept of Health Consolidated Accounts</t>
  </si>
  <si>
    <t>Analysis of current year to date figures (MC01)</t>
  </si>
  <si>
    <t>Check Dep+Amor to TRU52 (YTD/FOT)</t>
  </si>
  <si>
    <t>Check entry in Drugs</t>
  </si>
  <si>
    <t>Trading</t>
  </si>
  <si>
    <t>Maincode 52</t>
  </si>
  <si>
    <t>Maincode 53</t>
  </si>
  <si>
    <t>Current YTD (Local Accounts)</t>
  </si>
  <si>
    <t>Dept of Health Consolidated Account - Expenditure YTD</t>
  </si>
  <si>
    <t>Of Which: Provisions (Dept of Health)</t>
  </si>
  <si>
    <t>Inter NHS England    (incl. CCGs) Prog</t>
  </si>
  <si>
    <t>Operating Expenses:</t>
  </si>
  <si>
    <t>Services from Other NHS Trusts</t>
  </si>
  <si>
    <t>Services from NHS England/CCGs</t>
  </si>
  <si>
    <t>Services from Other NHS Bodies</t>
  </si>
  <si>
    <t>Services from Foundation Trusts</t>
  </si>
  <si>
    <t>Finance Cost</t>
  </si>
  <si>
    <t>Total for Operating Expenses - Services from NHS bodies (*Note the prior year figures for this subtotal includes services for PCTs)</t>
  </si>
  <si>
    <t>Purchase of Healthcare from Non-NHS Bodies</t>
  </si>
  <si>
    <t>Gains/Losses</t>
  </si>
  <si>
    <t>Trust Chair and Non Exec Directors (to be excluded from Employee Benefits)</t>
  </si>
  <si>
    <t>Supplies and Services - Clinical (feeds from table below)</t>
  </si>
  <si>
    <t>Supplies and Services - General (feeds from table below)</t>
  </si>
  <si>
    <t>Consultancy Services</t>
  </si>
  <si>
    <t>Establishment (feeds from table below)</t>
  </si>
  <si>
    <t>Transport (feeds from table below)</t>
  </si>
  <si>
    <t>Service charges - ON-SOFP PFIs and other service concession arrangements</t>
  </si>
  <si>
    <t>Service charges - On-SOFP LIFT contracts</t>
  </si>
  <si>
    <t>Total charges - Off-SOFP PFIs and other service concession arrangements</t>
  </si>
  <si>
    <t>Total charges - Off-SOFP LIFT contracts</t>
  </si>
  <si>
    <t>Business rates paid to local authorities</t>
  </si>
  <si>
    <t>Premises (feeds from table below)</t>
  </si>
  <si>
    <t>Hospitality</t>
  </si>
  <si>
    <t>Insurance</t>
  </si>
  <si>
    <t>Legal Fees</t>
  </si>
  <si>
    <t>Impairments and Reversals of Receivables</t>
  </si>
  <si>
    <t>Inventories write downs</t>
  </si>
  <si>
    <t>Depreciation on Government Granted Assets and Donated Assets</t>
  </si>
  <si>
    <t>Depreciation on Other Assets</t>
  </si>
  <si>
    <t>Total Depreciation</t>
  </si>
  <si>
    <t>Amortisation on Government Granted Assets and Donated Assets</t>
  </si>
  <si>
    <t>Amortisation on Other Assets</t>
  </si>
  <si>
    <t>Total Amortisation</t>
  </si>
  <si>
    <t>Impairments and Reversals of Property, Plant and Equipment</t>
  </si>
  <si>
    <t>Impairments and Reversals of Intangible Assets</t>
  </si>
  <si>
    <t>Impairments and Reversals of Financial Assets</t>
  </si>
  <si>
    <t>Impairments and Reversals for Non Current Assets held for sale</t>
  </si>
  <si>
    <t>Prior Year Impairments</t>
  </si>
  <si>
    <t>Impairments and Reversals for Investment Properties</t>
  </si>
  <si>
    <t>Audit fees</t>
  </si>
  <si>
    <t>Other Auditors Remuneration (freetext note required)</t>
  </si>
  <si>
    <t>Clinical Negligence</t>
  </si>
  <si>
    <t>Research and Development (excluding staff costs)</t>
  </si>
  <si>
    <t>Education and Training</t>
  </si>
  <si>
    <t>Change in Discount Rate (Additional Expenditure)</t>
  </si>
  <si>
    <t>Other Cash Expenditure (feeds from table below)(freetext note required)</t>
  </si>
  <si>
    <t>Other Non Cash Expenditure (freetext note required)</t>
  </si>
  <si>
    <t>Total Other</t>
  </si>
  <si>
    <t>Dept of Health Consolidated Account - Additional Categories:</t>
  </si>
  <si>
    <t>Minimum Lease Payments (Dept of Health Consolidated Account)</t>
  </si>
  <si>
    <t>Contingent rents (Dept of Health Consolidated Account)</t>
  </si>
  <si>
    <t>Sub-Lease Payments (Dept of Health Consolidated Account)</t>
  </si>
  <si>
    <t>Total Operating Leases (Dept of Health Consolidated Account)</t>
  </si>
  <si>
    <t>Amounts Provided (non-staff related) (Dept of Health Consolidated Account)</t>
  </si>
  <si>
    <t>Inventories Consumed (Dept of Health Consolidated Account)</t>
  </si>
  <si>
    <t>Total Non Pay Operating Expenditure</t>
  </si>
  <si>
    <t>Amounts provided (staff related) (Dept of Health Consolidated Account)</t>
  </si>
  <si>
    <t>Total Non Pay Operating Expenditure plus staff related provisions</t>
  </si>
  <si>
    <t>Value of Drugs (including gases) already included in sc160</t>
  </si>
  <si>
    <t>Intercompany analysis of current year to date figures (MC01)</t>
  </si>
  <si>
    <t>Employee Benefits (exc capital costs)</t>
  </si>
  <si>
    <t>Employee Benefits (excluding officer board members) / Restated PY Gross Employee Benefit</t>
  </si>
  <si>
    <t>Trust Officer Board members</t>
  </si>
  <si>
    <t>Total Employee Benefits</t>
  </si>
  <si>
    <t>TOTAL Operating Expenses</t>
  </si>
  <si>
    <t>Analysis for Dept of Health Consolidated Account</t>
  </si>
  <si>
    <t>Supplies and Services - Clinical - Other</t>
  </si>
  <si>
    <t>Supplies and Services - Clinical - Operating Leases - Min Lease Payments</t>
  </si>
  <si>
    <t>Supplies and Services - Clinical - Operating Leases - Contingent Rent</t>
  </si>
  <si>
    <t>Supplies and Services - Clinical - Operating Leases - Sub Lease Payments</t>
  </si>
  <si>
    <t>Supplies and Services - Clinical - Inventories Consumed</t>
  </si>
  <si>
    <t>Supplies and Services - Clinical - Provisions</t>
  </si>
  <si>
    <t>Sub Total - Supplies and Services - Clinical</t>
  </si>
  <si>
    <t>Supplies and Services - General - Other</t>
  </si>
  <si>
    <t>Supplies and Services - General - Operating Leases - Min Lease Payments</t>
  </si>
  <si>
    <t>Supplies and Services - General - Operating Leases - Contingent Rent</t>
  </si>
  <si>
    <t>Supplies and Services - General - Operating Leases - Sub Lease Payments</t>
  </si>
  <si>
    <t>Supplies and Services - General - Inventories Consumed</t>
  </si>
  <si>
    <t>Supplies and Services - General - Provisions</t>
  </si>
  <si>
    <t>Sub Total - Supplies and Services - General</t>
  </si>
  <si>
    <t>Establishment- Other</t>
  </si>
  <si>
    <t>Establishment- Operating Leases - Min Lease Payments</t>
  </si>
  <si>
    <t>Establishment- Operating Leases - Contingent Rent</t>
  </si>
  <si>
    <t>Establishment- Operating Leases - Sub Lease Payments</t>
  </si>
  <si>
    <t>Establishment - Inventories Consumed</t>
  </si>
  <si>
    <t>Establishment - Provisions</t>
  </si>
  <si>
    <t>SubTotal - Establishment</t>
  </si>
  <si>
    <t>Transport - Other</t>
  </si>
  <si>
    <t>Transport - Operating Leases - Min Lease Payments</t>
  </si>
  <si>
    <t>Transport - Operating Leases - Contingent Rent</t>
  </si>
  <si>
    <t>Transport - Operating Leases - Sub Lease Payments</t>
  </si>
  <si>
    <t>Transport - Inventories Consumed</t>
  </si>
  <si>
    <t>Transport - Provisions</t>
  </si>
  <si>
    <t>Sub Total - Transport</t>
  </si>
  <si>
    <t>Premises - Other</t>
  </si>
  <si>
    <t>Premises - Operating Leases - Min Lease Payments</t>
  </si>
  <si>
    <t>Premises - Operating Leases - Contingent Rent</t>
  </si>
  <si>
    <t>Premises - Operating Leases - Sub Lease Payments</t>
  </si>
  <si>
    <t>Premises - Inventories Consumed</t>
  </si>
  <si>
    <t>Premises - Provisions</t>
  </si>
  <si>
    <t>Sub Total - Premises</t>
  </si>
  <si>
    <t>Other Cash Expenditure - Other</t>
  </si>
  <si>
    <t>Other Cash Expenditure - Operating Leases - Min Lease Payments</t>
  </si>
  <si>
    <t>Other Cash Expenditure - Operating Leases - Contingent Rent</t>
  </si>
  <si>
    <t>Other Cash Expenditure - Operating Leases - Sub Lease Payment</t>
  </si>
  <si>
    <t>Other Cash Expenditure -  Inventories Consumed</t>
  </si>
  <si>
    <t>Other Cash Expenditure - Provisions</t>
  </si>
  <si>
    <t>Sub Total - Other Cash Expenditure (freetext note required)</t>
  </si>
  <si>
    <t>TRU08 - ROCR/OR/0190/002</t>
  </si>
  <si>
    <t>OPERATING LEASES</t>
  </si>
  <si>
    <t>As Lessee</t>
  </si>
  <si>
    <t>Closing Balance YTD</t>
  </si>
  <si>
    <t>Payments to DH Group Bodies</t>
  </si>
  <si>
    <t>Payments to Non DH Group Bodies</t>
  </si>
  <si>
    <t>Prior year</t>
  </si>
  <si>
    <t>Payments Recognised as an Expense in year</t>
  </si>
  <si>
    <t>Minimum Lease Payments</t>
  </si>
  <si>
    <t>Contingent Rents</t>
  </si>
  <si>
    <t>Sub- Lease Payments</t>
  </si>
  <si>
    <t>Total Future Minimum Lease Payments (Land)</t>
  </si>
  <si>
    <t>Payable:</t>
  </si>
  <si>
    <t>Within 1 year</t>
  </si>
  <si>
    <t>Between 1 and 5 years</t>
  </si>
  <si>
    <t>After 5 years</t>
  </si>
  <si>
    <t>Total Future Minimum Lease Payments (Buildings)</t>
  </si>
  <si>
    <t>Total Future Minimum Lease Payments (Other)</t>
  </si>
  <si>
    <t>Total Future Sub Lease Payments Expected to be Received</t>
  </si>
  <si>
    <t>As Lessor</t>
  </si>
  <si>
    <t>Payments Recognised as Revenue in year:</t>
  </si>
  <si>
    <t>Total Future Minimum Lease Receivables</t>
  </si>
  <si>
    <t>Receivable:</t>
  </si>
  <si>
    <t>TRU09 - ROCR/OR/0190/002</t>
  </si>
  <si>
    <t>Local Accounts YTD</t>
  </si>
  <si>
    <t>Intercompany analysis of current year to date (MC01)</t>
  </si>
  <si>
    <t>Curr YTD v Inter</t>
  </si>
  <si>
    <t>Maincode 23</t>
  </si>
  <si>
    <t>Maincode 24</t>
  </si>
  <si>
    <t>Maincode 25</t>
  </si>
  <si>
    <t>Maincode 26</t>
  </si>
  <si>
    <t>Maincode 27</t>
  </si>
  <si>
    <t>Maincode 28</t>
  </si>
  <si>
    <t>Maincode 29</t>
  </si>
  <si>
    <t>Maincode 30</t>
  </si>
  <si>
    <t>Maincode 31</t>
  </si>
  <si>
    <t>Maincode 54</t>
  </si>
  <si>
    <t>Maincode 55</t>
  </si>
  <si>
    <t>Maincode 60</t>
  </si>
  <si>
    <t>Maincode 61</t>
  </si>
  <si>
    <t>Maincode 62</t>
  </si>
  <si>
    <t>Employee Benefits Current Year - Gross Expenditure</t>
  </si>
  <si>
    <t>Total YTD Local Accounts inc Provisions</t>
  </si>
  <si>
    <t>Permanently Employed YTD</t>
  </si>
  <si>
    <t>Other Agency/Contract</t>
  </si>
  <si>
    <t>Other Excl Agency/Contract</t>
  </si>
  <si>
    <t>Consolidated Account - Perm Employed YTD</t>
  </si>
  <si>
    <t>Provisions - YTD</t>
  </si>
  <si>
    <t>Provisions - Perm Employed YTD</t>
  </si>
  <si>
    <t>Provisions - Other YTD</t>
  </si>
  <si>
    <t>Inter WGA - Permanent</t>
  </si>
  <si>
    <t>Inter WGA - Temp/Agency</t>
  </si>
  <si>
    <t>Inter Agencies (PHE) - Other</t>
  </si>
  <si>
    <t>Inter NHS England (incl. CCGs) - Other</t>
  </si>
  <si>
    <t>Inter NDPB - Other</t>
  </si>
  <si>
    <t>Inter Other Group Bodies - Other</t>
  </si>
  <si>
    <t>Inter WGA - Other</t>
  </si>
  <si>
    <t>Inter DH - Other</t>
  </si>
  <si>
    <t>Inter NHS Trust - Other</t>
  </si>
  <si>
    <t>Inter FTs - Other</t>
  </si>
  <si>
    <t>Inter HEE - Other</t>
  </si>
  <si>
    <t>Inter Special Health Auth - Other</t>
  </si>
  <si>
    <t>Inter LA - Other</t>
  </si>
  <si>
    <t>FOT Employed</t>
  </si>
  <si>
    <t>FOT Other</t>
  </si>
  <si>
    <t>AME</t>
  </si>
  <si>
    <t>Salaries and wages</t>
  </si>
  <si>
    <t>Social Security costs</t>
  </si>
  <si>
    <t>NHS Pensions Scheme</t>
  </si>
  <si>
    <t>Other pension costs</t>
  </si>
  <si>
    <t>Other Post Employment Benefits</t>
  </si>
  <si>
    <t>Other Employment Benefits</t>
  </si>
  <si>
    <t>Termination Benefits</t>
  </si>
  <si>
    <t>TOTAL - including capitalised costs</t>
  </si>
  <si>
    <t>Less recoveries in respect of employee benefits</t>
  </si>
  <si>
    <t>Total - Net Employee Benefits including capitalised costs</t>
  </si>
  <si>
    <t>Recognised as:</t>
  </si>
  <si>
    <t>Costs Capitalised as part of assets</t>
  </si>
  <si>
    <t>TOTAL - excluding capitalised costs</t>
  </si>
  <si>
    <t>Commissioning Employment Benefits (PCT only)</t>
  </si>
  <si>
    <t>Provider Employment Benefits (PCT only)</t>
  </si>
  <si>
    <t>TOTAL - excluding capitalised costs (PCT only)</t>
  </si>
  <si>
    <t>Employee Benefits Expenditure Inter Columns - TRU06</t>
  </si>
  <si>
    <t>Employee Benefits Current Year - Income</t>
  </si>
  <si>
    <t>Total YTD</t>
  </si>
  <si>
    <t>Other YTD</t>
  </si>
  <si>
    <t>Prog</t>
  </si>
  <si>
    <t>Employer Contributions to NHS BSA - Pensions Division</t>
  </si>
  <si>
    <t>TOTAL excluding capitalised costs</t>
  </si>
  <si>
    <t>Less recoveries in respect of employee benefits (table below)</t>
  </si>
  <si>
    <t>Commissioning Employment Benefits</t>
  </si>
  <si>
    <t>Provider Employment Benefits</t>
  </si>
  <si>
    <t>Average Staff Numbers</t>
  </si>
  <si>
    <t>Permanently</t>
  </si>
  <si>
    <t>Employed</t>
  </si>
  <si>
    <t>Number</t>
  </si>
  <si>
    <t>Medical and dental</t>
  </si>
  <si>
    <t>Ambulance staff</t>
  </si>
  <si>
    <t>Administration and estates</t>
  </si>
  <si>
    <t>Healthcare assistants and other support staff</t>
  </si>
  <si>
    <t>Nursing, midwifery and health visiting staff</t>
  </si>
  <si>
    <t>Nursing, midwifery and health visiting learners</t>
  </si>
  <si>
    <t>Scientific, therapeutic and technical staff</t>
  </si>
  <si>
    <t>Social Care Staff</t>
  </si>
  <si>
    <t>Staff engaged on capital projects (included above)</t>
  </si>
  <si>
    <t>Staff Sickness Absence</t>
  </si>
  <si>
    <t>Total Days Lost (Completion only required at Q4)</t>
  </si>
  <si>
    <t>Total Staff Years (Completion only required at Q4)</t>
  </si>
  <si>
    <t>Average working Days Lost (Completion only required at Q4)</t>
  </si>
  <si>
    <t>Number of persons retired early on ill health grounds (Completion only required at Q4)</t>
  </si>
  <si>
    <t>Total additional pensions liabilities accrued in the year (£000s) (Completion only required at Q4)</t>
  </si>
  <si>
    <t>Current Year</t>
  </si>
  <si>
    <t>Non-NHS Payables</t>
  </si>
  <si>
    <t>Total Non-NHS Trade Invoices Paid in the Year</t>
  </si>
  <si>
    <t>Total Non-NHS Trade Invoices Paid Within Target</t>
  </si>
  <si>
    <t>Percentage of Non-NHS Trade Invoices Paid Within Target</t>
  </si>
  <si>
    <t>%</t>
  </si>
  <si>
    <t>NHS Payables</t>
  </si>
  <si>
    <t>Total NHS Trade Invoices Paid in the Year</t>
  </si>
  <si>
    <t>Total NHS Trade Invoices Paid Within Target</t>
  </si>
  <si>
    <t>Percentage of NHS Trade Invoices Paid Within Target</t>
  </si>
  <si>
    <t>Note 7.2 The Late Payment of Commercial Debts (Interest) Act 1998</t>
  </si>
  <si>
    <t>Prior-year</t>
  </si>
  <si>
    <t>Amounts included within Finance Costs arising</t>
  </si>
  <si>
    <t>from claims made by businesses under this legislation (Completion only required at Q4)</t>
  </si>
  <si>
    <t>Compensation paid to cover debt recovery costs under</t>
  </si>
  <si>
    <t>this legislation (Completion only required at Q4)</t>
  </si>
  <si>
    <t>Memo - Agency/Contract Staff Costs included in analysis above</t>
  </si>
  <si>
    <t>Agency/Contract Staff Costs in Gross Costs</t>
  </si>
  <si>
    <t>Agency/Contract Staff element of Income</t>
  </si>
  <si>
    <t>Net Agency/Contract Staff Costs</t>
  </si>
  <si>
    <t>Memo -Bank Staff Costs included in analysis above (SC210/420)</t>
  </si>
  <si>
    <t>Bank Staff Included in Permanently Employed (mc02)</t>
  </si>
  <si>
    <t>Bank Staff Included in Other Excl Agency/Contract (mc05)</t>
  </si>
  <si>
    <t>Total Bank Staff</t>
  </si>
  <si>
    <t>TRU10 - ROCR/OR/0190/002</t>
  </si>
  <si>
    <t>Validate</t>
  </si>
  <si>
    <t>Reporting of other compensation schemes - exit packages 2014-15</t>
  </si>
  <si>
    <t>mc01/mc02</t>
  </si>
  <si>
    <t>mc03/mc04</t>
  </si>
  <si>
    <t>Exit package cost band (including any special payment element)</t>
  </si>
  <si>
    <t>Sub code</t>
  </si>
  <si>
    <t>*Number of compulsory redundancies</t>
  </si>
  <si>
    <t>*Cost of compulsory redundancies</t>
  </si>
  <si>
    <t>Number of other departures agreed</t>
  </si>
  <si>
    <t>Cost of other departures agreed</t>
  </si>
  <si>
    <t>Total number of exit packages</t>
  </si>
  <si>
    <t>Total cost of exit packages</t>
  </si>
  <si>
    <t>Number of departures where special payments have been made</t>
  </si>
  <si>
    <t>Cost of special payment element included in exit packages</t>
  </si>
  <si>
    <t>WHOLE NUMBERS ONLY</t>
  </si>
  <si>
    <t>£s</t>
  </si>
  <si>
    <t>Less than £10,000</t>
  </si>
  <si>
    <t>£10,000 - £25,000</t>
  </si>
  <si>
    <t>£25,001 - £50,000</t>
  </si>
  <si>
    <t>£50,001 - £100,000</t>
  </si>
  <si>
    <t>£100,001 - £150,000</t>
  </si>
  <si>
    <t>£150,001 - £200,000</t>
  </si>
  <si>
    <t>&gt;£200,000</t>
  </si>
  <si>
    <t>Reporting of other compensation schemes - exit packages 2013-14</t>
  </si>
  <si>
    <t>£10,001 - £25,000</t>
  </si>
  <si>
    <t>Other Exit Packages 2014-15</t>
  </si>
  <si>
    <t>Other Exit packages - disclosures (Exclude Compulsory Redundancies)</t>
  </si>
  <si>
    <t>Number of  exit package agreements</t>
  </si>
  <si>
    <t>Total Value of agreements</t>
  </si>
  <si>
    <t>13/14 Number of  exit package agreements</t>
  </si>
  <si>
    <t>13/14 Total Value of agreements</t>
  </si>
  <si>
    <t>Voluntary redundancies including early retirement contractual costs</t>
  </si>
  <si>
    <t>Mutually agreed resignations (MARS) contractual costs</t>
  </si>
  <si>
    <t>Early retirements in the efficiency of the service contractual costs</t>
  </si>
  <si>
    <t>Contractual payments in lieu of notice</t>
  </si>
  <si>
    <t>Exit payments following Employment Tribunals or court orders</t>
  </si>
  <si>
    <t>Non contractual payments requiring HMT approval *</t>
  </si>
  <si>
    <t>Non-contractual payments made to individuals where the payment value was more than 12 months of their annual salary</t>
  </si>
  <si>
    <t>Note * this includes any non-contractual severance payment following judicial mediation</t>
  </si>
  <si>
    <t>and amounts relating to non-contractual payments in lieu of notice.</t>
  </si>
  <si>
    <t>Details must be disclosed in the Trusts Annual Report and Accounts</t>
  </si>
  <si>
    <t>Details should be consistent with related disclosures in (a) the Remuneration Report and (b) the losses &amp; Special Payments note.</t>
  </si>
  <si>
    <t>TRU11 - ROCR/OR/0190/002</t>
  </si>
  <si>
    <t>YTD Prog</t>
  </si>
  <si>
    <t>PFI Finance Lease Planned revenue</t>
  </si>
  <si>
    <t>PFI Contingent revenue</t>
  </si>
  <si>
    <t>Other Finance Lease revenue</t>
  </si>
  <si>
    <t>Sub Total</t>
  </si>
  <si>
    <t>Interest Revenue</t>
  </si>
  <si>
    <t>LIFT: Equity Dividends Receivable</t>
  </si>
  <si>
    <t>LIFT: Loan Interest Receivable</t>
  </si>
  <si>
    <t>Bank Interest</t>
  </si>
  <si>
    <t>Other Loans and Receivables</t>
  </si>
  <si>
    <t>Impaired Financial Assets</t>
  </si>
  <si>
    <t>Total Interest Revenue on Loans and Receivables</t>
  </si>
  <si>
    <t>Gain on disposal other than by sale (PPE)</t>
  </si>
  <si>
    <t>(Loss) on disposal other than by sale (PPE)</t>
  </si>
  <si>
    <t>Total Gain/(Loss) on disposal of assets other than by sale (PPE)</t>
  </si>
  <si>
    <t>Gain on disposal other than by sale (Intangibles)</t>
  </si>
  <si>
    <t>(Loss) on disposal other than by sale (Intangibles)</t>
  </si>
  <si>
    <t>Total Gain/(Loss) on disposal of assets other than by sale (intangibles)</t>
  </si>
  <si>
    <t>Gain on disposal other than by sale (Financial Assets)</t>
  </si>
  <si>
    <t>(Loss) on disposal other than by sale (Financial Assets)</t>
  </si>
  <si>
    <t>Total Gain/(Loss) on disposal of Financial Assets other then held for sale</t>
  </si>
  <si>
    <t>Gain on disposal of assets held for sale</t>
  </si>
  <si>
    <t>(Loss) on disposal of assets held for sale</t>
  </si>
  <si>
    <t>Total Gain/(Loss) on disposal of assets held for sale</t>
  </si>
  <si>
    <t>Gain/(Loss) on Foreign Exchange</t>
  </si>
  <si>
    <t>Change in Fair Value of Financial Assets Through the SoCI</t>
  </si>
  <si>
    <t>Change in Fair Value of Financial Liabilities Through the Operating Cost Statement</t>
  </si>
  <si>
    <t>Change in Fair Value of Investment Property</t>
  </si>
  <si>
    <t>Total Gain/(Loss) on Changes in Fair Value</t>
  </si>
  <si>
    <t>Recycling of Gain/(Loss) from Equity on Disposal of Financial Asset Held for Sale</t>
  </si>
  <si>
    <t>Inter Agencies (PHE)</t>
  </si>
  <si>
    <t>Inter NHS England (incl. CCGs)</t>
  </si>
  <si>
    <t>Inter NDPB</t>
  </si>
  <si>
    <t>Inter WGA</t>
  </si>
  <si>
    <t>Interest on Loans and Overdrafts</t>
  </si>
  <si>
    <t>Interest on obligations under finance leases</t>
  </si>
  <si>
    <t>Interest on Obligations Under PFI Contracts</t>
  </si>
  <si>
    <t>Main Finance Cost</t>
  </si>
  <si>
    <t>Contingent Finance Cost</t>
  </si>
  <si>
    <t>Total Interest on Obligations Under PFI Contracts</t>
  </si>
  <si>
    <t>Interest on Obligations Under LIFT Contracts</t>
  </si>
  <si>
    <t>Total Interest on Obligations Under LIFT Contracts</t>
  </si>
  <si>
    <t>Interest on Late Payment of Commercial Debt</t>
  </si>
  <si>
    <t>Other Interest Expense</t>
  </si>
  <si>
    <t>Total Interest Expense</t>
  </si>
  <si>
    <t>Other Finance Costs</t>
  </si>
  <si>
    <t>Provisions  - Unwinding of Discount</t>
  </si>
  <si>
    <t>Other Gains and Losses - Additional Analysis</t>
  </si>
  <si>
    <t>(Loss) on disposal other than by sale )PPE)</t>
  </si>
  <si>
    <t>Total PPE</t>
  </si>
  <si>
    <t>Total Intangibles</t>
  </si>
  <si>
    <t>Total Financial Assets</t>
  </si>
  <si>
    <t>Total Assets held for sale</t>
  </si>
  <si>
    <t>Memorandum</t>
  </si>
  <si>
    <t>Of the Other Finance Costs included in sc410 above. please record the element that relates to the 1% commitment fee for the issue of PDC</t>
  </si>
  <si>
    <t>1% Commitment fee for issue of PDC</t>
  </si>
  <si>
    <t>TRU12 - ROCR/OR/0190/002</t>
  </si>
  <si>
    <t>Imp &amp; Rev</t>
  </si>
  <si>
    <t>Opening Balance</t>
  </si>
  <si>
    <t>YTD Reval</t>
  </si>
  <si>
    <t>NBV/Asset Finance</t>
  </si>
  <si>
    <t>Asset Held for Sale</t>
  </si>
  <si>
    <t>Reclassifications Cost PPE &amp; INT</t>
  </si>
  <si>
    <t>Reclassifications Dep / Amort PPE &amp; INT</t>
  </si>
  <si>
    <t>Property , Plant and Equipment</t>
  </si>
  <si>
    <t>Land</t>
  </si>
  <si>
    <t>Buildings excl</t>
  </si>
  <si>
    <t>Dwellings</t>
  </si>
  <si>
    <t>Assets Under</t>
  </si>
  <si>
    <t>Plant &amp;</t>
  </si>
  <si>
    <t>Transport and</t>
  </si>
  <si>
    <t>Information</t>
  </si>
  <si>
    <t>Furniture</t>
  </si>
  <si>
    <t>Forecast</t>
  </si>
  <si>
    <t>Construction</t>
  </si>
  <si>
    <t>Machinery</t>
  </si>
  <si>
    <t>Equipment</t>
  </si>
  <si>
    <t>Technology</t>
  </si>
  <si>
    <t>&amp; Fittings</t>
  </si>
  <si>
    <t>Outturn</t>
  </si>
  <si>
    <t>and Payments</t>
  </si>
  <si>
    <t>on Account</t>
  </si>
  <si>
    <t>Opening Cost or Valuation (per DH consolidated account)</t>
  </si>
  <si>
    <t>Local Accounts - Restated Opening Cost or Valuation</t>
  </si>
  <si>
    <t>Additions of Assets Under Construction</t>
  </si>
  <si>
    <t>Additions Purchased</t>
  </si>
  <si>
    <t>Additions - Non Cash Donations (i.e. physical assets)</t>
  </si>
  <si>
    <t>Held for Sale</t>
  </si>
  <si>
    <t>Additions - Purchases from Cash Donations &amp; Government Grants</t>
  </si>
  <si>
    <t>Additions Leased</t>
  </si>
  <si>
    <t>Reclassifications</t>
  </si>
  <si>
    <t>Reclassifications as Held for Sale and Reversals</t>
  </si>
  <si>
    <t>Disposals other than for sale</t>
  </si>
  <si>
    <t>Revaluation</t>
  </si>
  <si>
    <t>PPE plus INT = zero</t>
  </si>
  <si>
    <t>Impairments/negative indexation charged to reserves</t>
  </si>
  <si>
    <t>Reversal of Impairments charged to reserves</t>
  </si>
  <si>
    <t>Impairments/negative indexation and reversals charged to reserves</t>
  </si>
  <si>
    <t>Transfers to Foundation Trust</t>
  </si>
  <si>
    <t>Transfers (to)/from Other Public Sector Bodies under Absorption Accounting</t>
  </si>
  <si>
    <t>Cumulative dep netted off cost following revaluation</t>
  </si>
  <si>
    <t>Cost or Valuation</t>
  </si>
  <si>
    <t>Opening Depreciation (per DH consolidated account)</t>
  </si>
  <si>
    <t>Restated Opening Depreciation (Adjusted for TCS)</t>
  </si>
  <si>
    <t>Opening Balance Adjustment -  Other</t>
  </si>
  <si>
    <t>Local Accounts - Restated Opening Depreciation</t>
  </si>
  <si>
    <t>Impairments/negative indexation charged to operating expenses</t>
  </si>
  <si>
    <t>Reversal of Impairments charged to operating expenses</t>
  </si>
  <si>
    <t>Impairments/negative indexation and reversals charged to Operating Expenses</t>
  </si>
  <si>
    <t>Charged During the Year</t>
  </si>
  <si>
    <t>Transfers (to)/from NHS Bodies</t>
  </si>
  <si>
    <t>Less cumulative dep written down on revaluation</t>
  </si>
  <si>
    <t>Depreciation at YTD</t>
  </si>
  <si>
    <t>Net Book Value at YTD</t>
  </si>
  <si>
    <t>Purchased</t>
  </si>
  <si>
    <t>Donated</t>
  </si>
  <si>
    <t>Government Granted</t>
  </si>
  <si>
    <t>Total at YTD</t>
  </si>
  <si>
    <t>Owned - Purchased</t>
  </si>
  <si>
    <t>Owned - Donated</t>
  </si>
  <si>
    <t>Owned - Government Granted</t>
  </si>
  <si>
    <t>Total Owned - Donated/Government Granted</t>
  </si>
  <si>
    <t>Finance Leased</t>
  </si>
  <si>
    <t>Private Finance Initiative/LIFT</t>
  </si>
  <si>
    <t>PFI Residual Interests</t>
  </si>
  <si>
    <t>Net Book Value as at YTD</t>
  </si>
  <si>
    <t>Revaluation Reserve Balance for Property, Plant &amp; Equipment</t>
  </si>
  <si>
    <t>Buildings</t>
  </si>
  <si>
    <t>Assets Under Construction and Payments on Account</t>
  </si>
  <si>
    <t>Opening Cost or Valuation</t>
  </si>
  <si>
    <t>In year movements</t>
  </si>
  <si>
    <t>Balance as at YTD</t>
  </si>
  <si>
    <t>Economic Lives of Non-Current Assets</t>
  </si>
  <si>
    <t>Opening</t>
  </si>
  <si>
    <t>Min Life</t>
  </si>
  <si>
    <t>Max Life</t>
  </si>
  <si>
    <t>Reval Res</t>
  </si>
  <si>
    <t>RevalRes</t>
  </si>
  <si>
    <t>Years</t>
  </si>
  <si>
    <t>Software Licences</t>
  </si>
  <si>
    <t>AST</t>
  </si>
  <si>
    <t>Licences and Trademarks</t>
  </si>
  <si>
    <t>Patents</t>
  </si>
  <si>
    <t>Development Expenditure</t>
  </si>
  <si>
    <t>IT - in house &amp; 3rd Party Software</t>
  </si>
  <si>
    <t>Buildings exc Dwellings</t>
  </si>
  <si>
    <t>Plant &amp; Machinery</t>
  </si>
  <si>
    <t>Transport Equipment</t>
  </si>
  <si>
    <t>Information Technology</t>
  </si>
  <si>
    <t>Furniture and Fittings</t>
  </si>
  <si>
    <t>Buildings excl.</t>
  </si>
  <si>
    <t>dwellings</t>
  </si>
  <si>
    <t>Open Market Value at YTD</t>
  </si>
  <si>
    <t>Open Market Value at end of Prior Year</t>
  </si>
  <si>
    <t>Property , Plant and Equipment Prior-year</t>
  </si>
  <si>
    <t>Prior Year Opening Cost or Valuation</t>
  </si>
  <si>
    <t>Additions - Non Cash Donations (i.e. Physical Assets)</t>
  </si>
  <si>
    <t>Impairments/Negative Indexation and Reversals Charged to Reserves</t>
  </si>
  <si>
    <t>Cost or Valuation at end of Prior Year</t>
  </si>
  <si>
    <t>Prior Year Opening Depreciation</t>
  </si>
  <si>
    <t>Impairments/Negative Indexation and Reversals Charged to Operating Expenses</t>
  </si>
  <si>
    <t>Depreciation at end of Prior Year</t>
  </si>
  <si>
    <t>Net Book Value at end of Prior Year</t>
  </si>
  <si>
    <t>Assets Under Construction (Additions)</t>
  </si>
  <si>
    <t>Buildings excl Dwellings</t>
  </si>
  <si>
    <t>Additions Leased  - included in total at sc220</t>
  </si>
  <si>
    <t>TRU13 - ROCR/OR/0190/002</t>
  </si>
  <si>
    <t>VAl Neg</t>
  </si>
  <si>
    <t>Imp Rev</t>
  </si>
  <si>
    <t>NBV</t>
  </si>
  <si>
    <t>NBV For TRU55</t>
  </si>
  <si>
    <t>Intangible TCS</t>
  </si>
  <si>
    <t>Intangible Non-Current Assets</t>
  </si>
  <si>
    <t>IT - in-house &amp; 3rd party software</t>
  </si>
  <si>
    <t>Computer Licenses</t>
  </si>
  <si>
    <t>Licenses and Trademarks</t>
  </si>
  <si>
    <t>Development Expenditure - Internally Generated</t>
  </si>
  <si>
    <t>TRU87 feed</t>
  </si>
  <si>
    <t>Additions Internally Generated</t>
  </si>
  <si>
    <t>Additions - Purchases from Cash Donations and Government Grants</t>
  </si>
  <si>
    <t>Upward revaluation/positive indexation</t>
  </si>
  <si>
    <t>Imp &amp; Reversals</t>
  </si>
  <si>
    <t>Impairment/negative indexation and reversals charged to reserves</t>
  </si>
  <si>
    <t>Transfer (to)/from Other Public Sector bodies under Absorption Accounting</t>
  </si>
  <si>
    <t>Gross Cost at YTD including sc750</t>
  </si>
  <si>
    <t>Opening Amortisation (per DH consolidated account)</t>
  </si>
  <si>
    <t>Restated Opening Amortisation (Adjusted for TCS)</t>
  </si>
  <si>
    <t>Local Accounts - Restated Opening Amortisation</t>
  </si>
  <si>
    <t>Impairment/negative indexation and reversals charged to operating expenses</t>
  </si>
  <si>
    <t>Amortisation at YTD</t>
  </si>
  <si>
    <t>Owned -Purchased</t>
  </si>
  <si>
    <t>Owned -Donated</t>
  </si>
  <si>
    <t>Owned -Government Granted</t>
  </si>
  <si>
    <t>On-balance Sheet PFIs</t>
  </si>
  <si>
    <t>Revaluation Reserve Balance for Intangible Assets</t>
  </si>
  <si>
    <t>Restated Opening Balance ( Adjusted for TCS)</t>
  </si>
  <si>
    <t>In year movements (freetext required)</t>
  </si>
  <si>
    <t>Intangible Non-Current Assets - Prior Year</t>
  </si>
  <si>
    <t>Prior Year Cost or Valuation</t>
  </si>
  <si>
    <t>Additions Donated</t>
  </si>
  <si>
    <t>Additions Government Granted</t>
  </si>
  <si>
    <t>Gross cost at end of Prior Year</t>
  </si>
  <si>
    <t>Prior Year Amortisation</t>
  </si>
  <si>
    <t>Restated Opening Amortisation ( Adjusted for TCS)</t>
  </si>
  <si>
    <t>Amortisation at end of Prior Year</t>
  </si>
  <si>
    <t>Total at end of Prior Year</t>
  </si>
  <si>
    <t>Additions Leased  - included in total at sc225</t>
  </si>
  <si>
    <t>Subtotals for Hyperion use only</t>
  </si>
  <si>
    <t>TRU14 - ROCR/OR/0190/002</t>
  </si>
  <si>
    <t>Analysis of Impairments / (Reversals) - Working Paper</t>
  </si>
  <si>
    <t>Current YTD Prog</t>
  </si>
  <si>
    <t>Property, Plant and Equipment impairments and reversals taken to SoCI</t>
  </si>
  <si>
    <t>Loss or Damage Resulting from Normal Operations</t>
  </si>
  <si>
    <t>Over Specification of Assets</t>
  </si>
  <si>
    <t>Abandonment of Assets in the Course of Construction</t>
  </si>
  <si>
    <t>TOTAL DEL</t>
  </si>
  <si>
    <t>Unforeseen Obsolescence</t>
  </si>
  <si>
    <t>Loss as a Result of a Catastrophe</t>
  </si>
  <si>
    <t>Other (Free text note required)</t>
  </si>
  <si>
    <t>Changes in Market Price</t>
  </si>
  <si>
    <t>TOTAL AME</t>
  </si>
  <si>
    <t>Property, Plant and Equipment impairments and reversals charged to the Revaluation Reserve</t>
  </si>
  <si>
    <t>TOTAL impairments for PPE charged to Reserves</t>
  </si>
  <si>
    <t>Total Impairments of PPE charged to SoCI</t>
  </si>
  <si>
    <t>Intangible Assets impairments and reversals charged to SoCI</t>
  </si>
  <si>
    <t>Intangible Assets impairments and reversals charged to the Revaluation Reserve</t>
  </si>
  <si>
    <t>TOTAL impairments for Intangible Assets charged to Reserves</t>
  </si>
  <si>
    <t>Total Impairments of Intangibles charged to SoCI</t>
  </si>
  <si>
    <t>Financial Assets charged to SoCI</t>
  </si>
  <si>
    <t>Other (Free text note required)*</t>
  </si>
  <si>
    <t>Financial Assets impairments and reversals charged to the Revaluation Reserve</t>
  </si>
  <si>
    <t>TOTAL impairments for Financial Assets charged to Reserves</t>
  </si>
  <si>
    <t>Total Impairments of Financial Assets</t>
  </si>
  <si>
    <t>Non Current Assets held for sale - impairments and reversals charged to SoCI</t>
  </si>
  <si>
    <t>Total impairments of Non Current Assets held for sale</t>
  </si>
  <si>
    <t>Inventories - impairments and reversals charged to SoCI</t>
  </si>
  <si>
    <t>Total impairments of Inventories</t>
  </si>
  <si>
    <t>Investment Property impairments charged to SoCI</t>
  </si>
  <si>
    <t>Total impairments of Investment Property</t>
  </si>
  <si>
    <t>Investment Property impairments and reversals charged to the Revaluation Reserve</t>
  </si>
  <si>
    <t>TOTAL impairments for Investment Property charged to Reserves</t>
  </si>
  <si>
    <t>Total Investment Property impairments</t>
  </si>
  <si>
    <t>Total Impairments charged to Revaluation Reserve</t>
  </si>
  <si>
    <t>Total Impairments charged to SoCI - DEL</t>
  </si>
  <si>
    <t>Total Impairments charged to SoCI - AME</t>
  </si>
  <si>
    <t>Overall Total Impairments (free text note required)</t>
  </si>
  <si>
    <t>Of which:</t>
  </si>
  <si>
    <t>MEA Impairments</t>
  </si>
  <si>
    <t>Donated and Government Granted Assets, included in sc930 above</t>
  </si>
  <si>
    <t>PPE - Donated and Government Granted Asset Impairments: amount charged to SoCI -DEL*</t>
  </si>
  <si>
    <t>Intangibles - Donated and Government Granted Asset Impairments: amount charged to SoCI -DEL*</t>
  </si>
  <si>
    <t>*Free text disclosure giving the details regarding the events and circumstances resulting in the impairment, the amount and the nature of the asset</t>
  </si>
  <si>
    <t>and the operating segment to which it relates is required for material impairments</t>
  </si>
  <si>
    <t>TRU15 - ROCR/OR/0190/002</t>
  </si>
  <si>
    <t>Check</t>
  </si>
  <si>
    <t>Change in FV of Invst Prop</t>
  </si>
  <si>
    <t>Rec Intra Govt</t>
  </si>
  <si>
    <t>Pay Intra Govt</t>
  </si>
  <si>
    <t>Validate to TRU14</t>
  </si>
  <si>
    <t>At Fair Value</t>
  </si>
  <si>
    <t>Additions Through Subsequent Expenditure</t>
  </si>
  <si>
    <t>Other Acquisitions</t>
  </si>
  <si>
    <t>Disposals</t>
  </si>
  <si>
    <t>Property Reclassified as Held for Sale</t>
  </si>
  <si>
    <t>Loss from Fair Value Adjustments - Impairments</t>
  </si>
  <si>
    <t>Loss from Fair Value Adjustments - Impairment Reversals</t>
  </si>
  <si>
    <t>Total Loss from Fair Value Adjustments</t>
  </si>
  <si>
    <t>Gain from Fair Value Adjustments</t>
  </si>
  <si>
    <t>Other Changes</t>
  </si>
  <si>
    <t>Property , Plant and Equipment (Completion only required at Q4)</t>
  </si>
  <si>
    <t>Intangible Assets (Completion only required at Q4)</t>
  </si>
  <si>
    <t>Total (freetext note required for movement &lt;&gt;£35m)</t>
  </si>
  <si>
    <t>Non</t>
  </si>
  <si>
    <t>Current</t>
  </si>
  <si>
    <t>Rec</t>
  </si>
  <si>
    <t>Pay</t>
  </si>
  <si>
    <t>Balances with Other Central Government Bodies</t>
  </si>
  <si>
    <t>Central Bodies/Public Corps/Trading Funds</t>
  </si>
  <si>
    <t>Balances with Local Authorities</t>
  </si>
  <si>
    <t>LA</t>
  </si>
  <si>
    <t>Balances with NHS bodies outside the Departmental Group</t>
  </si>
  <si>
    <t>FTs/Trusts</t>
  </si>
  <si>
    <t>Balances with NHS bodies inside the Departmental Group</t>
  </si>
  <si>
    <t>Outside Departmental Group</t>
  </si>
  <si>
    <t>Balances with Public Corporations and Trading Funds</t>
  </si>
  <si>
    <t>Balances with Bodies External to Government</t>
  </si>
  <si>
    <t>At Current YTD</t>
  </si>
  <si>
    <t>Balances with NHS Trusts &amp; FTs</t>
  </si>
  <si>
    <t>Prior Year Total</t>
  </si>
  <si>
    <t>Payables  / Receivables Analysis for AoB</t>
  </si>
  <si>
    <t>Inter DH</t>
  </si>
  <si>
    <t>Inter NHS Trust</t>
  </si>
  <si>
    <t>Inter FTs</t>
  </si>
  <si>
    <t>Inter Special Health Auth</t>
  </si>
  <si>
    <t>Inter LA</t>
  </si>
  <si>
    <t>Public Corporation and Trading Funds</t>
  </si>
  <si>
    <t>NHS Bodies Outside Departmental Group</t>
  </si>
  <si>
    <t>Other Central Government Bodies</t>
  </si>
  <si>
    <t>Receivables Analysis</t>
  </si>
  <si>
    <t>Receivables - Current (TRU16)</t>
  </si>
  <si>
    <t>Receivables - Non Current (TRU16)</t>
  </si>
  <si>
    <t>Total Receivables (TRU16)</t>
  </si>
  <si>
    <t>Receivables - TRU98</t>
  </si>
  <si>
    <t>Payables Analysis</t>
  </si>
  <si>
    <t>Payables - Current (TRU17)</t>
  </si>
  <si>
    <t>Payables  - Non Current (TRU17)</t>
  </si>
  <si>
    <t>Total Payables (TRU17)</t>
  </si>
  <si>
    <t>Payables  - TRU98</t>
  </si>
  <si>
    <t>Investment Property - Capital Analysis</t>
  </si>
  <si>
    <t>Capital Expenditure</t>
  </si>
  <si>
    <t>Capital Income</t>
  </si>
  <si>
    <t>Drugs</t>
  </si>
  <si>
    <t>Consumables</t>
  </si>
  <si>
    <t>Work In Progress</t>
  </si>
  <si>
    <t>Energy</t>
  </si>
  <si>
    <t>Loan Equipment</t>
  </si>
  <si>
    <t>Subtotal Energy, Loan Equipment &amp; Other</t>
  </si>
  <si>
    <t>Of which held at NRV</t>
  </si>
  <si>
    <t>Purchased from BSA</t>
  </si>
  <si>
    <t>Val to TRU06</t>
  </si>
  <si>
    <t>Inventories recognised as an expense in the period</t>
  </si>
  <si>
    <t>Write-down of inventories (including losses)</t>
  </si>
  <si>
    <t>Reversal of write-down previously taken to SoCI</t>
  </si>
  <si>
    <t>Net write down/reversal of write down</t>
  </si>
  <si>
    <t>Transfers to Foundation Trusts</t>
  </si>
  <si>
    <t>Non-Current Assets Held for Sale at YTD</t>
  </si>
  <si>
    <t>Asset Under Construction and Payments on Account</t>
  </si>
  <si>
    <t>Plant and Machinery</t>
  </si>
  <si>
    <t>Transport and Equipment</t>
  </si>
  <si>
    <t>Assets held for sale in year</t>
  </si>
  <si>
    <t>Assets sold in year</t>
  </si>
  <si>
    <t>Impairments of assets held for sale</t>
  </si>
  <si>
    <t>Reversal of impairments of assets held for sale</t>
  </si>
  <si>
    <t>Net impairment/reversal of impairment of assets held for sale</t>
  </si>
  <si>
    <t>Assets no longer held for sale (for reasons other than sale)</t>
  </si>
  <si>
    <t>Transfer to Foundation Trust</t>
  </si>
  <si>
    <t>Total as at YTD</t>
  </si>
  <si>
    <t>Liabilities Associated with Assets Held for Sale as at YTD</t>
  </si>
  <si>
    <t>Prior Year - Amount brought forward at beginning of Prior Period</t>
  </si>
  <si>
    <t>Liabilities Associated with Assets Held for Sale (prior year)</t>
  </si>
  <si>
    <t>TRU16 - ROCR/OR/0190/002</t>
  </si>
  <si>
    <t>Tot Impairment of Receivables</t>
  </si>
  <si>
    <t>NHS Rec</t>
  </si>
  <si>
    <t>Cash Flow Feed</t>
  </si>
  <si>
    <t>Check Inter Columns</t>
  </si>
  <si>
    <t>CURRENT YEAR</t>
  </si>
  <si>
    <t>OPENING BALANCE</t>
  </si>
  <si>
    <t>Analysis of Year to Date</t>
  </si>
  <si>
    <t>Maincode 32</t>
  </si>
  <si>
    <t>Maincode 33</t>
  </si>
  <si>
    <t>Maincode 34</t>
  </si>
  <si>
    <t>Maincode 35</t>
  </si>
  <si>
    <t>Trade and Other Receivables at YTD</t>
  </si>
  <si>
    <t>Current Year - Local Accounts - Opening Balance Adjusted for PPAs</t>
  </si>
  <si>
    <t>Current Year - Opening Balance Adjustment - Other</t>
  </si>
  <si>
    <t>Restated Opening Balance - Adjusted for TCS</t>
  </si>
  <si>
    <t>NHS Receivables - Revenue</t>
  </si>
  <si>
    <t>NHS Receivables - Capital</t>
  </si>
  <si>
    <t>NHS Prepayments and Accrued Income</t>
  </si>
  <si>
    <t>Non NHS Trade Receivables - Revenue</t>
  </si>
  <si>
    <t>Non NHS Trade Receivables - Capital</t>
  </si>
  <si>
    <t>Non-NHS Prepayments and Accrued Income</t>
  </si>
  <si>
    <t>PDC Dividend prepaid to DH</t>
  </si>
  <si>
    <t>Provision for Impairments of Receivables</t>
  </si>
  <si>
    <t>VAT</t>
  </si>
  <si>
    <t>Current part of PFI and other PPP arrangements prepayments and accrued income</t>
  </si>
  <si>
    <t>Interest Receivables</t>
  </si>
  <si>
    <t>Finance Lease Receivables</t>
  </si>
  <si>
    <t>Operating Lease Receivables</t>
  </si>
  <si>
    <t>Other Receivables (free text note required)</t>
  </si>
  <si>
    <t>Total Trade and Other</t>
  </si>
  <si>
    <t>Non Current</t>
  </si>
  <si>
    <t>Non-Current part of PFI and other PPP arrangements prepayments and accrued income</t>
  </si>
  <si>
    <t>Total Trade and Receivables at YTD</t>
  </si>
  <si>
    <t>Included in NHS Receivables above:</t>
  </si>
  <si>
    <t>- prepaid pension contributions</t>
  </si>
  <si>
    <t>Transfers (to)/from Bodies in year</t>
  </si>
  <si>
    <t>Other Public Sector Bodies in year under absorption accounting</t>
  </si>
  <si>
    <t>Current Receivables</t>
  </si>
  <si>
    <t>Non Current Receivables</t>
  </si>
  <si>
    <t>Total Receivables</t>
  </si>
  <si>
    <t>Prior Year Comparitors</t>
  </si>
  <si>
    <t>By up to Three Months</t>
  </si>
  <si>
    <t>By Three to Six Months</t>
  </si>
  <si>
    <t>By More than Six Months</t>
  </si>
  <si>
    <t>Opening Balance Restated Adjustment</t>
  </si>
  <si>
    <t>Amount Written Off During the Period</t>
  </si>
  <si>
    <t>Amount Recovered During the Period</t>
  </si>
  <si>
    <t>(increase)/Decrease in Receivables Impaired</t>
  </si>
  <si>
    <t>Overseas Visitors</t>
  </si>
  <si>
    <t>Income recognised THIS YEAR (invoiced amounts and accruals)</t>
  </si>
  <si>
    <t>Cash payments received in-year (re receivables at PREVIOUS YEAR END)</t>
  </si>
  <si>
    <t>Cash payments received in-year (iro invoices ISSUED THIS YEAR)</t>
  </si>
  <si>
    <t>Amounts added to provision for impairment of receivables (re receivables at PREVIOUS YEAR END)</t>
  </si>
  <si>
    <t>Amounts added to provision for impairment of receivables (iro invoices ISSUED THIS YEAR)</t>
  </si>
  <si>
    <t>Amounts written off in-year (irrespective of year of recognition)</t>
  </si>
  <si>
    <t>EU Emissions Trading Scheme Allowance</t>
  </si>
  <si>
    <t>Other Assets [free text note required]</t>
  </si>
  <si>
    <t>Balance at Beginning of Period</t>
  </si>
  <si>
    <t>Opening Balance Adjustment TCS</t>
  </si>
  <si>
    <t>Opening Balance Adjustment - other (to hide)</t>
  </si>
  <si>
    <t>Restated Balance at beginning of period</t>
  </si>
  <si>
    <t>Net Change YTD</t>
  </si>
  <si>
    <t>Balance at End of Period</t>
  </si>
  <si>
    <t>Made up of:</t>
  </si>
  <si>
    <t>Cash with GBS</t>
  </si>
  <si>
    <t>Cash with Commercial Banks</t>
  </si>
  <si>
    <t>Cash In Hand</t>
  </si>
  <si>
    <t>Total of Cash with Commercial Banks and Cash in Hand</t>
  </si>
  <si>
    <t>Liquid deposits with NLF</t>
  </si>
  <si>
    <t>Current Investments</t>
  </si>
  <si>
    <t>Cash and Cash Equivalents as in Statement of Financial Position</t>
  </si>
  <si>
    <t>Bank Overdraft - GBS</t>
  </si>
  <si>
    <t>Bank overdraft - commercial</t>
  </si>
  <si>
    <t>Cash and Cash Equivalents as in Statement of Cash Flows as at YTD</t>
  </si>
  <si>
    <t>Third Party Assets - Bank balance (not included above) (Completion only required at Q4)</t>
  </si>
  <si>
    <t>Third Party Assets - Monies on deposit (Completion only required at Q4)</t>
  </si>
  <si>
    <t>Cash &amp; Cash Equivalents</t>
  </si>
  <si>
    <t>Additional Information in respect of Assets Held for Sale</t>
  </si>
  <si>
    <t>Revaluation Reserve balance</t>
  </si>
  <si>
    <t>Impairments/reversals taken to Revaluation Reserve</t>
  </si>
  <si>
    <t>Impairment/reversals taken to SoCI</t>
  </si>
  <si>
    <t>Changes in Fair Value through SoCI</t>
  </si>
  <si>
    <t>Transferred to current financial assets</t>
  </si>
  <si>
    <t>Total Other Financial Assets - Non Current</t>
  </si>
  <si>
    <t>CURRENT YEAR OPENING BALANCE</t>
  </si>
  <si>
    <t>PRIOR YEAR OPENING BALANCE</t>
  </si>
  <si>
    <t>Current part of loans repayable transferred from non-current assets</t>
  </si>
  <si>
    <t>NLF deposits over 3 months</t>
  </si>
  <si>
    <t>Other Financial Assets - Non Current - Capital Analysis</t>
  </si>
  <si>
    <t>Inter Company Analysis for Recievables for AoB Analysis</t>
  </si>
  <si>
    <t>Receivables - Current</t>
  </si>
  <si>
    <t>Receivables - Non Current</t>
  </si>
  <si>
    <t>Trade and Other Capital Receivables at YTD  - Current</t>
  </si>
  <si>
    <t>NHS Receivables - Capital - PPE</t>
  </si>
  <si>
    <t>Non NHS Receivables - Capital - PPE</t>
  </si>
  <si>
    <t>Total Receivables - Current - Capital - PPE</t>
  </si>
  <si>
    <t>NHS Receivables - Capital - Intangibles</t>
  </si>
  <si>
    <t>Non NHS Receivables - Capital - Intangibles</t>
  </si>
  <si>
    <t>Total Receivables - Current - Capital - Intangibles</t>
  </si>
  <si>
    <t>NHS Receivables - Capital - Assets Held for Sale</t>
  </si>
  <si>
    <t>Non NHS Receivables - Capital -  Assets held for sale</t>
  </si>
  <si>
    <t>Total Receivables - Current - Capital - Assets Held for Sale</t>
  </si>
  <si>
    <t>Trade and Other Capital Receivables at YTD - Non Current</t>
  </si>
  <si>
    <t>Total Receivables - Non Current - Capital - PPE</t>
  </si>
  <si>
    <t>Total Receivables - Non Current - Capital - Intangibles</t>
  </si>
  <si>
    <t>Total Receivables - Non Current - Capital - Assets Held for Sale</t>
  </si>
  <si>
    <t>Analysis of Prepayments and Accrued Income</t>
  </si>
  <si>
    <t>NHS Prepayments</t>
  </si>
  <si>
    <t>Non-NHS Prepayments</t>
  </si>
  <si>
    <t>Total Current Prepayments</t>
  </si>
  <si>
    <t>NHS Accrued Income</t>
  </si>
  <si>
    <t>Non-NHS Accrued Income</t>
  </si>
  <si>
    <t>Total Current Accrued Income</t>
  </si>
  <si>
    <t>Total Non Current Prepayments</t>
  </si>
  <si>
    <t>Total Non Current Accrued Income</t>
  </si>
  <si>
    <t>Aged Analysis Year to Date: Trade Receivables (Revenue and Capital)</t>
  </si>
  <si>
    <t>Total at Period End</t>
  </si>
  <si>
    <t>0-30 days</t>
  </si>
  <si>
    <t>31-60 days</t>
  </si>
  <si>
    <t>61-90 days</t>
  </si>
  <si>
    <t>Over 90 days</t>
  </si>
  <si>
    <t>Receivables Non NHS</t>
  </si>
  <si>
    <t>Receivables NHS</t>
  </si>
  <si>
    <t>Total Current Receivables - Revenue</t>
  </si>
  <si>
    <t>Non-Current</t>
  </si>
  <si>
    <t>Total Non-Current Receivables - Revenue</t>
  </si>
  <si>
    <t>TRU17 - ROCR/OR/0190/002</t>
  </si>
  <si>
    <t>Analysis Year to Date</t>
  </si>
  <si>
    <t>NHS Pay</t>
  </si>
  <si>
    <t>PFI Main Liability</t>
  </si>
  <si>
    <t>LIFT Liability</t>
  </si>
  <si>
    <t>Chec Inter Columns</t>
  </si>
  <si>
    <t>DH Non Current borrowings</t>
  </si>
  <si>
    <t>Interest Payable</t>
  </si>
  <si>
    <t>NHS Payables - Revenue</t>
  </si>
  <si>
    <t>NHS Payables - Capital</t>
  </si>
  <si>
    <t>NHS Accruals and Deferred Income</t>
  </si>
  <si>
    <t>Family Health Services (FHS) Payables (PCT only)</t>
  </si>
  <si>
    <t>Non-NHS Trade Payables - Revenue</t>
  </si>
  <si>
    <t>Non-NHS Trade Payables - Capital</t>
  </si>
  <si>
    <t>Non-NHS Accruals and Deferred Income</t>
  </si>
  <si>
    <t>Social Security Costs</t>
  </si>
  <si>
    <t>PDC Dividend payable to DH</t>
  </si>
  <si>
    <t>Tax</t>
  </si>
  <si>
    <t>Payments received on account</t>
  </si>
  <si>
    <t>Other (free text note required) (Opening Balance includes any Interest Payable)</t>
  </si>
  <si>
    <t>Total current payables</t>
  </si>
  <si>
    <t>Other (free text note required)</t>
  </si>
  <si>
    <t>Total non-current payables</t>
  </si>
  <si>
    <t>Total Payables</t>
  </si>
  <si>
    <t>Included in Other Payables above:</t>
  </si>
  <si>
    <t>- to Buy Out the Liability for Early Retirements Over 5 Years (Completion only required at Q4)</t>
  </si>
  <si>
    <t>- Number of Cases Involved (Completion only required at Q4)</t>
  </si>
  <si>
    <t>- Outstanding Pension Contributions at YTD (Completion only required at Q4)</t>
  </si>
  <si>
    <t>Transfers (to)/from  Bodies in year</t>
  </si>
  <si>
    <t>Current - Trade and Other Payables</t>
  </si>
  <si>
    <t>Non Current - Trade and Other Payables</t>
  </si>
  <si>
    <t>Current:</t>
  </si>
  <si>
    <t>PFI Asset - deferred credit</t>
  </si>
  <si>
    <t>Lease Incentives</t>
  </si>
  <si>
    <t>Other Liabilities [free text note required]</t>
  </si>
  <si>
    <t>Subtotal</t>
  </si>
  <si>
    <t>Non Current:</t>
  </si>
  <si>
    <t>Total Other Liabilities</t>
  </si>
  <si>
    <t>Current Other Liabilities</t>
  </si>
  <si>
    <t>Non Current Other Liabilities</t>
  </si>
  <si>
    <t>Total Liabilities</t>
  </si>
  <si>
    <t>Bank Overdrafts GBS</t>
  </si>
  <si>
    <t>Bank Overdrafts Commercial</t>
  </si>
  <si>
    <t>Loans from Department of Health</t>
  </si>
  <si>
    <t>Loans from Other Entities</t>
  </si>
  <si>
    <t>PFI Main Liabilities</t>
  </si>
  <si>
    <t>PFI Liabilities - lifecycle replacement received in advance</t>
  </si>
  <si>
    <t>LIFT Main Liabilities</t>
  </si>
  <si>
    <t>LIFT Liabilities - lifecycle replacement received in advance</t>
  </si>
  <si>
    <t>Finance Lease Liabilities</t>
  </si>
  <si>
    <t>Current Sub total</t>
  </si>
  <si>
    <t>Non-current</t>
  </si>
  <si>
    <t>Non Current Sub total</t>
  </si>
  <si>
    <t>Total Borrowings</t>
  </si>
  <si>
    <t>Borrowings/Loans - Payment of Principal Falling Due in:</t>
  </si>
  <si>
    <t>DH</t>
  </si>
  <si>
    <t>0 - 1 Years</t>
  </si>
  <si>
    <t>1 - 2 Years</t>
  </si>
  <si>
    <t>2 - 5 Years</t>
  </si>
  <si>
    <t>Over 5 Years</t>
  </si>
  <si>
    <t>Current Borrowings</t>
  </si>
  <si>
    <t>Non Current Borrowings</t>
  </si>
  <si>
    <t>Analysis of loans from DH (Trust only)</t>
  </si>
  <si>
    <t>DH Working Capital Loan - Liquidity</t>
  </si>
  <si>
    <t>DH Working Capital Loan - Revenue Support - Current</t>
  </si>
  <si>
    <t>DH Capital Investment Loan - Current</t>
  </si>
  <si>
    <t>Total of Current Loans from DH</t>
  </si>
  <si>
    <t>DH Working Capital Loan - Revenue Support - Non Current</t>
  </si>
  <si>
    <t>DH Capital Investment Loan - Non Current</t>
  </si>
  <si>
    <t>Total of Non Current Loans from DH</t>
  </si>
  <si>
    <t>Total Loans from DH</t>
  </si>
  <si>
    <t>Other Financial Liabilities at Fair Value through SoCI</t>
  </si>
  <si>
    <t>Embedded Derivatives at Fair Value through SoCI</t>
  </si>
  <si>
    <t>Other Financial Liabilities at Fair Value through Profit and Loss</t>
  </si>
  <si>
    <t>Amortised Cost</t>
  </si>
  <si>
    <t>Total Current</t>
  </si>
  <si>
    <t>Total non-Current</t>
  </si>
  <si>
    <t>Total Other Financial Liabilities at Fair Value through SoCI</t>
  </si>
  <si>
    <t>Current Other Financial Liabilities</t>
  </si>
  <si>
    <t>Non Current Other Financial Liabilities</t>
  </si>
  <si>
    <t>Total Other Financial Liabilities</t>
  </si>
  <si>
    <t>Deferred Income</t>
  </si>
  <si>
    <t>Opening balance</t>
  </si>
  <si>
    <t>Deferred income addition</t>
  </si>
  <si>
    <t>Transfer of Deferred income</t>
  </si>
  <si>
    <t>Current Deferred Income at YTD</t>
  </si>
  <si>
    <t>Opening balance at</t>
  </si>
  <si>
    <t>Non-Current Deferred Income at YTD</t>
  </si>
  <si>
    <t>Total Deferred Income</t>
  </si>
  <si>
    <t>Free Text Note: Show Counter Party Transaction for deferred income</t>
  </si>
  <si>
    <t>TEXT</t>
  </si>
  <si>
    <t>Inter Company Analysis for Payables for AoB Analysis</t>
  </si>
  <si>
    <t>Payables - Current</t>
  </si>
  <si>
    <t>Payables - Non Current</t>
  </si>
  <si>
    <t>Trade and Other Capital Payables at YTD  - Current</t>
  </si>
  <si>
    <t>NHS Payables - Capital - PPE</t>
  </si>
  <si>
    <t>Non NHS Payables - Capital - PPE</t>
  </si>
  <si>
    <t>Total Payables - Current - Capital - PPE</t>
  </si>
  <si>
    <t>NHS Payables - Capital - Intangibles</t>
  </si>
  <si>
    <t>Non NHS Payables - Capital - Intangibles</t>
  </si>
  <si>
    <t>Total Payables - Current - Capital - Intangibles</t>
  </si>
  <si>
    <t>NHS Payables - Capital - Assets held for sale</t>
  </si>
  <si>
    <t>Non NHS Payables - Capital - Assets held for sale</t>
  </si>
  <si>
    <t>Total Payables - Current - Capital - Assets held for sale</t>
  </si>
  <si>
    <t>Total Payables - Non Current - Capital - PPE</t>
  </si>
  <si>
    <t>Total Payables -Non  Current - Capital - Intangibles</t>
  </si>
  <si>
    <t>Total Payables -Non  Current - Capital - Assets held for sale</t>
  </si>
  <si>
    <t>Analysis of Accruals and Deferred Income</t>
  </si>
  <si>
    <t>Opening Balance (per DH consolidated accounts)</t>
  </si>
  <si>
    <t>NHS Accruals</t>
  </si>
  <si>
    <t>Non-NHS Accruals</t>
  </si>
  <si>
    <t>Total Current Accruals</t>
  </si>
  <si>
    <t>NHS Deferred Income</t>
  </si>
  <si>
    <t>Non-NHS Deferred Income</t>
  </si>
  <si>
    <t>Total Current Deferred Income</t>
  </si>
  <si>
    <t>Total Non Current Accruals</t>
  </si>
  <si>
    <t>Total Non Current Deferred Income</t>
  </si>
  <si>
    <t>Aged Analysis: Payables</t>
  </si>
  <si>
    <t>Sub Code</t>
  </si>
  <si>
    <t>Sign</t>
  </si>
  <si>
    <t>Payables Non NHS</t>
  </si>
  <si>
    <t>Payables NHS</t>
  </si>
  <si>
    <t>TRU18 - ROCR/OR/0190/002</t>
  </si>
  <si>
    <t>PV/Gross Invest and Min Lease</t>
  </si>
  <si>
    <t>Finance Lease liability</t>
  </si>
  <si>
    <t>Finance Lease Obligations (as Lessee)</t>
  </si>
  <si>
    <t>Total Minimum Lease Payments</t>
  </si>
  <si>
    <t>Minimum Lease Payments DH Group Bodies</t>
  </si>
  <si>
    <t>Minimum Lease Payments Non DH Group Bodies</t>
  </si>
  <si>
    <t>Present Value of Minimum Lease Payments</t>
  </si>
  <si>
    <t>Present Value of Minimum Lease Payments DH Group</t>
  </si>
  <si>
    <t>Present Value of Minimum Lease Payments Non DH Group</t>
  </si>
  <si>
    <t>Amounts Payable Under Finance Leases (Buildings)</t>
  </si>
  <si>
    <t>Within One Year</t>
  </si>
  <si>
    <t>Between One and Five Years</t>
  </si>
  <si>
    <t>After 5 Years</t>
  </si>
  <si>
    <t>Less Future Finance Charges</t>
  </si>
  <si>
    <t>Minimum Lease Payments/ Present Value of Minimum Lease Payments</t>
  </si>
  <si>
    <t>Included in :</t>
  </si>
  <si>
    <t>Non-Current Borrowings</t>
  </si>
  <si>
    <t>Amounts Payable Under Finance Leases (Land)</t>
  </si>
  <si>
    <t>Amounts Payable Under Finance Leases (Other)</t>
  </si>
  <si>
    <t>Finance leases (as lessee)</t>
  </si>
  <si>
    <t>Future Sublease Payments Expected to be received</t>
  </si>
  <si>
    <t>Contingent Rents Recognised as an Expense</t>
  </si>
  <si>
    <t>Finance Lease Receivables (as Lessor)</t>
  </si>
  <si>
    <t>Total Gross Investment in Leases</t>
  </si>
  <si>
    <t>Gross Investment in leases DH Group Bodies</t>
  </si>
  <si>
    <t>Gross Investment in leases Non DH Group Bodies</t>
  </si>
  <si>
    <t>Total Present Value of Minimum Lease Payments</t>
  </si>
  <si>
    <t>Gross Investment in Leases</t>
  </si>
  <si>
    <t>Amounts Receivable Under Finance Leases (Buildings)</t>
  </si>
  <si>
    <t>Gross Investment in Leases / Present Value of Minimum Lease Payments</t>
  </si>
  <si>
    <t>Allowance for Uncollectible Lease Payments</t>
  </si>
  <si>
    <t>Current Finance Lease Receivables</t>
  </si>
  <si>
    <t>Non-Current Finance Lease Receivables</t>
  </si>
  <si>
    <t>Amounts Receivable Under Finance Leases (Land)</t>
  </si>
  <si>
    <t>Amounts Receivable Under Finance Leases (Other)</t>
  </si>
  <si>
    <t>The Unguaranteed Residual Value Accruing to the NHS body</t>
  </si>
  <si>
    <t>Accumulated allowance for uncollectible minimum lease payments receivable</t>
  </si>
  <si>
    <t>Amount YTD</t>
  </si>
  <si>
    <t>Lease (freetext note required)</t>
  </si>
  <si>
    <t>Amounts Payable Under Finance Leases</t>
  </si>
  <si>
    <t>Finance Lease Receivables (as Lessor) for Building, Land and Other</t>
  </si>
  <si>
    <t>Amounts Receivable Under Finance Leases</t>
  </si>
  <si>
    <t>TRU19 - ROCR/OR/0190/002</t>
  </si>
  <si>
    <t>YEAR TO DATE</t>
  </si>
  <si>
    <t>Maincode 63</t>
  </si>
  <si>
    <t>Maincode 64</t>
  </si>
  <si>
    <t>Maincode 65</t>
  </si>
  <si>
    <t>Maincode 66</t>
  </si>
  <si>
    <t>Maincode 67</t>
  </si>
  <si>
    <t>Maincode 68</t>
  </si>
  <si>
    <t>Early Departure Costs</t>
  </si>
  <si>
    <t>Pensions Relating to Other Staff</t>
  </si>
  <si>
    <t>Legal Claims</t>
  </si>
  <si>
    <t>Restructuring</t>
  </si>
  <si>
    <t>Continuing Care</t>
  </si>
  <si>
    <t>Equal Pay (incl. Agenda for Change</t>
  </si>
  <si>
    <t>Agenda for Change</t>
  </si>
  <si>
    <t>Redundancy</t>
  </si>
  <si>
    <t>FOT Prog</t>
  </si>
  <si>
    <t>Equal Pay (incl. Agenda for Change)</t>
  </si>
  <si>
    <t>Arising During the Year</t>
  </si>
  <si>
    <t>Utilised During the Year</t>
  </si>
  <si>
    <t>Reversed Unused</t>
  </si>
  <si>
    <t>Unwinding of Discount</t>
  </si>
  <si>
    <t>Change in Discount Rate</t>
  </si>
  <si>
    <t>Transfers In-Year (Hide this line)</t>
  </si>
  <si>
    <t>Transfers to NHS Foundation Trusts (for Trusts becoming FTs only)</t>
  </si>
  <si>
    <t>Expected Timing of Cash Flows:</t>
  </si>
  <si>
    <t>No Later than One Year</t>
  </si>
  <si>
    <t>Later than One Year and not later than Five Years</t>
  </si>
  <si>
    <t>Later than Five Years</t>
  </si>
  <si>
    <t>Amount Included in the Provisions of the NHS Litigation Authority in Respect of Clinical Negligence Liabilities:</t>
  </si>
  <si>
    <t>As at YTD (Completion only required at Q4)</t>
  </si>
  <si>
    <t>As at Prior Year Closing (Completion only required at Q4)</t>
  </si>
  <si>
    <t>Explanation of Provisions in the "Other" Category (mc09)</t>
  </si>
  <si>
    <t>Breakdown of all Provisions Arising in Year Greater than £1m (mc "other" sc120)</t>
  </si>
  <si>
    <t>Breakdown of all Provisions Utilised During the Year Greater than £1m (mc"other"sc130)</t>
  </si>
  <si>
    <t>Breakdown of all Provisions Reversed Unused in Year Greater than £1m (mc "other" sc140)</t>
  </si>
  <si>
    <t>Breakdown of all Provisions "other" Greater than £1m (mc "other" sc190 mc11)</t>
  </si>
  <si>
    <t>Contingencies  (Completion only required at Q4)</t>
  </si>
  <si>
    <t>Contingent Liabilities</t>
  </si>
  <si>
    <t>NHS Litigation Authority Legal Claims</t>
  </si>
  <si>
    <t>Employment Tribunal and other employee related litigation</t>
  </si>
  <si>
    <t>Other (free text note required for amounts more than £1m)</t>
  </si>
  <si>
    <t>Amounts Recoverable Against Contingent Liabilities</t>
  </si>
  <si>
    <t>Net Value of Contingent Liabilities</t>
  </si>
  <si>
    <t>Contingent Assets</t>
  </si>
  <si>
    <t>Contingent Assets (free text note required)</t>
  </si>
  <si>
    <t>* NB: contingent liabilities must be recorded as -ve, assets as +ve.  Narrative details of the contingent</t>
  </si>
  <si>
    <t>(liability)/asset should be included in free text.</t>
  </si>
  <si>
    <t>Other Financial Commitments  (Completion only required at Q4)</t>
  </si>
  <si>
    <t>Payments due no later than 1 year</t>
  </si>
  <si>
    <t>Payments due later than 1 year, no later than 5 years</t>
  </si>
  <si>
    <t>Payments due later than 5 years</t>
  </si>
  <si>
    <t>Provisions - Analysis of Utilised</t>
  </si>
  <si>
    <t>Pensions to Former Directors</t>
  </si>
  <si>
    <t>Equal Pay</t>
  </si>
  <si>
    <t>Utilised During the Year - Programme</t>
  </si>
  <si>
    <t>Utilised During the Year - Admin</t>
  </si>
  <si>
    <t>Analysis of Provisions - Current / Non - Current</t>
  </si>
  <si>
    <t>Current Year - Local Accounts  - Opening Balance Adjusted for Local PPAs +/-</t>
  </si>
  <si>
    <t>Current Year - Opening Balance Adjustment -  Other</t>
  </si>
  <si>
    <t>Restated Opening Balance- Adjusted for TCS</t>
  </si>
  <si>
    <t>Total Current Provisions</t>
  </si>
  <si>
    <t xml:space="preserve">	Early Departure Costs</t>
  </si>
  <si>
    <t>Total Non Current Provisions</t>
  </si>
  <si>
    <t>Total Provisions</t>
  </si>
  <si>
    <t>Charge to DEL</t>
  </si>
  <si>
    <t>Credit to AME</t>
  </si>
  <si>
    <t>TRU20 - ROCR/OR/0190/002</t>
  </si>
  <si>
    <t>PFI sc100/180</t>
  </si>
  <si>
    <t>PFI sc110/160/260</t>
  </si>
  <si>
    <t>LIFT sc300/380</t>
  </si>
  <si>
    <t>LIFT sc 360/310/460</t>
  </si>
  <si>
    <t>Total charge to operating expenses in year - OFF SOFP PFI</t>
  </si>
  <si>
    <t>Service element of on SOFP PFI charged to operating expenses in year</t>
  </si>
  <si>
    <t>Payments committed to in respect of off SOFP PFI and the service element of on SOFP PFI</t>
  </si>
  <si>
    <t>Later than One Year, No Later than Five Years</t>
  </si>
  <si>
    <t>The estimated annual payments in future years are expected to be materially different from those which the Trust is committed to make</t>
  </si>
  <si>
    <t>during the next year.  The likely financial effect of this is:</t>
  </si>
  <si>
    <t>Estimated Capital Value of Project - off SOFP PFI</t>
  </si>
  <si>
    <t>Value of Deferred Assets - off SOFP PFI</t>
  </si>
  <si>
    <t>Value of Reversionary Interest - off SOFP PFI</t>
  </si>
  <si>
    <t>Analysed by when PFI payments are due</t>
  </si>
  <si>
    <t>Less: Interest Element</t>
  </si>
  <si>
    <t>Total - Present value of obligations</t>
  </si>
  <si>
    <t>Total Number of ON SOFP PFI contracts</t>
  </si>
  <si>
    <t>Number of ON SOFP PFI contracts which individually have a total commitments value in excess of £500m</t>
  </si>
  <si>
    <t>Total Number of OFF SOFP PFI contracts</t>
  </si>
  <si>
    <t>Number of OFF SOFP PFI contracts which individually have a total commitments value in excess of £500m</t>
  </si>
  <si>
    <t>Total Charge to Operating Expenses in year - OFF SOFP LIFT</t>
  </si>
  <si>
    <t>Service element of on SOFP LIFT charged to operating expenses in year</t>
  </si>
  <si>
    <t>Payments the Trust is committed to in respect of off SOFP LIFT and the service element of on SOFP LIFT.</t>
  </si>
  <si>
    <t>Analysed by when LIFT payments are due</t>
  </si>
  <si>
    <t>The estimated annual payments in future years are expected to be materially different from those which the NHS Trust is committed to make</t>
  </si>
  <si>
    <t>Estimated capital value of project - off SOFP LIFT</t>
  </si>
  <si>
    <t>Value of Deferred Assets - off SOFP LIFT</t>
  </si>
  <si>
    <t>Value of Residual Interest - off SOFP LIFT</t>
  </si>
  <si>
    <t>LIFT sc360/310/460</t>
  </si>
  <si>
    <t>Total Number of on SOFP LIFT contracts</t>
  </si>
  <si>
    <t>Number of on SOFP LIFT contracts which individually have a total commitments value in excess of £500m</t>
  </si>
  <si>
    <t>Total Number of off SOFP LIFT contracts</t>
  </si>
  <si>
    <t>Number of off SOFP LIFT contracts which individually have a total commitments value in excess of £500m</t>
  </si>
  <si>
    <t>Income YTD</t>
  </si>
  <si>
    <t>Expenditure YTD</t>
  </si>
  <si>
    <t>IFRIC12/UKGAAP DATA</t>
  </si>
  <si>
    <t>Revenue costs of IFRS: Arrangements reported on SoFP under IFRIC12 (e.g. LIFT/PFI)</t>
  </si>
  <si>
    <t>Depreciation charges</t>
  </si>
  <si>
    <t>Interest Expense</t>
  </si>
  <si>
    <t>Impairment charge - AME</t>
  </si>
  <si>
    <t>Impairment charge - DEL</t>
  </si>
  <si>
    <t>Other Expenditure</t>
  </si>
  <si>
    <t>Revenue Receivable from subleasing</t>
  </si>
  <si>
    <t>Impact on PDC dividend payable</t>
  </si>
  <si>
    <t>Total IFRS Expenditure (IFRIC12)</t>
  </si>
  <si>
    <t>Net IFRS change (IFRIC12)</t>
  </si>
  <si>
    <t>Capital Consequences of IFRS : LIFT/PFI and other items under IFRIC12</t>
  </si>
  <si>
    <t>Capital expenditure 2014-15</t>
  </si>
  <si>
    <t>Average net assets relating to IFRIC12 schemes - IFRS - No Longer Required</t>
  </si>
  <si>
    <t>Average net assets relating to IFRIC12 schemes - UKGAAP - No Longer Required</t>
  </si>
  <si>
    <t>UK GAAP capital expenditure 2014-15 (Reversionary Interest)</t>
  </si>
  <si>
    <t>Revenue costs of IFRS: all other expenditure associated with IFRS (e.g. finance leases)</t>
  </si>
  <si>
    <t>Depreciation charge</t>
  </si>
  <si>
    <t>Interest expense</t>
  </si>
  <si>
    <t>Other expenditure</t>
  </si>
  <si>
    <t>Total IFRS expenditure (non IFRIC12)</t>
  </si>
  <si>
    <t>Revenue consequences under UK GAAP</t>
  </si>
  <si>
    <t>Net IFRS change (non IFRIC12)</t>
  </si>
  <si>
    <t>Capital consequences of IFRS all other expenditure associated with IFRS</t>
  </si>
  <si>
    <t>Capital expenditure 2011-12</t>
  </si>
  <si>
    <t>Net assets relating to non-IFRIC12 IFRS - IFRS basis - No Longer Required</t>
  </si>
  <si>
    <t>Net assets relating to non-IFRIC12 IFRS - UKGAAP basis - No Longer Required</t>
  </si>
  <si>
    <t>UK GAAP capital expenditure 2011-12 (Reversionary Interest)</t>
  </si>
  <si>
    <t>Analysis of PFI Payments - On SOFP / Off SOFP</t>
  </si>
  <si>
    <t>On Statement of Financial Position</t>
  </si>
  <si>
    <t>Payments committed to in respect of the service element of on SOFP PFI</t>
  </si>
  <si>
    <t>Off Statement of Financial Position</t>
  </si>
  <si>
    <t>Payments committed to in respect of off SOFP PFI</t>
  </si>
  <si>
    <t>Analysis of LIFT Payments - On SOFP / Off SOFP</t>
  </si>
  <si>
    <t>Payments committed to in respect of the service element of on SOFP LIFT</t>
  </si>
  <si>
    <t>Payments committed to in respect of off SOFP LIFT</t>
  </si>
  <si>
    <t>2013/14</t>
  </si>
  <si>
    <t>Establishment</t>
  </si>
  <si>
    <t>Premises</t>
  </si>
  <si>
    <t>TRU21 - ROCR/OR/0190/002</t>
  </si>
  <si>
    <t>Fair Value Through Profit and Loss</t>
  </si>
  <si>
    <t>Loans and Receivables</t>
  </si>
  <si>
    <t>Available for Sale</t>
  </si>
  <si>
    <t>Financial Assets Current YTD</t>
  </si>
  <si>
    <t>Embedded Derivatives</t>
  </si>
  <si>
    <t>NHS Receivables</t>
  </si>
  <si>
    <t>Non-NHS Receivables</t>
  </si>
  <si>
    <t>Cash at Bank and In Hand</t>
  </si>
  <si>
    <t>Non NHS Receivables</t>
  </si>
  <si>
    <t>Financial Liabilities Current YTD</t>
  </si>
  <si>
    <t>Non NHS Payables</t>
  </si>
  <si>
    <t>Other Borrowings</t>
  </si>
  <si>
    <t>Private Finance Initiative and Finance Lease Obligations</t>
  </si>
  <si>
    <t>Completion only required at Q4</t>
  </si>
  <si>
    <t>Value Income/(Expenditure) (free text note required)</t>
  </si>
  <si>
    <t>Loan</t>
  </si>
  <si>
    <t>Share Capital</t>
  </si>
  <si>
    <t>Loan Repayments</t>
  </si>
  <si>
    <t>Revaluations</t>
  </si>
  <si>
    <t>Loans repayable within 12 months transferred to receivables</t>
  </si>
  <si>
    <t>Opening Prior-year Balance</t>
  </si>
  <si>
    <t>Closing Balance Prior-year</t>
  </si>
  <si>
    <t>Additional Information in respect of Financial Assets</t>
  </si>
  <si>
    <t>Current Year - Local Accounts - Opening Balance Adjusted for Local PPAs</t>
  </si>
  <si>
    <t>Current Year - Balancing Adjustment - Other</t>
  </si>
  <si>
    <t>Prior Year Restated Opening Balance - Adjusted for TCS</t>
  </si>
  <si>
    <t>Prior Year Restated Opening Balance</t>
  </si>
  <si>
    <t>Prior Year Opening Balance Restatement Adjustment</t>
  </si>
  <si>
    <t>Revaluation Reserve Balance</t>
  </si>
  <si>
    <t>TRU22 - ROCR/OR/0190/002</t>
  </si>
  <si>
    <t>Approved Cases Only</t>
  </si>
  <si>
    <t>LOSSES and SPECIAL PAYMENTS IN YEAR</t>
  </si>
  <si>
    <t>Total value</t>
  </si>
  <si>
    <t>Total number</t>
  </si>
  <si>
    <t>of cases</t>
  </si>
  <si>
    <t>£ *</t>
  </si>
  <si>
    <t>£ 000s</t>
  </si>
  <si>
    <t>LOSSES:</t>
  </si>
  <si>
    <t>1. Losses of Cash Due to -</t>
  </si>
  <si>
    <t>a. Theft, Fraud etc</t>
  </si>
  <si>
    <t>b. Overpayment of Salaries etc.</t>
  </si>
  <si>
    <t>c. Other Causes</t>
  </si>
  <si>
    <t>2. Fruitless Payments</t>
  </si>
  <si>
    <t>3. Bad Debts and Claims Abandoned -</t>
  </si>
  <si>
    <t>a. Private Patients</t>
  </si>
  <si>
    <t>b. Overseas Visitors</t>
  </si>
  <si>
    <t>c. Other</t>
  </si>
  <si>
    <t>4. Damage to Buildings, Property etc. -</t>
  </si>
  <si>
    <t>b. Other</t>
  </si>
  <si>
    <t>TOTAL LOSSES</t>
  </si>
  <si>
    <t>SPECIAL PAYMENTS:</t>
  </si>
  <si>
    <t>5. Compensation Under Legal Obligation</t>
  </si>
  <si>
    <t>6. Extra Contractual to Contractors</t>
  </si>
  <si>
    <t>7. Ex Gratia Payments -</t>
  </si>
  <si>
    <t>a. Loss of Personal Effects</t>
  </si>
  <si>
    <t>b. Personal Injury with Advice</t>
  </si>
  <si>
    <t>c. Other Negligence and Injury</t>
  </si>
  <si>
    <t>d. Severance Payments on Termination of Employment</t>
  </si>
  <si>
    <t>e. Other Employment Payments</t>
  </si>
  <si>
    <t>f. Maladministration, no Financial Loss</t>
  </si>
  <si>
    <t>g. Patient Referrals Outside the UK and EEA Guidelines</t>
  </si>
  <si>
    <t>h. Other Payments</t>
  </si>
  <si>
    <t>8. Extra Statutory and Regulatory</t>
  </si>
  <si>
    <t>TOTAL SPECIAL PAYMENTS</t>
  </si>
  <si>
    <t>TOTAL LOSSES AND SPECIAL PAYMENTS</t>
  </si>
  <si>
    <t>Of which, INDIVIDUAL cases of £300,000 or more (details should be disclosed in free text):</t>
  </si>
  <si>
    <t>1. Losses of Cash</t>
  </si>
  <si>
    <t>3. Bad Debts and Claims Abandoned</t>
  </si>
  <si>
    <t>4. Damage to Buildings, Property etc</t>
  </si>
  <si>
    <t>7. Ex Gratia Payments</t>
  </si>
  <si>
    <t>8. Extra statutory and regulatory</t>
  </si>
  <si>
    <t>Total Value of Cases</t>
  </si>
  <si>
    <t>RECOVERED LOSSES</t>
  </si>
  <si>
    <t>Compensation payments received from CHCC</t>
  </si>
  <si>
    <t>For MC01 Note values are in £ and not £000s</t>
  </si>
  <si>
    <t>TRU23 - ROCR/OR/0190/002</t>
  </si>
  <si>
    <t>Name of Charity*</t>
  </si>
  <si>
    <t>Text</t>
  </si>
  <si>
    <t>Charity Registration Number</t>
  </si>
  <si>
    <t>* This should be the name and number of the main umbrella charity under which the charity reports to the Charity Commission</t>
  </si>
  <si>
    <t>2014-15</t>
  </si>
  <si>
    <t>Inter NHS Trusts</t>
  </si>
  <si>
    <t>Inter NHS England</t>
  </si>
  <si>
    <t>Total income resources</t>
  </si>
  <si>
    <t>Resources Expended with host body - Cash</t>
  </si>
  <si>
    <t>Resources Expended with host body - Non-Cash and asset donations</t>
  </si>
  <si>
    <t>Resources Expended with host NHS Body</t>
  </si>
  <si>
    <t>Resources Expended with other NHS Bodies - Cash</t>
  </si>
  <si>
    <t>Resources Expended with other NHS Bodies - Non-Cash and asset donations</t>
  </si>
  <si>
    <t>Total Resources Expended with other NHS Bodies</t>
  </si>
  <si>
    <t>Resources Expended with Bodies outside the NHS</t>
  </si>
  <si>
    <t>Total Resources Expended</t>
  </si>
  <si>
    <t>Net (outgoing)/incoming resources</t>
  </si>
  <si>
    <t>(losses)/gains on revaluation</t>
  </si>
  <si>
    <t>Other fund movements</t>
  </si>
  <si>
    <t>Net movement in Funds</t>
  </si>
  <si>
    <t>Closing Balance as at 31 March 2015</t>
  </si>
  <si>
    <t>Local Opening Balance as at 01 April 2014</t>
  </si>
  <si>
    <t>Local PPAs and other opening adjustments</t>
  </si>
  <si>
    <t>Balance Brought Forward as at 31 March 2014</t>
  </si>
  <si>
    <t>From Charitys Balance Sheet</t>
  </si>
  <si>
    <t>Investments</t>
  </si>
  <si>
    <t>Other fixed assets</t>
  </si>
  <si>
    <t>Total fixed assets</t>
  </si>
  <si>
    <t>Cash</t>
  </si>
  <si>
    <t>Current Liabilities</t>
  </si>
  <si>
    <t>Creditors due after one year</t>
  </si>
  <si>
    <t>Net assets/liabilities</t>
  </si>
  <si>
    <t>Restricted/Endowment Funds</t>
  </si>
  <si>
    <t>Non-Restricted Funds</t>
  </si>
  <si>
    <t>Total Charitable Funds</t>
  </si>
  <si>
    <t>Explain any significant or material movements e.g. transfer of charitable assets to/from another charity, and where charity figures have been adjusted within NHS Trust accounting policies</t>
  </si>
  <si>
    <t>Local Opening Balance</t>
  </si>
  <si>
    <t>Acquisitions</t>
  </si>
  <si>
    <t>Net gain/(loss) on revaluation</t>
  </si>
  <si>
    <t>Impairment</t>
  </si>
  <si>
    <t>Transfers to FT Charities (on change of status of parent)</t>
  </si>
  <si>
    <t>Transfers through reserves</t>
  </si>
  <si>
    <t>Closing Balance</t>
  </si>
  <si>
    <t>Other Fixed Assets</t>
  </si>
  <si>
    <t>Restricted /Endowment</t>
  </si>
  <si>
    <t>Non-restricted</t>
  </si>
  <si>
    <t>(Losses)/gains on revaluation</t>
  </si>
  <si>
    <t>Transfers to FT charities (when a Trust becomes an FT)</t>
  </si>
  <si>
    <t>Other movements</t>
  </si>
  <si>
    <t>Closing balance</t>
  </si>
  <si>
    <t>Analysis of opening balance adjustments</t>
  </si>
  <si>
    <t>REVENUE</t>
  </si>
  <si>
    <t>Use this section to analyse opening balance adjustments to Charitable Funds, to identify the retained earnings and other elements.</t>
  </si>
  <si>
    <t>Incoming resources       (+)</t>
  </si>
  <si>
    <t>Resources expended       (-)</t>
  </si>
  <si>
    <t>Other                (+/-)</t>
  </si>
  <si>
    <t>Charitable Funds - opening balance adjustment</t>
  </si>
  <si>
    <t>CAPITAL</t>
  </si>
  <si>
    <t>Use this section to analyse opening balance adjustments to non-current assets, to identify impacts on the consolidated budget outturn.</t>
  </si>
  <si>
    <t>Additions       (+)</t>
  </si>
  <si>
    <t>Disposals       (-)</t>
  </si>
  <si>
    <t>Investments - opening balance adjustment</t>
  </si>
  <si>
    <t>Other fixed assets - opening balance adjustment</t>
  </si>
  <si>
    <t>TRU24 - ROCR/OR/0190/002</t>
  </si>
  <si>
    <t>Working Papers</t>
  </si>
  <si>
    <t>Purchases per cash flow</t>
  </si>
  <si>
    <t>Payments for Property, Plant and Equipment</t>
  </si>
  <si>
    <t>Payments for Intangible Assets</t>
  </si>
  <si>
    <t>Cash purchases</t>
  </si>
  <si>
    <t>PPE additions purchased</t>
  </si>
  <si>
    <t>PPE additions donated (cash and non-cash purchases)</t>
  </si>
  <si>
    <t>PPE additions government granted (cash and non-cash purchases)</t>
  </si>
  <si>
    <t>Intangible additions purchased</t>
  </si>
  <si>
    <t>Intangible additions donated (cash and non-cash purchases)</t>
  </si>
  <si>
    <t>Intangible additions government granted (cash and non-cash purchases)</t>
  </si>
  <si>
    <t>(Increase)/decrease in capital payables relating to purchases</t>
  </si>
  <si>
    <t>Reconciliation must equal ZERO</t>
  </si>
  <si>
    <t>Additions purchased above</t>
  </si>
  <si>
    <t>Additions PFI/leased assets</t>
  </si>
  <si>
    <t>Additions other - freetext required</t>
  </si>
  <si>
    <t>Disposals per cash flow</t>
  </si>
  <si>
    <t>Proceeds of disposal of assets held for sale (intangible)</t>
  </si>
  <si>
    <t>Disposals per notes</t>
  </si>
  <si>
    <t>PPE disposal other than by sale - cost</t>
  </si>
  <si>
    <t>PPE disposal other than by sale - depn</t>
  </si>
  <si>
    <t>Intangible disposal other than by sale - cost</t>
  </si>
  <si>
    <t>Intangible disposal other than by sale - depn</t>
  </si>
  <si>
    <t>Non current assets held for sale- sold</t>
  </si>
  <si>
    <t>Gain/(Loss) on disposal of assets held for sale PPE</t>
  </si>
  <si>
    <t>Gain/(Loss) on disposal of assets held for sale intangible</t>
  </si>
  <si>
    <t>PFI scheme deferred income</t>
  </si>
  <si>
    <t>(Increase)/decrease in capital receivables relating to disposals</t>
  </si>
  <si>
    <t>Capital receipts per cash flow</t>
  </si>
  <si>
    <t>Capital grants and other capital receipts (excludes donated / government granted cash receipts but includes non cash donations)</t>
  </si>
  <si>
    <t>Capital receipts per notes</t>
  </si>
  <si>
    <t>PPE additions donated (purchased)</t>
  </si>
  <si>
    <t>PPE additions government granted (purchased)</t>
  </si>
  <si>
    <t>Intangible additions donated (purchased)</t>
  </si>
  <si>
    <t>Intangible additions government granted (purchased)</t>
  </si>
  <si>
    <t>Increase/(decrease) in capital payables relating to capital receipts</t>
  </si>
  <si>
    <t>(Increase)/decrease in capital receivables relating to capital receipts</t>
  </si>
  <si>
    <t>TRU25 - ROCR/OR/0190/002</t>
  </si>
  <si>
    <t>zero</t>
  </si>
  <si>
    <t>Note: If a break-even cumulative deficit is shown, the anticipated year of recovery must be completed</t>
  </si>
  <si>
    <t>B/F 1997-2003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</si>
  <si>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</si>
  <si>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</si>
  <si>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</si>
  <si>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</si>
  <si>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</si>
  <si>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</si>
  <si>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</si>
  <si>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</si>
  <si>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</si>
  <si>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</si>
  <si>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2014/15</t>
  </si>
  <si>
    <t>Turnover</t>
  </si>
  <si>
    <t>I&amp;E: Retained (Deficit)/Surplus</t>
  </si>
  <si>
    <t>Adjustment for:</t>
  </si>
  <si>
    <t>Pre FDL(97)24 Agreements</t>
  </si>
  <si>
    <t>1999/00 to 2003/04 PPA (relating to 1997/98 to 2002/03)</t>
  </si>
  <si>
    <t>2004/05 PPA (relating to 1997/98 to 2003/04)</t>
  </si>
  <si>
    <t>2005/06 PPA (relating to 1997/98 to 2004/05)</t>
  </si>
  <si>
    <t>2006/07 PPA (relating to 1997/98 to 2005/06)</t>
  </si>
  <si>
    <t>2007/08 PPA (relating to 1997/98 to 2006/07)</t>
  </si>
  <si>
    <t>2008/09 PPA (relating to 1997/98 to 2007/08)</t>
  </si>
  <si>
    <t>2009/10 PPA (relating to 1997/98 to 2008/09)</t>
  </si>
  <si>
    <t>Adjustments for Impairments</t>
  </si>
  <si>
    <t>PPAs from IFRS Transition not Included above (for 09/10 Accounts)</t>
  </si>
  <si>
    <t>Adjustments for impact of policy change re donated/government grants assets</t>
  </si>
  <si>
    <t>Consolidated Budgetary Guidance - Adjustment for Dual Accounting under IFRIC12</t>
  </si>
  <si>
    <t>Absorption Adjustment</t>
  </si>
  <si>
    <t>Other Agreed Adjustments</t>
  </si>
  <si>
    <t>Break-even in Year Position</t>
  </si>
  <si>
    <t>Break-even Cumulative Position</t>
  </si>
  <si>
    <t>If brought forward break-even cumulative position % sc280 is &lt;-0.5% then please state the first year of break-even failure, this should be the date of the financial year end e.g. 2001/02 = 2002</t>
  </si>
  <si>
    <t>The Trusts recovery plan, approved by the NHS TDA aims to achieve break-even in 20XX-XX.  This should be the date of the financial year end e.g. 2009</t>
  </si>
  <si>
    <t>If anticipated financial year of recovery is more than two years state the period agreed with NHS TDA (eg: 3)</t>
  </si>
  <si>
    <t>Materiality Test (i.e. is it =&lt; 0.5%) Break-even In-year Position (%)</t>
  </si>
  <si>
    <t>Break-even Cumulative Position (%)</t>
  </si>
  <si>
    <t>Adsorption Accounting Adjustment (TRU01, sc385)</t>
  </si>
  <si>
    <t>Total (feed to sc210 above)</t>
  </si>
  <si>
    <t>2013-14</t>
  </si>
  <si>
    <t>EXTERNAL FINANCING LIMIT (EFL)</t>
  </si>
  <si>
    <t>Cash Flow Financing</t>
  </si>
  <si>
    <t>Unwinding of Discount Adjustment</t>
  </si>
  <si>
    <t>Finance Leases Taken Out in the Year</t>
  </si>
  <si>
    <t>External Financing Requirement</t>
  </si>
  <si>
    <t>Under/(Over) Spend against EFL</t>
  </si>
  <si>
    <t>Capital Resource Limit (working paper)</t>
  </si>
  <si>
    <t>Assets transferred in to existing NHS Trusts under TCS</t>
  </si>
  <si>
    <t>Assets transferred in to New Community Trusts under TCS</t>
  </si>
  <si>
    <t>Gross Capital Expenditure including IFRS impact excluding asset transfers under TCS</t>
  </si>
  <si>
    <t>Asset Transfers in to NHS Trusts - Non TCS</t>
  </si>
  <si>
    <t>Gross Capital Expenditure Including IFRS Impact including asset transfers</t>
  </si>
  <si>
    <t>Less: Book Value of Assets Disposed of to NHS Orgs</t>
  </si>
  <si>
    <t>Less: Book Value of Assets Disposed of to Non-NHS Orgs</t>
  </si>
  <si>
    <t>Less: Net Book Value of Financial Instruments (Investments) Disposed of to NHS bodies</t>
  </si>
  <si>
    <t>Less: Net Book Value of Financial Instruments (Investments) Disposed of to Non-NHS bodies</t>
  </si>
  <si>
    <t>Plus: Loss on Disposal of Donated Assets</t>
  </si>
  <si>
    <t>Less: Capital Grants Received</t>
  </si>
  <si>
    <t>Less :Donations</t>
  </si>
  <si>
    <t>Charge against the Capital Resource Limit (CRL) incl IFRS impact</t>
  </si>
  <si>
    <t>Capital Resource Limit (CRL) incl IFRS impact</t>
  </si>
  <si>
    <t>Under/(Over) Spend Against CRL</t>
  </si>
  <si>
    <t>Capital Resource Limit - Summary</t>
  </si>
  <si>
    <t>Gross capital expenditure</t>
  </si>
  <si>
    <t>Less: book value of assets disposed of</t>
  </si>
  <si>
    <t>Less: capital grants</t>
  </si>
  <si>
    <t>Less: donations towards the acquisition of non-current assets</t>
  </si>
  <si>
    <t>Charge against the capital resource limit</t>
  </si>
  <si>
    <t>Capital resource limit</t>
  </si>
  <si>
    <t>(Over)/underspend against the capital resource limit</t>
  </si>
  <si>
    <t>Calcs</t>
  </si>
  <si>
    <t>Description</t>
  </si>
  <si>
    <t>Cash and Cash Equivalents (and Bank Overdraft) at Beginning of the Period</t>
  </si>
  <si>
    <t>Expenditure</t>
  </si>
  <si>
    <t>Balance</t>
  </si>
  <si>
    <t>mc05</t>
  </si>
  <si>
    <t>Value</t>
  </si>
  <si>
    <t>Prior Period Adjustment</t>
  </si>
  <si>
    <t>Movements in Other Reserves</t>
  </si>
  <si>
    <t>Other Non-Cash Revenue</t>
  </si>
  <si>
    <t>Other Auditors Remuneration</t>
  </si>
  <si>
    <t>Other Cash Expenditure</t>
  </si>
  <si>
    <t>Other Non Cash Expenditure</t>
  </si>
  <si>
    <t>TRU04 sc440</t>
  </si>
  <si>
    <t>TRU04 sc450</t>
  </si>
  <si>
    <t>TRU04 sc460</t>
  </si>
  <si>
    <t>Key Performance Metrics</t>
  </si>
  <si>
    <t>TRUb_Metrics_MI</t>
  </si>
  <si>
    <t>Key Metrics</t>
  </si>
  <si>
    <t>Current Month Metrics</t>
  </si>
  <si>
    <t>Variance By Month</t>
  </si>
  <si>
    <t>(A) Accountability Framework</t>
  </si>
  <si>
    <t>Plan</t>
  </si>
  <si>
    <t>Actual / Forecast</t>
  </si>
  <si>
    <t>Variance</t>
  </si>
  <si>
    <t>RAG Rating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</si>
  <si>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</si>
  <si>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</si>
  <si>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</si>
  <si>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</si>
  <si>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</si>
  <si>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</si>
  <si>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</si>
  <si>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</si>
  <si>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</si>
  <si>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</si>
  <si>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</si>
  <si>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(mc 01)</t>
  </si>
  <si>
    <t>(mc 02)</t>
  </si>
  <si>
    <t>(mc 03)</t>
  </si>
  <si>
    <t>(mc 04)</t>
  </si>
  <si>
    <t>(mc 05)</t>
  </si>
  <si>
    <t>(mc 06)</t>
  </si>
  <si>
    <t>(mc 07)</t>
  </si>
  <si>
    <t>(mc 08)</t>
  </si>
  <si>
    <t>(mc 09)</t>
  </si>
  <si>
    <t>(mc 10)</t>
  </si>
  <si>
    <t>(mc 11)</t>
  </si>
  <si>
    <t>(mc 12)</t>
  </si>
  <si>
    <t>(mc 13)</t>
  </si>
  <si>
    <t>(mc 14)</t>
  </si>
  <si>
    <t>(mc 15)</t>
  </si>
  <si>
    <t>(mc 16)</t>
  </si>
  <si>
    <t>(mc 17)</t>
  </si>
  <si>
    <t>(mc 18)</t>
  </si>
  <si>
    <t>(mc 19)</t>
  </si>
  <si>
    <t>(mc 20)</t>
  </si>
  <si>
    <t>(mc 21)</t>
  </si>
  <si>
    <t>(mc 22)</t>
  </si>
  <si>
    <t>(mc 23)</t>
  </si>
  <si>
    <t>(mc 24)</t>
  </si>
  <si>
    <t>(mc 25)</t>
  </si>
  <si>
    <t>(mc 26)</t>
  </si>
  <si>
    <t>NHS Financial Performance</t>
  </si>
  <si>
    <t>% changes</t>
  </si>
  <si>
    <t>adj%change</t>
  </si>
  <si>
    <t>1a) Forecast Outturn, Compared to Plan</t>
  </si>
  <si>
    <t>1b) Year to Date, Actual compared to Plan</t>
  </si>
  <si>
    <t>Financial Efficiency</t>
  </si>
  <si>
    <t>2a) Actual Efficiency recurring/non-recurring compared to plan - Year to date actual compared to plan</t>
  </si>
  <si>
    <t>- Total Efficiencies for Year to Date compared to Plan</t>
  </si>
  <si>
    <t>- Recurrent Efficiencies for Year to Date compared to Plan</t>
  </si>
  <si>
    <t>2b) Actual Efficiency recurring/non-recurring compared to plan - Forecast compared to plan</t>
  </si>
  <si>
    <t>- Total Efficiencies for Forecast Outturn compared to Plan</t>
  </si>
  <si>
    <t>- Recurrent Efficiencies for Forecast Outturn compared to Plan</t>
  </si>
  <si>
    <t>Underlying Revenue Position</t>
  </si>
  <si>
    <t>3) Forecast Underlying surplus / (deficit) compared to Plan</t>
  </si>
  <si>
    <t>Cash and Capital</t>
  </si>
  <si>
    <t>4) Forecast Year End Charge to Capital Resource Limit</t>
  </si>
  <si>
    <t>5) Permanent PDC accessed for liquidity purposes</t>
  </si>
  <si>
    <t>Trust Overall RAG Rating</t>
  </si>
  <si>
    <t>(B) Continuity of Service Risk Ratings</t>
  </si>
  <si>
    <t>Year to Date Rating</t>
  </si>
  <si>
    <t>Forecast Outturn Rating</t>
  </si>
  <si>
    <t>(C) Number of unresolved Validation Errors (Level 1 only)</t>
  </si>
  <si>
    <t>No of RED</t>
  </si>
  <si>
    <t>No of AMBER</t>
  </si>
  <si>
    <t>No of GREEN</t>
  </si>
  <si>
    <t>Key Data Item</t>
  </si>
  <si>
    <t>2013/14 Full Year</t>
  </si>
  <si>
    <t>Current Year to Date</t>
  </si>
  <si>
    <t>Forms Reference</t>
  </si>
  <si>
    <t>Accounts</t>
  </si>
  <si>
    <t>Actual</t>
  </si>
  <si>
    <t>Total Turnover used in Key Data (Operating Revenue less Donated &amp; Gov Grant Income)</t>
  </si>
  <si>
    <t>TRU01 sc120 &amp; sc130 &amp; sc465</t>
  </si>
  <si>
    <t>Retained Surplus /(Deficit) for the Year per the Accounts</t>
  </si>
  <si>
    <t>TRU01 sc220</t>
  </si>
  <si>
    <t>Retained Surplus/(Deficit) as a percentage of Turnover (%)</t>
  </si>
  <si>
    <t>Reported Financial Performance</t>
  </si>
  <si>
    <t>Retained Surplus/(Deficit) for the Year (as above)</t>
  </si>
  <si>
    <t>Adjustments for impairments, Donated and Government Granted assets, IFRIC 12 and Transfers by Absorption</t>
  </si>
  <si>
    <t>TRU01 sc360 to 385</t>
  </si>
  <si>
    <t>Adjusted Financial Performance Retained Surplus/(Deficit)</t>
  </si>
  <si>
    <t>TRU01 sc390</t>
  </si>
  <si>
    <t>Adjusted Financial Performance Retained Surplus/(Deficit) as a percentage of Turnover (%)</t>
  </si>
  <si>
    <t>Earnings Before Interest, Taxation, Depreciation and Amortisation (EBITDA)</t>
  </si>
  <si>
    <t>Total EBITDA</t>
  </si>
  <si>
    <t>TRU01 sc490</t>
  </si>
  <si>
    <t>EBITDA as a percentage of Turnover (%)</t>
  </si>
  <si>
    <t>Financial Risk Ratings</t>
  </si>
  <si>
    <t>Underlying Performance</t>
  </si>
  <si>
    <t>TRU54 sc130</t>
  </si>
  <si>
    <t>Achievement of Plan</t>
  </si>
  <si>
    <t>TRU54 sc170</t>
  </si>
  <si>
    <t>TRU54 sc290</t>
  </si>
  <si>
    <t>Liquidity</t>
  </si>
  <si>
    <t>TRU54 sc340</t>
  </si>
  <si>
    <t>Overall Financial Risk Ratings</t>
  </si>
  <si>
    <t>TRU54 sc370</t>
  </si>
  <si>
    <t>Capital Position</t>
  </si>
  <si>
    <t>Gross Capital Expenditure</t>
  </si>
  <si>
    <t>Capital Receipts/Losses</t>
  </si>
  <si>
    <t>Other adjustments relating to grants, losses on disposal of donated assets and Donations</t>
  </si>
  <si>
    <t>Charge against Capital Resource Limit</t>
  </si>
  <si>
    <t>TRU55 sc330</t>
  </si>
  <si>
    <t>Capital Resource Limit (CRL)</t>
  </si>
  <si>
    <t>TRU55 sc335</t>
  </si>
  <si>
    <t>Under/(Over) spend against CRL</t>
  </si>
  <si>
    <t>TRU55 sc340</t>
  </si>
  <si>
    <t>Cash, Funding and Loans</t>
  </si>
  <si>
    <t>Cash Balance</t>
  </si>
  <si>
    <t>TRU04 sc640</t>
  </si>
  <si>
    <t>New PDC Issued in year / (repaid) - Capital</t>
  </si>
  <si>
    <t>TRU04 sc430 and sc441</t>
  </si>
  <si>
    <t>New PDC Issued in year / (repaid) - Revenue</t>
  </si>
  <si>
    <t>TRU04 sc440 and sc442</t>
  </si>
  <si>
    <t>Loans received from DH - Capital Investment Loans</t>
  </si>
  <si>
    <t>Loans received from DH - Revenue Support Loans</t>
  </si>
  <si>
    <t>TRU04 sc465</t>
  </si>
  <si>
    <t>TRU04 sc468 &amp; sc470</t>
  </si>
  <si>
    <t>Percentage of over 90 day Receivables : Non NHS (%)</t>
  </si>
  <si>
    <t>TRU55 sc550</t>
  </si>
  <si>
    <t>Percentage of over 90 day Receivables : NHS (%)</t>
  </si>
  <si>
    <t>TRU55 sc560</t>
  </si>
  <si>
    <t>Percentage of over 90 day Payables : Non NHS (%)</t>
  </si>
  <si>
    <t>TRU55 sc570</t>
  </si>
  <si>
    <t>Percentage of over 90 day Payables : NHS (%)</t>
  </si>
  <si>
    <t>TRU55 sc580</t>
  </si>
  <si>
    <t>Better Payment Practice Code: percentage settled within target by number (%)</t>
  </si>
  <si>
    <t>TRU55 sc680</t>
  </si>
  <si>
    <t>Better Payment Practice Code: percentage settled within target by £000s</t>
  </si>
  <si>
    <t>CIPs / Efficiencies</t>
  </si>
  <si>
    <t>High Risk Efficiencies</t>
  </si>
  <si>
    <t>TRU65 sc180</t>
  </si>
  <si>
    <t>Medium Risk Efficiencies</t>
  </si>
  <si>
    <t>TRU65 sc190</t>
  </si>
  <si>
    <t>Low Risk Efficiencies</t>
  </si>
  <si>
    <t>TRU65 sc200</t>
  </si>
  <si>
    <t>Total Efficiencies</t>
  </si>
  <si>
    <t>TRU65 sc260</t>
  </si>
  <si>
    <t>Unidentified Efficiencies</t>
  </si>
  <si>
    <t>TRU65 sc130</t>
  </si>
  <si>
    <t>Recurrent Efficiencies</t>
  </si>
  <si>
    <t>TRU65 sc150</t>
  </si>
  <si>
    <t>Non-Recurrent Efficiencies</t>
  </si>
  <si>
    <t>TRU65 sc160</t>
  </si>
  <si>
    <t>Underlying Surplus / (Deficit)</t>
  </si>
  <si>
    <t>Underlying Surplus / (Deficit) as a percentage of Turnover (%)</t>
  </si>
  <si>
    <t>Efficiencies as a % of total expenditure excluding efficiencies</t>
  </si>
  <si>
    <t>TRU65 sc280</t>
  </si>
  <si>
    <t>Other key metrics</t>
  </si>
  <si>
    <t>Under / (over) spend against EFL</t>
  </si>
  <si>
    <t>TRU55 sc280 mc02</t>
  </si>
  <si>
    <t>Annual Capital Absorption Rate</t>
  </si>
  <si>
    <t>TRU55 sc220 mc01</t>
  </si>
  <si>
    <t>Normalised Position</t>
  </si>
  <si>
    <t>TRU67 sc310 &amp; sc360</t>
  </si>
  <si>
    <t>TRU64 sc760 &amp; sc780 mc03</t>
  </si>
  <si>
    <t>Underlying Surplus / (Deficit) as a percentage of Turnover</t>
  </si>
  <si>
    <t>TRU64 sc760 &amp; sc780 mc04</t>
  </si>
  <si>
    <t>Continuity of Service Risk Ratings</t>
  </si>
  <si>
    <t>Liquidity Ratio (days)</t>
  </si>
  <si>
    <t>TRU55 sc810</t>
  </si>
  <si>
    <t>Capital Servicing Capacity (times)</t>
  </si>
  <si>
    <t>TRU55 sc850</t>
  </si>
  <si>
    <t>Overall Continuity of Service Risk Rating</t>
  </si>
  <si>
    <t>TRU55 sc860</t>
  </si>
  <si>
    <t>TRU01_MI</t>
  </si>
  <si>
    <t>FOT&gt;YTD</t>
  </si>
  <si>
    <t>Agency</t>
  </si>
  <si>
    <t>Check to</t>
  </si>
  <si>
    <t>Data entry</t>
  </si>
  <si>
    <t>(+ve)</t>
  </si>
  <si>
    <t>(-ve)</t>
  </si>
  <si>
    <t>completed</t>
  </si>
  <si>
    <t>TRU55</t>
  </si>
  <si>
    <t>SC620</t>
  </si>
  <si>
    <t>Other Gains and (Losses)</t>
  </si>
  <si>
    <t>Finance Costs (including interest on PFIs and Finance Leases)</t>
  </si>
  <si>
    <t>Interest on PFIs / Finance leases</t>
  </si>
  <si>
    <t>SURPLUS/(DEFICIT) FOR THE PERIOD</t>
  </si>
  <si>
    <t>Net gains/ (loss) on transfers by absorption</t>
  </si>
  <si>
    <t>RETAINED SURPLUS/(DEFICIT) FOR THE PERIOD</t>
  </si>
  <si>
    <t>RETAINED SURPLUS/(DEFICIT) FOR THE PERIOD (AFTER PRIOR PERIOD ADJUSTMENTS)</t>
  </si>
  <si>
    <t>Reported NHS Financial Performance</t>
  </si>
  <si>
    <t>Retained Surplus/(Deficit) for the Period (as above)</t>
  </si>
  <si>
    <t>Prior Period adjustment to correct errors and other performance adjustments</t>
  </si>
  <si>
    <t>Impairments: IFRIC 12</t>
  </si>
  <si>
    <t>Other: IFRIC12</t>
  </si>
  <si>
    <t>IFRIC 12 Adjustment including impairments</t>
  </si>
  <si>
    <t>Impairments excluding IFRIC 12:  impairments</t>
  </si>
  <si>
    <t>Donated/Government grant assets adjustment: include donation/grant receipts and depreciation of donated/grant funded assets (see note 1 below)</t>
  </si>
  <si>
    <t>Adjustments - other net (gains)/losses on transfers by absorption</t>
  </si>
  <si>
    <t>(items added back to retained surplus/(deficit))</t>
  </si>
  <si>
    <t>Retained Surplus/(Deficit) for the Year</t>
  </si>
  <si>
    <t>Prior Period adjustment to correct errors</t>
  </si>
  <si>
    <t>Depreciation</t>
  </si>
  <si>
    <t>Amortisation</t>
  </si>
  <si>
    <t>Impairments (including IFRIC 12 impairments)</t>
  </si>
  <si>
    <t>Turnover for key data</t>
  </si>
  <si>
    <t>Interest Receivable</t>
  </si>
  <si>
    <t>Dividends</t>
  </si>
  <si>
    <t>Feed to validation TRU64 06&amp;07</t>
  </si>
  <si>
    <t>Donated/Government grants assets adjustment (donation income element of sc 380)</t>
  </si>
  <si>
    <t>(Gains)/Losses on disposal of assets</t>
  </si>
  <si>
    <t>RAF COS Feed</t>
  </si>
  <si>
    <t>(Gains)/Losses on disposal of other</t>
  </si>
  <si>
    <t>13/14</t>
  </si>
  <si>
    <t>Plan YTD</t>
  </si>
  <si>
    <t>Actual YTD</t>
  </si>
  <si>
    <t>Plan FOT</t>
  </si>
  <si>
    <t>Actual FOT</t>
  </si>
  <si>
    <t>Adjustments - other Net (gains)/losses on transfers by absorption</t>
  </si>
  <si>
    <t>EBITDA Sub Total</t>
  </si>
  <si>
    <t>Restructuring costs</t>
  </si>
  <si>
    <t>Validation to TRU64</t>
  </si>
  <si>
    <t>Other exceptional Items</t>
  </si>
  <si>
    <t>Normalised EBITDA</t>
  </si>
  <si>
    <t>14/15</t>
  </si>
  <si>
    <t>Note 1: Donation/grant receipts and depreciation of donated/grant funded assets</t>
  </si>
  <si>
    <t>Depreciation and Amortisation on Government Granted and Donated Assets</t>
  </si>
  <si>
    <t>Receipt of Charitable Donations and Government Grants for Capital Acquisitions</t>
  </si>
  <si>
    <t>Total donations / grant receipts and depreciation of donated / grant funded assets</t>
  </si>
  <si>
    <t>Note 2: Stock Write down included in Operating Surplus / (Deficit)  (used in COS calculation)</t>
  </si>
  <si>
    <t>Note 3: Impairment of Receivables included in Operating Surplus / (Deficit)  (used in COS calculation)</t>
  </si>
  <si>
    <t>Agency/Contract staff costs</t>
  </si>
  <si>
    <t>Other (excluding Agency/Contract)</t>
  </si>
  <si>
    <t>Total Other Staff Costs (consistent with TRU09 mc 07 sc 210 of annual accounts forms)</t>
  </si>
  <si>
    <t>Note 5: Underlying surplus / (deficit) consistent with sc1310 of TRU64 of Plan</t>
  </si>
  <si>
    <t>TRU 02_MI</t>
  </si>
  <si>
    <t>Commercial</t>
  </si>
  <si>
    <t>Cash bal</t>
  </si>
  <si>
    <t>Feed to TRU04 validation calcs</t>
  </si>
  <si>
    <t>Liabilities arising from PFIs / Finance Leases</t>
  </si>
  <si>
    <t>DH Working Capital Loan - FT Liquidity</t>
  </si>
  <si>
    <t>DH Working Capital Loan - Revenue Support</t>
  </si>
  <si>
    <t>Liabilities arising from PFIs/Finance Leases</t>
  </si>
  <si>
    <t>Government Banking Service / National Loans Fund</t>
  </si>
  <si>
    <t>Memorandum Items</t>
  </si>
  <si>
    <t>PFI Prepayments, Current Portion</t>
  </si>
  <si>
    <t>Derivatives, Current Portion</t>
  </si>
  <si>
    <t>Financial Assets Available for Sale</t>
  </si>
  <si>
    <t>Current Assets held for Sale by Charitable Funds</t>
  </si>
  <si>
    <t>Current Liabilities held for Sale by Charitable Funds</t>
  </si>
  <si>
    <t>Bank overdraft included in borrowings (sc280)</t>
  </si>
  <si>
    <t>Analysis of Cash Balances</t>
  </si>
  <si>
    <t>Total Cash Balance in sub code 200</t>
  </si>
  <si>
    <t>Cash Balance held in GBS</t>
  </si>
  <si>
    <t>Cash Balance held on deposit with National Loans Fund (NLF)</t>
  </si>
  <si>
    <t>Cash Balance held in commercial accounts</t>
  </si>
  <si>
    <t>Other Balances</t>
  </si>
  <si>
    <t>No. of Commercial Bank Accounts Held</t>
  </si>
  <si>
    <t>Banks that Commercial Accounts Held with:-</t>
  </si>
  <si>
    <t>TRU 04_MI</t>
  </si>
  <si>
    <t>FOT &gt; YTD</t>
  </si>
  <si>
    <t>date entry</t>
  </si>
  <si>
    <t>O loans</t>
  </si>
  <si>
    <t>PDC/loans rec</t>
  </si>
  <si>
    <t>Loans</t>
  </si>
  <si>
    <t>to SOFP</t>
  </si>
  <si>
    <t>(Other)</t>
  </si>
  <si>
    <t>Operating Surplus/(Deficit)</t>
  </si>
  <si>
    <t>Government Granted Assets received, credited to revenue but non-cash</t>
  </si>
  <si>
    <t>PFI/Finance Lease Interest Paid</t>
  </si>
  <si>
    <t>Release of PFI/Deferred Credit</t>
  </si>
  <si>
    <t>Increase/(Decrease) in Movement in Non Cash Provisions</t>
  </si>
  <si>
    <t>Cash Flows from Investing Activities</t>
  </si>
  <si>
    <t>(Payments) for Property, Plant and Equipment (net of movements in capital creditors)</t>
  </si>
  <si>
    <t>Feed to Tru Metric RAF calc</t>
  </si>
  <si>
    <t>Cash Flows from Financing Activities</t>
  </si>
  <si>
    <t>New Temporary PDC Issued in year to date for liquidity purposes</t>
  </si>
  <si>
    <t>Anticipated Repayment for Temporary PDC (enter month of repayment below)</t>
  </si>
  <si>
    <t>New Public Dividend Capital received in year: PDC Capital</t>
  </si>
  <si>
    <t>New Public Dividend Capital received in year: PDC Revenue</t>
  </si>
  <si>
    <t>Public Dividend Capital repaid in year: PDC Capital</t>
  </si>
  <si>
    <t>Public Dividend Capital repaid in year: PDC Revenue</t>
  </si>
  <si>
    <t>Loans Received - London RE:FIT loans (London Trusts only)</t>
  </si>
  <si>
    <t>Loans repaid to DH - FT Liquidity Loans Repayment of Principal</t>
  </si>
  <si>
    <t>Loans repaid to DH - Revenue Support Loans Repayment of Principal</t>
  </si>
  <si>
    <t>Capital grants and other capital receipts (excluding donated/government granted cash receipts)</t>
  </si>
  <si>
    <t>Anticipated month of Repayment for temporary PDC (enter date format)</t>
  </si>
  <si>
    <t>2013/2014 Accounts</t>
  </si>
  <si>
    <t>Total Other Loans Received (reported on sc 470)</t>
  </si>
  <si>
    <t>Total Other Loans Repaid (reported on sc 500)</t>
  </si>
  <si>
    <t>Validation checks</t>
  </si>
  <si>
    <t>Balance to SOFP</t>
  </si>
  <si>
    <t>cash</t>
  </si>
  <si>
    <t>PDC/loans</t>
  </si>
  <si>
    <t>SOFP cl  balance</t>
  </si>
  <si>
    <t>Closing cash check</t>
  </si>
  <si>
    <t>check</t>
  </si>
  <si>
    <t>op CAPITAL Loans</t>
  </si>
  <si>
    <t>Movements</t>
  </si>
  <si>
    <t>Cl CAPITAL loans</t>
  </si>
  <si>
    <t>Cap loans check</t>
  </si>
  <si>
    <t>loans per SOFP</t>
  </si>
  <si>
    <t>op REVENUE Loans</t>
  </si>
  <si>
    <t>Cl REVENUE loans</t>
  </si>
  <si>
    <t>Rev loans check</t>
  </si>
  <si>
    <t>op FT Loans</t>
  </si>
  <si>
    <t>Cl FT loans</t>
  </si>
  <si>
    <t>FT loans check</t>
  </si>
  <si>
    <t>op OTHER BORROWINGS</t>
  </si>
  <si>
    <t>Cl OTHER BORROWINGS</t>
  </si>
  <si>
    <t>Other Borr check</t>
  </si>
  <si>
    <t>Op PDC</t>
  </si>
  <si>
    <t>PDC check</t>
  </si>
  <si>
    <t>Cl PDC</t>
  </si>
  <si>
    <t>PDC per SOFP</t>
  </si>
  <si>
    <t>Analysis of Impairments &amp; (Reversals) - Working Paper</t>
  </si>
  <si>
    <t>Investment Property impairments charged to Revaluation Reserve</t>
  </si>
  <si>
    <t>Over specification of Assets</t>
  </si>
  <si>
    <t>Total Investment Property impairments charged to Reserves</t>
  </si>
  <si>
    <t>Donated and Gov Granted Assets, included in sc 930 above</t>
  </si>
  <si>
    <t>2013-14 Outturn</t>
  </si>
  <si>
    <t>2014-15 Full Year Plan</t>
  </si>
  <si>
    <t>Balance at Year end</t>
  </si>
  <si>
    <t>As at YTD</t>
  </si>
  <si>
    <t>Transfers (to) / from other Public Sector Bodies</t>
  </si>
  <si>
    <t>TRU 20_MI</t>
  </si>
  <si>
    <t>Input of PFI text</t>
  </si>
  <si>
    <t>On SoFP from inception - See List A</t>
  </si>
  <si>
    <t>Revenue costs of IFRS: Arrangements reported on SoFP under IFRIC12 (e.g LIFT/PFI)</t>
  </si>
  <si>
    <t>IFRIC 12 Performance Calculation</t>
  </si>
  <si>
    <t>Net IFRS change (IFRIC12) as per sc 600</t>
  </si>
  <si>
    <t>Total Impairment Charges</t>
  </si>
  <si>
    <t>IFRIC12 excluding impairment charges</t>
  </si>
  <si>
    <t>IFRIC 12 Performance Adjustment</t>
  </si>
  <si>
    <t>Average net assets relating to IFRIC12 schemes - IFRS</t>
  </si>
  <si>
    <t>Average net assets relating to IFRIC12 schemes - UKGAAP</t>
  </si>
  <si>
    <t>IFRIC12/UKGAAP</t>
  </si>
  <si>
    <t>All Other IFRIC 12 Schemes</t>
  </si>
  <si>
    <t>Net IFRS change (IFRIC12) as per sc 675</t>
  </si>
  <si>
    <t>Total IFRIC12/UK GAAP Data Summary</t>
  </si>
  <si>
    <t>Net IFRS change (IFRIC12) as per sc 755</t>
  </si>
  <si>
    <t>Memorandum - List A</t>
  </si>
  <si>
    <t>Schemes</t>
  </si>
  <si>
    <t>Schemes recognised as on SoFP from inception</t>
  </si>
  <si>
    <t>Trusts with Schemes on List A</t>
  </si>
  <si>
    <t>Buckinghamshire Hospitals NHS Trust</t>
  </si>
  <si>
    <t>South Bucks PFI (Wycombe and Amersham)</t>
  </si>
  <si>
    <t>Barnet &amp; Chase Farm Hospitals NHS Trust</t>
  </si>
  <si>
    <t>Barnet Hospital PFI</t>
  </si>
  <si>
    <t>Torbay &amp; Southern Devon Healthcare NHS Trust</t>
  </si>
  <si>
    <t>Newton Abbot Comm Hospital PFI (prev Teignbridge PCT)</t>
  </si>
  <si>
    <t>Memorandum - Scheme Descriptions</t>
  </si>
  <si>
    <t>Total no. of IFRIC 12 Schemes captured in figures above</t>
  </si>
  <si>
    <t>Descriptions of each IFRIC 12 Scheme</t>
  </si>
  <si>
    <t>List A/Other</t>
  </si>
  <si>
    <t>Memorandum - IFRIC 12 Scheme Payments</t>
  </si>
  <si>
    <t>Breakdown of IFRIC 12 Scheme Payments</t>
  </si>
  <si>
    <t>Payment for Services</t>
  </si>
  <si>
    <t>Capital Repayment of Principal</t>
  </si>
  <si>
    <t>Less finance leases included in sc1100 above</t>
  </si>
  <si>
    <t>Interest</t>
  </si>
  <si>
    <t>Interest costs relating to contingent rentals (incl. in sc715 above)</t>
  </si>
  <si>
    <t>Capitalised Lifecycle Costs - allocated to the Unitary Payment</t>
  </si>
  <si>
    <t>Total Unitary Payment</t>
  </si>
  <si>
    <t>TRU 56</t>
  </si>
  <si>
    <t>Underspend EFL</t>
  </si>
  <si>
    <t>Underspend CRL</t>
  </si>
  <si>
    <t>PDC test</t>
  </si>
  <si>
    <t>BPPC</t>
  </si>
  <si>
    <t>over 90 day debt</t>
  </si>
  <si>
    <t>sub total</t>
  </si>
  <si>
    <t>Annual Capital Cost Absorption Rate:</t>
  </si>
  <si>
    <t>2014/15 Plan</t>
  </si>
  <si>
    <t>Dividends on Public Dividend Capital</t>
  </si>
  <si>
    <t>Opening Capital and Reserves (Total Assets Employed)</t>
  </si>
  <si>
    <t>Opening Adjustments</t>
  </si>
  <si>
    <t>Opening Donated Asset Net Book Value</t>
  </si>
  <si>
    <t>Opening Relevant Net Assets</t>
  </si>
  <si>
    <t>Closing Capital and Reserves (Total Assets Employed)</t>
  </si>
  <si>
    <t>Closing Adjustments</t>
  </si>
  <si>
    <t>Closing Donated Asset Net Book Value</t>
  </si>
  <si>
    <t>Adjustments to exclude significant disposals/aquisitions in closing total assets employed</t>
  </si>
  <si>
    <t>Less Closing Cash Held in Government Banking Service/National Loans Fund</t>
  </si>
  <si>
    <t>Closing Relevant Net Assets</t>
  </si>
  <si>
    <t>Sum of Opening/Closing Relevent Net Assets</t>
  </si>
  <si>
    <t>Initial Average Relevant Net Assets</t>
  </si>
  <si>
    <t>Average Daily Cleared Balances in GBS/NLF Deposits over the year</t>
  </si>
  <si>
    <t>Adjustment for part-year effect of significant disposals/acquisitions reported on sc185</t>
  </si>
  <si>
    <t>Final Average Relevant Net Assets</t>
  </si>
  <si>
    <t>No. Mnths as NHS Trust</t>
  </si>
  <si>
    <t>Full Year Effect</t>
  </si>
  <si>
    <t>Capital Cost Absorption Rate (%)</t>
  </si>
  <si>
    <t>Summary Capital Expenditure</t>
  </si>
  <si>
    <t>Gross Capital Expenditure including IFRS</t>
  </si>
  <si>
    <t>Current Year to date</t>
  </si>
  <si>
    <t>Key Data: Capital and Cash</t>
  </si>
  <si>
    <t>Full Year</t>
  </si>
  <si>
    <t>Under/(Over) spend against Capital Resource Limit (CRL):</t>
  </si>
  <si>
    <t>Total Charge against the Capital Resource Limit (CRL) incl IFRS impact</t>
  </si>
  <si>
    <t>Forecast Outturn Capital Resource Limit (CRL)</t>
  </si>
  <si>
    <t>Current CRL</t>
  </si>
  <si>
    <t>Anticipated Adjustments</t>
  </si>
  <si>
    <t>Total CRL</t>
  </si>
  <si>
    <t>Under/(Over) spend against Capital Resource Limit (CRL)</t>
  </si>
  <si>
    <t>Capital Resource Limit</t>
  </si>
  <si>
    <t>CRL</t>
  </si>
  <si>
    <t>Date</t>
  </si>
  <si>
    <t>Anticipated Adjustments:</t>
  </si>
  <si>
    <t>Total Anticipated Adjustments</t>
  </si>
  <si>
    <t>IFRS Capital Expenditure IFRIC12 and Non IFRIC12</t>
  </si>
  <si>
    <t>Impact of IFRS on Net Capital Expenditure (IFRIC12 schemes only)</t>
  </si>
  <si>
    <t>Impact of IFRS on Net Capital Expenditure (non-IFRIC12 i.e. IFRIC 4 schemes only)</t>
  </si>
  <si>
    <t>Total impact of IFRS</t>
  </si>
  <si>
    <t>UK GAAP Equivalent of IFRIC 12 Capital Expenditure for the year (Reversionary Interest)</t>
  </si>
  <si>
    <t>Total at</t>
  </si>
  <si>
    <t>31 - 60 Days</t>
  </si>
  <si>
    <t>61-90 Days</t>
  </si>
  <si>
    <t>Over 90  Days</t>
  </si>
  <si>
    <t>Aged Receivables/Payables: Current Month</t>
  </si>
  <si>
    <t>Period End</t>
  </si>
  <si>
    <t>Aged Receivables/Payables: Previous Month</t>
  </si>
  <si>
    <t>Current Year To Date</t>
  </si>
  <si>
    <t>Previous Month</t>
  </si>
  <si>
    <t>Better Payment Practice Code</t>
  </si>
  <si>
    <t>Total bills paid in the year</t>
  </si>
  <si>
    <t>Total bills paid within target</t>
  </si>
  <si>
    <t>Percentage of bills paid within target</t>
  </si>
  <si>
    <t>NHS</t>
  </si>
  <si>
    <t>Key Expenditure Items</t>
  </si>
  <si>
    <t>Service Reconfiguration</t>
  </si>
  <si>
    <t>Supporting Transition to Foundation Trust status</t>
  </si>
  <si>
    <t>Total of Key Expenditure Items</t>
  </si>
  <si>
    <t>Forecast Outturn Metrics</t>
  </si>
  <si>
    <t>Continuity of Services Risk Ratings</t>
  </si>
  <si>
    <t>Month for COS ratings</t>
  </si>
  <si>
    <t>Working Capital Balance</t>
  </si>
  <si>
    <t>Months</t>
  </si>
  <si>
    <t>Annual Operating Expenses</t>
  </si>
  <si>
    <t>Days</t>
  </si>
  <si>
    <t>Liquidity Ratio Days</t>
  </si>
  <si>
    <t>Continuity of Service Parameters</t>
  </si>
  <si>
    <t>Liquidity Ratio Metric</t>
  </si>
  <si>
    <t>Liquidity ratio (days)</t>
  </si>
  <si>
    <t>50% Weighting</t>
  </si>
  <si>
    <t>Revenue Available for Debt Service</t>
  </si>
  <si>
    <t>&lt;-14</t>
  </si>
  <si>
    <t>Annual Debt Service</t>
  </si>
  <si>
    <t>Capital servicing capacity</t>
  </si>
  <si>
    <t>Capital Servicing Capacity metric</t>
  </si>
  <si>
    <t>Continuity of Services Rating for Trust</t>
  </si>
  <si>
    <t>&lt;1.25</t>
  </si>
  <si>
    <t>Capital Analysis of Projects</t>
  </si>
  <si>
    <t>Type of</t>
  </si>
  <si>
    <t>By DH</t>
  </si>
  <si>
    <t>PDC Cash Draw-down Yr</t>
  </si>
  <si>
    <t>Programme</t>
  </si>
  <si>
    <t>Y (IFRIC 12 or 4)/N</t>
  </si>
  <si>
    <t>Cfwd/In-Year/Non-PDC</t>
  </si>
  <si>
    <t>Val Entry</t>
  </si>
  <si>
    <t>additional</t>
  </si>
  <si>
    <t>YTD=&lt;FOT</t>
  </si>
  <si>
    <t>Backlog</t>
  </si>
  <si>
    <t>data/no text</t>
  </si>
  <si>
    <t>analysis</t>
  </si>
  <si>
    <t>(A) Identified at Plan:</t>
  </si>
  <si>
    <t>Exceptional PDC</t>
  </si>
  <si>
    <t>Gross Capital Expenditure (Including IFRS) (Excluding Asset Transfers) (TRU55 sc290)</t>
  </si>
  <si>
    <t>Non central</t>
  </si>
  <si>
    <t>Capital Receipts - Disposals/Asset Transfers Out</t>
  </si>
  <si>
    <t>Total Capital Receipts - Disposals/Asset Transfers Out</t>
  </si>
  <si>
    <t>Other Adjustments: Grants/Donations</t>
  </si>
  <si>
    <t>Total Other Adjustments: Grants/Donations</t>
  </si>
  <si>
    <t>Charge against CRL including IFRS impact (TRU 55 sc 350)</t>
  </si>
  <si>
    <t>Key to Capital Expenditure Analysis</t>
  </si>
  <si>
    <t>Capital Project per TRU 55 (Plan)  Summary Analysis</t>
  </si>
  <si>
    <t>IFRS Expenditure</t>
  </si>
  <si>
    <t>Y (plus type)/N</t>
  </si>
  <si>
    <t>Y: IFRIC 12</t>
  </si>
  <si>
    <t>Y: IFRIC 4</t>
  </si>
  <si>
    <t>Total Impact of IFRS</t>
  </si>
  <si>
    <t>Non IFRS Capital Expenditure</t>
  </si>
  <si>
    <t>Gross Capital Expenditure including Asset Transfers</t>
  </si>
  <si>
    <t>New Build</t>
  </si>
  <si>
    <t>Maintenance routine non backlog - locally funded</t>
  </si>
  <si>
    <t>Maint - routine LF</t>
  </si>
  <si>
    <t>Backlog Maintenance</t>
  </si>
  <si>
    <t>IT</t>
  </si>
  <si>
    <t>Disposals and Transfers</t>
  </si>
  <si>
    <t>Grants and Donations</t>
  </si>
  <si>
    <t>Total Charge against CRL including IFRS impact</t>
  </si>
  <si>
    <t>Maintenance - backlog - locally funded</t>
  </si>
  <si>
    <t>Maint - backlog LF</t>
  </si>
  <si>
    <t>Maintenance - backlog - DH funded</t>
  </si>
  <si>
    <t>Maint - backlog DH</t>
  </si>
  <si>
    <t>Technology Fund for Nursing</t>
  </si>
  <si>
    <t>Techno</t>
  </si>
  <si>
    <t>Energy Efficiency</t>
  </si>
  <si>
    <t>Hazardous Accident Response Team (HART)</t>
  </si>
  <si>
    <t>HART</t>
  </si>
  <si>
    <t>Safer Hospitals / Safer Wards Technology Fund</t>
  </si>
  <si>
    <t>Safer Hosp</t>
  </si>
  <si>
    <t>Improving Maternity Care</t>
  </si>
  <si>
    <t>Improving Mat</t>
  </si>
  <si>
    <t>£337m Winter</t>
  </si>
  <si>
    <t>Other Central Programme</t>
  </si>
  <si>
    <t>Other: central</t>
  </si>
  <si>
    <t>Planned Non-Programme Capital scheme funded from PDC</t>
  </si>
  <si>
    <t>Non-prog PDC</t>
  </si>
  <si>
    <t>Non Central Programme funded from exceptional PDC</t>
  </si>
  <si>
    <t>Non Central Programme</t>
  </si>
  <si>
    <t>Total CRL including IFRS impact</t>
  </si>
  <si>
    <t>TRU 57_MI</t>
  </si>
  <si>
    <t>Anlysis of Capital Resource Limits and External Financing Limits and Capital Cash Management Plan</t>
  </si>
  <si>
    <t>TRU04 Vs</t>
  </si>
  <si>
    <t>Capital Resource Limits (CRL) and External Financing Limits (EFL)</t>
  </si>
  <si>
    <t>Initial Lmits</t>
  </si>
  <si>
    <t>Narrative</t>
  </si>
  <si>
    <t>FOT +ve</t>
  </si>
  <si>
    <t>TRU57</t>
  </si>
  <si>
    <t>NBR</t>
  </si>
  <si>
    <t>EFL</t>
  </si>
  <si>
    <t>Initial Capital Allocations</t>
  </si>
  <si>
    <t>Adjustments actioned in year - prepopulated from LIMITS</t>
  </si>
  <si>
    <t>Limits Analysed by Component Part</t>
  </si>
  <si>
    <t>Planned Non-Programme Scheme funded from PDC</t>
  </si>
  <si>
    <t>TRU04 validation</t>
  </si>
  <si>
    <t>Programme Capital Budgets (DH schemes funded from PDC excl £337m fund)</t>
  </si>
  <si>
    <t>Programme Capital Budgets (Capital PDC from £337m fund)</t>
  </si>
  <si>
    <t>Public Dividend Capital - Exceptions to the new Capital Regime</t>
  </si>
  <si>
    <t>Non TCS Asset received from other NHS Trusts, CCGs and FTs</t>
  </si>
  <si>
    <t>Non TCS Asset disposed of to other NHS Trusts, CCGs and FTs</t>
  </si>
  <si>
    <t>Disposing of assets to Retained Estate</t>
  </si>
  <si>
    <t>Receiving assets from Retained Estate</t>
  </si>
  <si>
    <t>New Capital Investment Loans</t>
  </si>
  <si>
    <t>Capital investment Loans Repayment of Principal</t>
  </si>
  <si>
    <t>CRL &amp; EFL required to cover Salix Funding</t>
  </si>
  <si>
    <t>CRL &amp; EFL required to cover London RE:FIT Funding</t>
  </si>
  <si>
    <t>New Revenue Support Loans</t>
  </si>
  <si>
    <t>Revenue Support Loan Repayment of Principal</t>
  </si>
  <si>
    <t>New FT Liquidity Loans</t>
  </si>
  <si>
    <t>FT Liquidity Loans Repayment of Principal</t>
  </si>
  <si>
    <t>Public Dividend Capital - Revenue</t>
  </si>
  <si>
    <t>CRL required for IFRIC12 - PFI</t>
  </si>
  <si>
    <t>CRL required for IFRIC12 - LIFT</t>
  </si>
  <si>
    <t>CRL required for IFRS - non- IFRIC12 i.e. IFRIC4</t>
  </si>
  <si>
    <t>Part-year NHS Trust Break-Even Variance</t>
  </si>
  <si>
    <t>Other loans repaid (TRU04 sc500)</t>
  </si>
  <si>
    <t>Other agreed by NHS TDA/DH</t>
  </si>
  <si>
    <t>Total Actioned Adjustments</t>
  </si>
  <si>
    <t>Current Quarter Position</t>
  </si>
  <si>
    <t>Adjustments Anticipated to Year End</t>
  </si>
  <si>
    <t>TRU04 sc480</t>
  </si>
  <si>
    <t>TRU04 sc470</t>
  </si>
  <si>
    <t>TRU04 sc468</t>
  </si>
  <si>
    <t>TRU04 sc492</t>
  </si>
  <si>
    <t>TRU04 sc490</t>
  </si>
  <si>
    <t>TRU56 sc500</t>
  </si>
  <si>
    <t>CRL required for IFRS - Non- IFRIC12 i.e. IFRIC4</t>
  </si>
  <si>
    <t>TRU56 sc510</t>
  </si>
  <si>
    <t>TRU04 sc500</t>
  </si>
  <si>
    <t>Other - agreed by NHS TDA/DH</t>
  </si>
  <si>
    <t>Total Other - agreed by NHS TDA/DH</t>
  </si>
  <si>
    <t>Forecast Year End Resource and Cash Limits</t>
  </si>
  <si>
    <t>Capital Cash Management Plan</t>
  </si>
  <si>
    <t>SUMMARY - CAPITAL SOURCES</t>
  </si>
  <si>
    <t>Depreciation - non IFRIC 12</t>
  </si>
  <si>
    <t>Depreciation IFRIC 12</t>
  </si>
  <si>
    <t>Depreciation IFRIC 12 reversed out</t>
  </si>
  <si>
    <t>I &amp; E Surplus - current year surplus attributed to financing of capital expenditure</t>
  </si>
  <si>
    <t>Net NBV of asset disposals and receipts to both non-NHS/NHS orgs</t>
  </si>
  <si>
    <t>Asset Transfers in from NHS Orgs - Non TCS</t>
  </si>
  <si>
    <t>Asset Disposals/Transfers out to NHS Orgs - Non TCS</t>
  </si>
  <si>
    <t>Movement in payables/receivables including Unspent Capital/Revenue Cash from previous year(s)</t>
  </si>
  <si>
    <t>Grants &amp; Donations</t>
  </si>
  <si>
    <t>PDC - Capital Planned Non-Programme</t>
  </si>
  <si>
    <t>PDC - Central Programme</t>
  </si>
  <si>
    <t>PDC - Central £337m fund</t>
  </si>
  <si>
    <t>PDC - Capital Exceptional</t>
  </si>
  <si>
    <t>Capital Investment Loan funding - new DH Capital Investment Loans</t>
  </si>
  <si>
    <t>Capital Investment Loan Repayments - principal repayments on new and existing loans</t>
  </si>
  <si>
    <t>Other Capital Loan funding e.g. London RE:FIT/Salix</t>
  </si>
  <si>
    <t>Other Capital Loan repayments e.g. London RE:FIT/Salix</t>
  </si>
  <si>
    <t>TOTAL CAPITAL SOURCES</t>
  </si>
  <si>
    <t>Gross Capex Actuals less IFRS</t>
  </si>
  <si>
    <t>TRU 64_MI</t>
  </si>
  <si>
    <t>Val</t>
  </si>
  <si>
    <t>Val Zero (Underlying NR)</t>
  </si>
  <si>
    <t>Total Inc/exp movements</t>
  </si>
  <si>
    <t>Other Income/Exp</t>
  </si>
  <si>
    <t>Percentage Other</t>
  </si>
  <si>
    <t>2014/15 Source &amp; Application of Funds</t>
  </si>
  <si>
    <t>Non Pay</t>
  </si>
  <si>
    <t>R</t>
  </si>
  <si>
    <t>NR</t>
  </si>
  <si>
    <t>Cross Reference</t>
  </si>
  <si>
    <t>2013/14 prior year total income</t>
  </si>
  <si>
    <t>TRU01 sc 120, 130 and 465 mc 01</t>
  </si>
  <si>
    <t>Full year effect of income changes from 2013/14</t>
  </si>
  <si>
    <t>Commissioner headroom / non recurrent income - including redundancy and other restructuring costs</t>
  </si>
  <si>
    <t>sc 420</t>
  </si>
  <si>
    <t>Non-recurrent transitional income/support in excess of headroom</t>
  </si>
  <si>
    <t>Contractual income deductions in 2013/14 according to contract terms, including contract penalties</t>
  </si>
  <si>
    <t>Transactions -acquisitions or divestments - Full year effects for transactions completing up to 31/03/14</t>
  </si>
  <si>
    <t>sc 440</t>
  </si>
  <si>
    <t>Service changes - transfers or developments - Full year effect for changes up to 31/03/14</t>
  </si>
  <si>
    <t>sc 450</t>
  </si>
  <si>
    <t>Prior year income generation - full year effect for income generated up to 31/03/14</t>
  </si>
  <si>
    <t>sc 470</t>
  </si>
  <si>
    <t>Adjusted underlying income as at 31/03/2014</t>
  </si>
  <si>
    <t>Income Changes from 01/04/2014:</t>
  </si>
  <si>
    <t>Gross inflationary uplift (2.2-2.8%)</t>
  </si>
  <si>
    <t>sc 490, 500, 510</t>
  </si>
  <si>
    <t>Efficiency in tariff ( 4%)</t>
  </si>
  <si>
    <t>Gross Commissioner efficiency (QIPP reductions in excess of tariff deflator)</t>
  </si>
  <si>
    <t>sc 210, 590</t>
  </si>
  <si>
    <t>TRU 67 feeds</t>
  </si>
  <si>
    <t>Commissioner efficiency investments (QIPP investments by commissioners)</t>
  </si>
  <si>
    <t>sc 200, 590</t>
  </si>
  <si>
    <t>infl cost in excess of tariff funding</t>
  </si>
  <si>
    <t>Efficiency - income generation</t>
  </si>
  <si>
    <t>sc 610, 620</t>
  </si>
  <si>
    <t>changes in non pat care inc &amp; ass exp</t>
  </si>
  <si>
    <t>Service changes -transfers or developments with effect from 01/04/2014</t>
  </si>
  <si>
    <t>sc 530</t>
  </si>
  <si>
    <t>Volume changes  (relating to continuing services)</t>
  </si>
  <si>
    <t>sc 540</t>
  </si>
  <si>
    <t>Marginal Rate emergency tariff</t>
  </si>
  <si>
    <t>Emergency Re-Admissions</t>
  </si>
  <si>
    <t>Market Forces Factor</t>
  </si>
  <si>
    <t>Tariff Price changes not included elsewhere</t>
  </si>
  <si>
    <t>Pass throughs - income for drugs and devices excluded from the tariff</t>
  </si>
  <si>
    <t>sc 520</t>
  </si>
  <si>
    <t>CQUIN income</t>
  </si>
  <si>
    <t>sc 580</t>
  </si>
  <si>
    <t>Multi-Professional Education &amp; Training tariff changes</t>
  </si>
  <si>
    <t>sc 550</t>
  </si>
  <si>
    <t>Education and training (not including MPET tariff changes)</t>
  </si>
  <si>
    <t>sc 560</t>
  </si>
  <si>
    <t>Research</t>
  </si>
  <si>
    <t>sc 570</t>
  </si>
  <si>
    <t>Commissioner headroom income for pump priming QIPP / contribution to fixed / semi fixed costs</t>
  </si>
  <si>
    <t>Commissioner headroom / 2.5% non recurrent income - including redundancy and other restructuring costs</t>
  </si>
  <si>
    <t>sc 640</t>
  </si>
  <si>
    <t>Non Recurrent Provider Deficit Support Funding</t>
  </si>
  <si>
    <t>Expected Transactions - for transactions completing from 01/04/14 to 31/03/15 (SEE guidance before populating this sub code)</t>
  </si>
  <si>
    <t>sc 650</t>
  </si>
  <si>
    <t>sc 660</t>
  </si>
  <si>
    <t>Total change in income for 2014/15</t>
  </si>
  <si>
    <t>Total income 2014/15</t>
  </si>
  <si>
    <t>TRU01 sc 120, 130 and 465 mc 02</t>
  </si>
  <si>
    <t>Pay R</t>
  </si>
  <si>
    <t>Pay NR</t>
  </si>
  <si>
    <t>Pay Total</t>
  </si>
  <si>
    <t>Non Pay R</t>
  </si>
  <si>
    <t>Non Pay NR</t>
  </si>
  <si>
    <t>Non Pay Total</t>
  </si>
  <si>
    <t>Total R</t>
  </si>
  <si>
    <t>Total NR</t>
  </si>
  <si>
    <t>2013/14 Prior year total expenditure consistent with retained surplus / (deficit) in TRU01 sc 390 mc 01</t>
  </si>
  <si>
    <t>TRU01 sc100,110,150,160,170,190,195,210,360,370,380,385 less sc 465 mc 01</t>
  </si>
  <si>
    <t>Full year effect of expenditure changes from 2013/14</t>
  </si>
  <si>
    <t>Redundancy and Restructuring Costs</t>
  </si>
  <si>
    <t>sc 110</t>
  </si>
  <si>
    <t>Brought Forward impact of non delivery of recurring prior year savings</t>
  </si>
  <si>
    <t>sc 460</t>
  </si>
  <si>
    <t>sc 140</t>
  </si>
  <si>
    <t>sc 150</t>
  </si>
  <si>
    <t>Full year effect of prior year savings</t>
  </si>
  <si>
    <t>sc 430</t>
  </si>
  <si>
    <t>sc 160</t>
  </si>
  <si>
    <t>Adjusted underlying expenditure as at 31/03/04</t>
  </si>
  <si>
    <t>Expenditure changes from 01/04/2014:</t>
  </si>
  <si>
    <t>Pay inflation / incremental drift</t>
  </si>
  <si>
    <t>sc 180, 500, 510</t>
  </si>
  <si>
    <t>Service Development Uplift Factor</t>
  </si>
  <si>
    <t>sc 180, 490, 510</t>
  </si>
  <si>
    <t>Prices inflation</t>
  </si>
  <si>
    <t>sc 180, 500, 490</t>
  </si>
  <si>
    <t>Pass throughs - expenditure for drugs and devices excluded from the tariff</t>
  </si>
  <si>
    <t>sc 290</t>
  </si>
  <si>
    <t>sc 230</t>
  </si>
  <si>
    <t>sc 240</t>
  </si>
  <si>
    <t>sc 310</t>
  </si>
  <si>
    <t>sc 320</t>
  </si>
  <si>
    <t>sc 330</t>
  </si>
  <si>
    <t>Investment to deliver CQUIN</t>
  </si>
  <si>
    <t>sc 300</t>
  </si>
  <si>
    <t>Investments to deliver commissioner QIPP</t>
  </si>
  <si>
    <t>sc 200, 210</t>
  </si>
  <si>
    <t>Investments to deliver other efficiencies</t>
  </si>
  <si>
    <t>Efficiency - Pay</t>
  </si>
  <si>
    <t>sc 220, 620</t>
  </si>
  <si>
    <t>Efficiency  - Non Pay</t>
  </si>
  <si>
    <t>sc 220, 610</t>
  </si>
  <si>
    <t>Seven Day Services</t>
  </si>
  <si>
    <t>sc 350</t>
  </si>
  <si>
    <t>sc 370</t>
  </si>
  <si>
    <t>sc 380</t>
  </si>
  <si>
    <t>Total change in expenditure for 2014/15</t>
  </si>
  <si>
    <t>Total spend in 2014/15 consistent with retained surplus / (deficit) in TRU01 sc390 mc02</t>
  </si>
  <si>
    <t>TRU01 sc100,110,150,160,170,190,195,210,360,370,380,385 less sc 465, mc 02</t>
  </si>
  <si>
    <t>Surplus position and underlying position</t>
  </si>
  <si>
    <t>% of turnover</t>
  </si>
  <si>
    <t>Total Revenue (13/14)</t>
  </si>
  <si>
    <t>Adjusted surplus / (deficit) for the year consistent with TRU01 sc390 mc01, mc06</t>
  </si>
  <si>
    <t>Surplus / (deficit) underlying position</t>
  </si>
  <si>
    <t>Total Revenue (14/15)</t>
  </si>
  <si>
    <t>Contingency value (minimum 0.5% of turnover)</t>
  </si>
  <si>
    <t>Total Revenue (15/16)</t>
  </si>
  <si>
    <t>2013/14 actual (value incl. sc 170)</t>
  </si>
  <si>
    <t>2014/15 FOT</t>
  </si>
  <si>
    <t>Memorandum - actual values included in sc170</t>
  </si>
  <si>
    <t>Value of income deductions for marginal rate emergency tariff</t>
  </si>
  <si>
    <t>sc 250, 860</t>
  </si>
  <si>
    <t>Value of income deductions for emergency readmissions</t>
  </si>
  <si>
    <t>sc 260, 870</t>
  </si>
  <si>
    <t>Value of income from Market Forces Factor</t>
  </si>
  <si>
    <t>sc 270, 880</t>
  </si>
  <si>
    <t>Value of drugs and devices excluded from the tariff</t>
  </si>
  <si>
    <t>sc 290, 900</t>
  </si>
  <si>
    <t>Value of Total Commissioner headroom income</t>
  </si>
  <si>
    <t>sc 340, 350, 950, 960</t>
  </si>
  <si>
    <t>Value of CQUIN income</t>
  </si>
  <si>
    <t>sc 300, 910</t>
  </si>
  <si>
    <t>Value of income deductions for mandatory fines</t>
  </si>
  <si>
    <t>Winter/RTT Impact included in "Other" sc380 &amp;</t>
  </si>
  <si>
    <t>Pay - R</t>
  </si>
  <si>
    <t>Pay - NR</t>
  </si>
  <si>
    <t>Pay - Total</t>
  </si>
  <si>
    <t>NP - R</t>
  </si>
  <si>
    <t>NP - NR</t>
  </si>
  <si>
    <t>NP - Total</t>
  </si>
  <si>
    <t>1415 - R</t>
  </si>
  <si>
    <t>1415 - NR</t>
  </si>
  <si>
    <t>1415 - Total</t>
  </si>
  <si>
    <t>660 (record 14/15 values in this section)</t>
  </si>
  <si>
    <t>(mc01)</t>
  </si>
  <si>
    <t>(mc02)</t>
  </si>
  <si>
    <t>(mc03)</t>
  </si>
  <si>
    <t>(mc04)</t>
  </si>
  <si>
    <t>(mc05)</t>
  </si>
  <si>
    <t>(mc06)</t>
  </si>
  <si>
    <t>(mc07)</t>
  </si>
  <si>
    <t>(mc08)</t>
  </si>
  <si>
    <t>(mc09)</t>
  </si>
  <si>
    <t>Value of Winter/RTT Income received</t>
  </si>
  <si>
    <t>Value of Winter/RTT Expenditure</t>
  </si>
  <si>
    <t>2014/15 Source and Application of Funds</t>
  </si>
  <si>
    <t>Category</t>
  </si>
  <si>
    <t>Review Summary</t>
  </si>
  <si>
    <t>Recurrent</t>
  </si>
  <si>
    <t>Non Recurrent</t>
  </si>
  <si>
    <t>Recurring</t>
  </si>
  <si>
    <t>Non Recurring</t>
  </si>
  <si>
    <t>Exp - Pay</t>
  </si>
  <si>
    <t>Exp - Non Pay</t>
  </si>
  <si>
    <t>Adjusted Surplus/(Deficit) 13/14</t>
  </si>
  <si>
    <t>sc 100, 410</t>
  </si>
  <si>
    <t>Add back non recurring or show full year effect:</t>
  </si>
  <si>
    <t>Commissioner headroom income - redundancy/other restructuring</t>
  </si>
  <si>
    <t>Prior Year N/R / FYE</t>
  </si>
  <si>
    <t>sc 110, 420</t>
  </si>
  <si>
    <t>Transitional income/support</t>
  </si>
  <si>
    <t>sc 120</t>
  </si>
  <si>
    <t>Non recurring income deductions</t>
  </si>
  <si>
    <t>sc 130</t>
  </si>
  <si>
    <t>Full year effect of prior year transactions</t>
  </si>
  <si>
    <t>sc 140, 440</t>
  </si>
  <si>
    <t>Full year effect of prior year service developments</t>
  </si>
  <si>
    <t>sc 150, 450</t>
  </si>
  <si>
    <t>Other full effects  / Non recurrent expenditure effects</t>
  </si>
  <si>
    <t>sc 160, 470</t>
  </si>
  <si>
    <t>Add back non-recurring 13/14 or FYE 14/15</t>
  </si>
  <si>
    <t>Efficiency movements 14/15:</t>
  </si>
  <si>
    <t>FYE of prior year income efficiency savings</t>
  </si>
  <si>
    <t>Efficiency</t>
  </si>
  <si>
    <t>sc 155</t>
  </si>
  <si>
    <t>B/fwd impact of non delivery of recurring prior year savings / FYE of prior year expenditue efficiency savings</t>
  </si>
  <si>
    <t>sc 430, 460</t>
  </si>
  <si>
    <t>Efficiency programme</t>
  </si>
  <si>
    <t>sc 220, 610, 620</t>
  </si>
  <si>
    <t>sc 600</t>
  </si>
  <si>
    <t>Efficiency in tariff (4%)</t>
  </si>
  <si>
    <t>sc 190</t>
  </si>
  <si>
    <t>QIPP programme</t>
  </si>
  <si>
    <t>sc 200, 210, 590</t>
  </si>
  <si>
    <t>Headroom efficiency</t>
  </si>
  <si>
    <t>sc 340</t>
  </si>
  <si>
    <t>Other Changes for 2014/15:</t>
  </si>
  <si>
    <t>Inflationary Uplift (2.2-2.8%) less pay &amp; prices inflation costs</t>
  </si>
  <si>
    <t>Inflation</t>
  </si>
  <si>
    <t>sc 180, 490, 500, 510</t>
  </si>
  <si>
    <t>Volume changes</t>
  </si>
  <si>
    <t>Volume</t>
  </si>
  <si>
    <t>sc 240, 540</t>
  </si>
  <si>
    <t>Tariff changes</t>
  </si>
  <si>
    <t>Tariff</t>
  </si>
  <si>
    <t>sc 250, 260, 270, 280</t>
  </si>
  <si>
    <t>Change in exp CQUIN income / investment to deliver CQUIN</t>
  </si>
  <si>
    <t>CQUIN</t>
  </si>
  <si>
    <t>sc 300, 580</t>
  </si>
  <si>
    <t>Redundancy/other restructuring</t>
  </si>
  <si>
    <t>Redundancy/Restructuring</t>
  </si>
  <si>
    <t>sc 350, 640</t>
  </si>
  <si>
    <t>Service Changes</t>
  </si>
  <si>
    <t>Service</t>
  </si>
  <si>
    <t>sc 230, 530</t>
  </si>
  <si>
    <t>Transactions</t>
  </si>
  <si>
    <t>Transaction</t>
  </si>
  <si>
    <t>sc 370, 650</t>
  </si>
  <si>
    <t>sc 360</t>
  </si>
  <si>
    <t>Pass throughs - drugs and devices excluded from the tariff</t>
  </si>
  <si>
    <t>sc 290, 520</t>
  </si>
  <si>
    <t>Education &amp; Training (incl. impact of MPET tariff changes)</t>
  </si>
  <si>
    <t>sc 310, 320, 550, 560</t>
  </si>
  <si>
    <t>sc 330, 570</t>
  </si>
  <si>
    <t>sc 380, 630, 660</t>
  </si>
  <si>
    <t>Other Changes for 14/15:</t>
  </si>
  <si>
    <t>Closing Adjusted Surplus/(Deficit) 14/15</t>
  </si>
  <si>
    <t>sc 400, 680</t>
  </si>
  <si>
    <t>Remove non recurring income/expenditure</t>
  </si>
  <si>
    <t>Closing Underlying Surplus/(Deficit) 14/15</t>
  </si>
  <si>
    <t>Year to Date</t>
  </si>
  <si>
    <t>Status:  Fully Developed, Plans in Progress, Opportunity or Unidentified</t>
  </si>
  <si>
    <t>Recurring (R) or Non Recurring (NR)</t>
  </si>
  <si>
    <t>Category:  Pay (Skill Mix), Pay (WTE reduction) , Non Pay and Income</t>
  </si>
  <si>
    <t>Risk Rating High (H), Medium (M), or Low (L)  (If Unidentified must be high risk)</t>
  </si>
  <si>
    <t>text/no data</t>
  </si>
  <si>
    <t>Programmes listed at Plan:</t>
  </si>
  <si>
    <t>Fully Developed</t>
  </si>
  <si>
    <t>Plans in Progress</t>
  </si>
  <si>
    <t>Opportunity</t>
  </si>
  <si>
    <t>Unidentified</t>
  </si>
  <si>
    <t>High Risk</t>
  </si>
  <si>
    <t>Medium Risk</t>
  </si>
  <si>
    <t>Low Risk</t>
  </si>
  <si>
    <t>Savings - Pay (Skill Mix)</t>
  </si>
  <si>
    <t>Savings - Pay (WTE reductions)</t>
  </si>
  <si>
    <t>Savings - Non Pay</t>
  </si>
  <si>
    <t>Total Efficiency</t>
  </si>
  <si>
    <t>sc620 mc09</t>
  </si>
  <si>
    <t>2014/15 Efficiencies Summary Information</t>
  </si>
  <si>
    <t>Total 2014/15 Efficiency</t>
  </si>
  <si>
    <t>Total Efficiencies by Category</t>
  </si>
  <si>
    <t>Non Cashable - Pay</t>
  </si>
  <si>
    <t>Non Cashable - WTE</t>
  </si>
  <si>
    <t>Non Cashable - Non Pay</t>
  </si>
  <si>
    <t>Proportion of total %</t>
  </si>
  <si>
    <t>Efficiency as a percentage of planned expenditure</t>
  </si>
  <si>
    <t>Efficiency driven by price effects</t>
  </si>
  <si>
    <t>Tariff deflation</t>
  </si>
  <si>
    <t>Inflation costs in excess of tariff funding</t>
  </si>
  <si>
    <t>Total efficiency driven by price effects</t>
  </si>
  <si>
    <t>Surplus movement</t>
  </si>
  <si>
    <t>Changes in non patient care income and associated expenditure</t>
  </si>
  <si>
    <t>Other drivers of efficiency</t>
  </si>
  <si>
    <t>Adjusted for:</t>
  </si>
  <si>
    <t>Specific non recurring adjustments to income</t>
  </si>
  <si>
    <t>TRU 01_MI</t>
  </si>
  <si>
    <t>2012/13 Full Year</t>
  </si>
  <si>
    <t>Feed to TRU 54 sc 310</t>
  </si>
  <si>
    <t>Feed to TRU 54 sc 375 (hidden)</t>
  </si>
  <si>
    <t>RETAINED SURPLUS/(DEFICIT) FOR THE YEAR PER ACCOUNTS</t>
  </si>
  <si>
    <t>Impairments and reversals put to the Revaluation Reserve</t>
  </si>
  <si>
    <t>Movements in Other Reserves eg. Non NHS Pensions Scheme</t>
  </si>
  <si>
    <t>Net gain/(loss) on available for sale financial assets</t>
  </si>
  <si>
    <t>IFRIC 12 adjustment including impairments</t>
  </si>
  <si>
    <t>Impairments excluding IFRIC12 impairments</t>
  </si>
  <si>
    <t>Feed to TRU_Key data &amp; TRU 54 100</t>
  </si>
  <si>
    <t>Feed to TRU_Key data &amp; TRU 54 180</t>
  </si>
  <si>
    <t>Feed to TRU_Key data &amp; TRU 54 230</t>
  </si>
  <si>
    <t>Feed to TRU 54 sc 250</t>
  </si>
  <si>
    <t>Validations to TRU64</t>
  </si>
  <si>
    <t>"12/13"</t>
  </si>
  <si>
    <t>"13/14"</t>
  </si>
  <si>
    <t>Feed from TRU55</t>
  </si>
  <si>
    <t>Note 2: Stock Write down included in Operating Surplus / (Deficit)  (used in FRR calculation)</t>
  </si>
  <si>
    <t>Note 3: Impairment of Receivables included in Operating Surplus / (Deficit)  (used in FRR calculation)</t>
  </si>
  <si>
    <t>Note 4: Analysis of "Other" Staff Costs Net expenditure</t>
  </si>
  <si>
    <t>Analysis ot Transfers by absorption</t>
  </si>
  <si>
    <t>Net gain/(loss) on revaluation ofavailable for sale financial assets</t>
  </si>
  <si>
    <t>At 01 April 2013</t>
  </si>
  <si>
    <t>At 31 March 2014</t>
  </si>
  <si>
    <t>Re-analysis</t>
  </si>
  <si>
    <t>Feed to TRU 54 sc200</t>
  </si>
  <si>
    <t>Feed to TRU 54 sc300</t>
  </si>
  <si>
    <t>Feed to TRU 54 RAF</t>
  </si>
  <si>
    <t>correction to Q3</t>
  </si>
  <si>
    <t>as previously stated</t>
  </si>
  <si>
    <t>corrected items</t>
  </si>
  <si>
    <t>corrected feed</t>
  </si>
  <si>
    <t>corrected items calcs:</t>
  </si>
  <si>
    <t>Re-Analysis of PFI / Finance Lease liabilities at plan</t>
  </si>
  <si>
    <t>Enter sub</t>
  </si>
  <si>
    <t>(please enter figure for PFIs/Finance Leases and the sub code to which these were posted at plan)</t>
  </si>
  <si>
    <t>code used at plan (+ve)</t>
  </si>
  <si>
    <t>Current Liabilities arising from PFIs/Finance leases (sub code 295)</t>
  </si>
  <si>
    <t>Liabilities over one year arising from PFIs/Finance leases (sub code 395)</t>
  </si>
  <si>
    <t>CHANGES IN TAXPAYERS EQUITY FOR 2012-13</t>
  </si>
  <si>
    <t>Net Gain / (loss) on Assets Held for Sale</t>
  </si>
  <si>
    <t>Release of Reserves to Statement of Comprehensive Net Expenditure</t>
  </si>
  <si>
    <t>Net Gain/(loss) on transfers by absorption</t>
  </si>
  <si>
    <t>Transfers between Revaluation Reserve &amp; General Fund in respectof assets transferred under absorption</t>
  </si>
  <si>
    <t>New PDC Received</t>
  </si>
  <si>
    <t>Other Movements in PDC In Year (provide details on Freetext)</t>
  </si>
  <si>
    <t>Total Recognised Revenue and Expense for 2012-13</t>
  </si>
  <si>
    <t>Public Dividend Capital Received</t>
  </si>
  <si>
    <t>Public Dividend Capital Repaid</t>
  </si>
  <si>
    <t>Cash transferred to NHS Foundation Trusts</t>
  </si>
  <si>
    <t>Restated Cash and Cash Equivalents ( and Bank Overdraft) at Beginning of the Period</t>
  </si>
  <si>
    <t>TCS capital receivables transferred from PCTs at 1 April 2013</t>
  </si>
  <si>
    <t>TCS capital payables transferred from PCTs at 1 April 2013</t>
  </si>
  <si>
    <t>PDC Received / Repaid in Year</t>
  </si>
  <si>
    <t>Public Dividend Capital Received in year: PDC Capital</t>
  </si>
  <si>
    <t>Public Dividend Capital Received in year: PDC Other</t>
  </si>
  <si>
    <t>Temporary PDC Received in year (sc800)</t>
  </si>
  <si>
    <t>Total Public Dividend Capital Received (sc430)</t>
  </si>
  <si>
    <t>Public Dividend Capital Repaid in year: PDC Capital</t>
  </si>
  <si>
    <t>New Public Dividend Capital received in year: PDC Other</t>
  </si>
  <si>
    <t>Temporary PDC repaid as above (sc810)</t>
  </si>
  <si>
    <t>Total Public Dividend Capital Repaid (sc440)</t>
  </si>
  <si>
    <t>NHS Other (including Publilc Health England and Prop Co)</t>
  </si>
  <si>
    <t>Total Revenue from Department of Health &amp; NHS Bodies</t>
  </si>
  <si>
    <t>Total Receipts of Charity donations for capital aquisitions</t>
  </si>
  <si>
    <t>Receipt of grants/donations for capital acquisitions - Donation Non NHS Charity</t>
  </si>
  <si>
    <t>Total Other Revenue (free text note required)</t>
  </si>
  <si>
    <t>Supplies and Services - Clinical</t>
  </si>
  <si>
    <t>Supplies and Services - General</t>
  </si>
  <si>
    <t>Transport</t>
  </si>
  <si>
    <t>Amortisiation on Government Granted Assets and Donated Assets</t>
  </si>
  <si>
    <t>Other Cash Expenditure (free text note required)</t>
  </si>
  <si>
    <t>Total Other (free text note required)</t>
  </si>
  <si>
    <t>Employee Benefits:</t>
  </si>
  <si>
    <t>Analysis/Additional Expenditure Items</t>
  </si>
  <si>
    <t>Total - Feeds to sc240 above</t>
  </si>
  <si>
    <t>Totqal - Feeds to sc250 above</t>
  </si>
  <si>
    <t>Expenditure on Operating Leases</t>
  </si>
  <si>
    <t>Sub-Lease Payments</t>
  </si>
  <si>
    <t>Amounts Provided</t>
  </si>
  <si>
    <t>Total - Other Expenditure - Feeds to sc360 above</t>
  </si>
  <si>
    <t>Analysis of Operating Lease Expenditure, Inventories Consumed, and Amounts Provided</t>
  </si>
  <si>
    <t>Current YTD Total</t>
  </si>
  <si>
    <t>YTD Operating lease expenditure</t>
  </si>
  <si>
    <t>YTD Inventories consumed</t>
  </si>
  <si>
    <t>YTD Amounts provided</t>
  </si>
  <si>
    <t>YTD All other expenditure</t>
  </si>
  <si>
    <t>Operating lease expenditure</t>
  </si>
  <si>
    <t>Inventories consumed</t>
  </si>
  <si>
    <t>Amounts provided</t>
  </si>
  <si>
    <t>All other expenditure</t>
  </si>
  <si>
    <t>Intercompany analysis of Operating Lease expenditure:</t>
  </si>
  <si>
    <t>Contract/Agency</t>
  </si>
  <si>
    <t>Salaries and wages including Other Employee benefits and Other Post Employee Benefits</t>
  </si>
  <si>
    <t>Less recoveries in respect of employee bebefits (table below)</t>
  </si>
  <si>
    <t>Total Days Lost</t>
  </si>
  <si>
    <t>Total Staff Years</t>
  </si>
  <si>
    <t>Average working Days Lost</t>
  </si>
  <si>
    <t>Number of persons retired early on ill health grounds</t>
  </si>
  <si>
    <t>Total additional pensions liabilities accrued in the year (£000s)</t>
  </si>
  <si>
    <t>from claims made by businesses under this legislation</t>
  </si>
  <si>
    <t>this legislation</t>
  </si>
  <si>
    <t>maincode 01</t>
  </si>
  <si>
    <t>maincode 02</t>
  </si>
  <si>
    <t>maincode 03</t>
  </si>
  <si>
    <t>maincode 04</t>
  </si>
  <si>
    <t>maincode 05</t>
  </si>
  <si>
    <t>maincode 06</t>
  </si>
  <si>
    <t>maincode 07</t>
  </si>
  <si>
    <t>maincode 08</t>
  </si>
  <si>
    <t>Reporting of other compensation schemes - exit packages 2012-13</t>
  </si>
  <si>
    <t>Exit packages - disclosures</t>
  </si>
  <si>
    <t>Change in Fair Value of Financial Assets Through the Operating Cost Statement</t>
  </si>
  <si>
    <t>Opening Depreciation</t>
  </si>
  <si>
    <t>Total Owned - Donated/Govenrment Granted</t>
  </si>
  <si>
    <t>IT -in house &amp; 3rd Party Software</t>
  </si>
  <si>
    <t>Restated Opening Cost or Valuation (Adjusted for TCS)</t>
  </si>
  <si>
    <t>Transfers (to)/from Other Public Sector Bodies</t>
  </si>
  <si>
    <t>Reclassifications as Held for Sale</t>
  </si>
  <si>
    <t>Owned</t>
  </si>
  <si>
    <t>Opening Amortisation</t>
  </si>
  <si>
    <t>Restated Opening Cost or Valuation ( Adjusted for TCS)</t>
  </si>
  <si>
    <t>Balances with bodies outside the Departmental Group</t>
  </si>
  <si>
    <t>Liabilities Associated with Asstes Held for Sale (prior year)</t>
  </si>
  <si>
    <t>Modified Absorption Accounting - PCTs and SHAs</t>
  </si>
  <si>
    <t>Modified Absorption Accounting - Other Bodies</t>
  </si>
  <si>
    <t>Total Transfers under MAA</t>
  </si>
  <si>
    <t>Income regognised THIS YEAR (invoiced amounts and accruals)</t>
  </si>
  <si>
    <t>Third Party Assets - Bank balance (not included above)</t>
  </si>
  <si>
    <t>Third Party Assets - Monies on deposit</t>
  </si>
  <si>
    <t>Transfers under Modified Absorption Accounting - PCTs and SHAs</t>
  </si>
  <si>
    <t>Current financial assets</t>
  </si>
  <si>
    <t>Non NHS Receivables - Revenue</t>
  </si>
  <si>
    <t>- to Buy Out the Liability for Early Retirements Over 5 Years</t>
  </si>
  <si>
    <t>- Number of Cases Involved</t>
  </si>
  <si>
    <t>- Outstanding Pension Contributions at YTD</t>
  </si>
  <si>
    <t>Miniumum Lease Payments DH Group Bodies</t>
  </si>
  <si>
    <t>TRU06 check</t>
  </si>
  <si>
    <t>Early Departutre Costs</t>
  </si>
  <si>
    <t>Equal Pay (incl. Aganda for Change</t>
  </si>
  <si>
    <t>As at Prior Year Closing</t>
  </si>
  <si>
    <t>PFI &amp; LIFT Fin Costs / PPE</t>
  </si>
  <si>
    <t>Finance Costs - LIFT</t>
  </si>
  <si>
    <t>PPE - LIFT &amp; PFI</t>
  </si>
  <si>
    <t>Finance Costs - PFI</t>
  </si>
  <si>
    <t>Total Number of PFI contracts</t>
  </si>
  <si>
    <t>Number of PFI contracts which individually have a total commitments value in excess of £500m</t>
  </si>
  <si>
    <t>Total Number of LIFT contracts</t>
  </si>
  <si>
    <t>Number of LIFT contracts which individually have a total commitments value in excess of £500m</t>
  </si>
  <si>
    <t>FIMS 2012-13: IFRIC12/UKGAAP DATA FROM HMT FORMS</t>
  </si>
  <si>
    <t>Capital expenditure 2013-14</t>
  </si>
  <si>
    <t>UK GAAP capital expenditure 2013-14 (Reversionary Interest)</t>
  </si>
  <si>
    <t>ON BALANCE SHEET</t>
  </si>
  <si>
    <t>OFF BALANCE SHEET</t>
  </si>
  <si>
    <t>Prioe Year Opening Balance Restatement Adjustment</t>
  </si>
  <si>
    <t>The Trusts recovery plan, approved by the SHA aims to achieve break-even in 20XX-XX.  This should be the date of the financial year end e.g. 2009</t>
  </si>
  <si>
    <t>If anticipated financial year of recovery is more than two years state the period agreed with SHA (eg: 3)</t>
  </si>
  <si>
    <t>2012-13</t>
  </si>
  <si>
    <t>TRU 54_MI</t>
  </si>
  <si>
    <t>Financial Risk Analysis</t>
  </si>
  <si>
    <t>1) Financial Risk Ratings</t>
  </si>
  <si>
    <t>Financial Metric</t>
  </si>
  <si>
    <t>2012/13 Full Year Accounts</t>
  </si>
  <si>
    <t>EBITDA YTD from SoCI</t>
  </si>
  <si>
    <t>Underlying</t>
  </si>
  <si>
    <t>Operating Income YTD from SoCI</t>
  </si>
  <si>
    <t>Performance</t>
  </si>
  <si>
    <t>EBITDA Margin metric %</t>
  </si>
  <si>
    <t>EBITDA Margin rating</t>
  </si>
  <si>
    <t>&lt;1%</t>
  </si>
  <si>
    <t>Actual EBITDA from SoCI</t>
  </si>
  <si>
    <t>Planned EBITDA (original plan or assessment figure)</t>
  </si>
  <si>
    <t>EBITDA % of plan achieved metric</t>
  </si>
  <si>
    <t>EBITDA % of plan achieved rating</t>
  </si>
  <si>
    <t>&lt;50%</t>
  </si>
  <si>
    <t>Net return after financing costs, YTD from SoCI</t>
  </si>
  <si>
    <t>Opening Financing</t>
  </si>
  <si>
    <t>Return on Capital</t>
  </si>
  <si>
    <t>Closing Financing</t>
  </si>
  <si>
    <t>Return net after financing</t>
  </si>
  <si>
    <t>Net return after Financing Metric (%)</t>
  </si>
  <si>
    <t>Net return after financing rating</t>
  </si>
  <si>
    <t>&lt; -5%</t>
  </si>
  <si>
    <t>Surplus YTD from SoCI</t>
  </si>
  <si>
    <t>Profit (loss) on asset disposals from SoCI</t>
  </si>
  <si>
    <t>I &amp; R (Impairments &amp; restructuring) expenses YTD from SoCI</t>
  </si>
  <si>
    <t>I&amp;E Surplus Margin</t>
  </si>
  <si>
    <t>Operating Income YTD from IS</t>
  </si>
  <si>
    <t>Surplus Margin</t>
  </si>
  <si>
    <t>I&amp;E Surplus Margin Metric (%)</t>
  </si>
  <si>
    <t>I&amp;E Surplus margin rating</t>
  </si>
  <si>
    <t>Overall Financial Efficiency rating</t>
  </si>
  <si>
    <t>&lt; -2%</t>
  </si>
  <si>
    <t>Net liquid Assets (net working capital less stock)</t>
  </si>
  <si>
    <t>Operating expenditure (TRU 01 sc 100 &amp; 110)</t>
  </si>
  <si>
    <t>Notional Working Capital Facility (WCF)</t>
  </si>
  <si>
    <t>WCF in terms of Operating Expenditure YTD</t>
  </si>
  <si>
    <t>Liquidity days metric (WCF limited to 30 days)</t>
  </si>
  <si>
    <t>Liquidity metric</t>
  </si>
  <si>
    <t>Liquidity rating</t>
  </si>
  <si>
    <t>Overall Financial Risk</t>
  </si>
  <si>
    <t>Weighted Average Rating</t>
  </si>
  <si>
    <t>&lt;10</t>
  </si>
  <si>
    <t>Ratings</t>
  </si>
  <si>
    <t>Limit due to overriding rules</t>
  </si>
  <si>
    <t>Correction to Q3 figures</t>
  </si>
  <si>
    <t>Financial Risk Rating For Trust</t>
  </si>
  <si>
    <t>2) Continuity of Service Rating</t>
  </si>
  <si>
    <t>plan</t>
  </si>
  <si>
    <t>actual</t>
  </si>
  <si>
    <t>var</t>
  </si>
  <si>
    <t>Capital Servicing capacity (times)</t>
  </si>
  <si>
    <t>Continuity of Services Rating</t>
  </si>
  <si>
    <t>Limit</t>
  </si>
  <si>
    <t>Rule</t>
  </si>
  <si>
    <t>Return submitted on time</t>
  </si>
  <si>
    <t>Return submitted complete and correct</t>
  </si>
  <si>
    <t>Overriding rules</t>
  </si>
  <si>
    <t>PDC dividend paid in full</t>
  </si>
  <si>
    <t>Lowest ranked metric a 1?</t>
  </si>
  <si>
    <t>One financial criterion 1 or 2</t>
  </si>
  <si>
    <t>Two or more financial criteria 1 or 2</t>
  </si>
  <si>
    <t>Two or more financial criteria at 1</t>
  </si>
  <si>
    <t>Other Financial Risk Indicators</t>
  </si>
  <si>
    <t>Response</t>
  </si>
  <si>
    <t>Please indicate True or False to the following statements:</t>
  </si>
  <si>
    <t>1) Unplanned decrease in (quarterly) EBITDA margin in two consecutive quarters</t>
  </si>
  <si>
    <t>2) Planned FRR 2 (or less) for any one quarter in 2013/14</t>
  </si>
  <si>
    <t>3) Two or more changes in Finance Director in a twelve month period</t>
  </si>
  <si>
    <t>4) Interim Finance Director in place over more than one quarter end</t>
  </si>
  <si>
    <t>5) Quarter end cash balances &lt; 10 days of (annualised) operating expenses</t>
  </si>
  <si>
    <t>6) Capital expenditure &lt; 85% of plan for the year to date</t>
  </si>
  <si>
    <t>7) Capital expenditure &gt; 115% of plan for the year to date</t>
  </si>
  <si>
    <t>Please provide numeric responses to the following questions:</t>
  </si>
  <si>
    <t>1) How many interim (voting) Directors were there on your Board at completion of return ?</t>
  </si>
  <si>
    <t>2) How many acting (voting) Directors were there on your Board at completion of return ?</t>
  </si>
  <si>
    <t>3) How many of the following posts are interim or acting or both (Chair, CEO, Finance Director, Medical Director) at completion of return</t>
  </si>
  <si>
    <t>4) How many changes in Finance Director have you had in the twelve month period to the completion of return</t>
  </si>
  <si>
    <t>Overriding rules working</t>
  </si>
  <si>
    <t>Metrics</t>
  </si>
  <si>
    <t>EBITDA Margin</t>
  </si>
  <si>
    <t>EBITDA % Achieved</t>
  </si>
  <si>
    <t>Liquid Ratio</t>
  </si>
  <si>
    <t>Lowest</t>
  </si>
  <si>
    <t>Numbers</t>
  </si>
  <si>
    <t>Number of 1</t>
  </si>
  <si>
    <t>Number of 2</t>
  </si>
  <si>
    <t>Val TRU01 / Rstr Csts</t>
  </si>
  <si>
    <t>Val Restr Costs YTD Completed</t>
  </si>
  <si>
    <t>2013/14 Source &amp; Application of Funds</t>
  </si>
  <si>
    <t>Provider Total</t>
  </si>
  <si>
    <t>Inc Check</t>
  </si>
  <si>
    <t>(note: the data included in this return replicates the data included at plan: the cells are</t>
  </si>
  <si>
    <t>editable and Trusts should check that the planned data is correct and make any changes</t>
  </si>
  <si>
    <t>feed to TRU 67 sc 100</t>
  </si>
  <si>
    <t>required to reflect Forecast Outturn).</t>
  </si>
  <si>
    <t>2012/13 prior year total income</t>
  </si>
  <si>
    <t>feed to TRU 67 sc 160</t>
  </si>
  <si>
    <t>Full year effect of income changes from 2012/13</t>
  </si>
  <si>
    <t>Non recurring income received in 2012/13</t>
  </si>
  <si>
    <t>feed to TRU 67 sc 240</t>
  </si>
  <si>
    <t>Commissioner headroom income - redundancy and other restructuring costs</t>
  </si>
  <si>
    <t>feed to TRU 67 sc 250</t>
  </si>
  <si>
    <t>Non recurring income deductions in 2012/13, including contract penalties</t>
  </si>
  <si>
    <t>Other full year income effects</t>
  </si>
  <si>
    <t>Adjusted underlying income as at 01/04/13</t>
  </si>
  <si>
    <t>Income Changes :</t>
  </si>
  <si>
    <t>Gross inflationary uplift (2.7%)</t>
  </si>
  <si>
    <t>Price impact from changes in the tariff not included elsewhere</t>
  </si>
  <si>
    <t>Change in value of Marginal Rate emergency tariff</t>
  </si>
  <si>
    <t>Change in emergency Re-Admissions</t>
  </si>
  <si>
    <t>Change in MFF</t>
  </si>
  <si>
    <t>Change income for drugs and devices excluded from the tariff (pass throughs)</t>
  </si>
  <si>
    <t>Change in expected CQUIN income</t>
  </si>
  <si>
    <t>Change in Commissioner Headroom Income for Pump Priming QIPP/Contribution to Fixed/Semi Fixed Costs</t>
  </si>
  <si>
    <t>Education &amp; Training</t>
  </si>
  <si>
    <t>Impact of MPET tariff changes</t>
  </si>
  <si>
    <t>R&amp;D</t>
  </si>
  <si>
    <t>Other changes (including in year Mandatory Fines)</t>
  </si>
  <si>
    <t>Total change in income for 2013/14</t>
  </si>
  <si>
    <t>Total income in 2013/14 consistent with retained surplus/(deficit) in TRU01 sc390 mc06</t>
  </si>
  <si>
    <t>Prior year total expenditure consistent with retained surplus/(deficit) in TRU01 sc 390 mc 01</t>
  </si>
  <si>
    <t>Full year effect of expenditure changes from previous year</t>
  </si>
  <si>
    <t>Other full year/non recurring expenditure effects</t>
  </si>
  <si>
    <t>Adjusted underlying expenditure as at 01/04/13</t>
  </si>
  <si>
    <t>Expenditure changes:</t>
  </si>
  <si>
    <t>Pay inflation - incremental drift</t>
  </si>
  <si>
    <t>Pay inflation - other</t>
  </si>
  <si>
    <t>Investment in drugs and devices excluded from the tariff (pass throughs)</t>
  </si>
  <si>
    <t>Education and training</t>
  </si>
  <si>
    <t>Change in investment due to MPET levy tariff changes</t>
  </si>
  <si>
    <t>Investments to deliver Commissioner QIPP</t>
  </si>
  <si>
    <t>Efficiency - Cashable Pay</t>
  </si>
  <si>
    <t>Efficiency  - Cashable Non Pay</t>
  </si>
  <si>
    <t>Efficiency - Non Cashable</t>
  </si>
  <si>
    <t>Redundancy and Restructuring Costs (see memorandum below)</t>
  </si>
  <si>
    <t>Expected transactions</t>
  </si>
  <si>
    <t>Total change in expenditure for 2013/14</t>
  </si>
  <si>
    <t>Total spend in 2013/14 consistent with retained surplus/(deficit) in TRU01 sc390 mc06</t>
  </si>
  <si>
    <t>Memorandum - values included in sc180</t>
  </si>
  <si>
    <t>% of income</t>
  </si>
  <si>
    <t>Value of income from MFF</t>
  </si>
  <si>
    <t>Value of Commissioner headroom income for pump priming QIPP / contribution to fixed / semi fixed costs</t>
  </si>
  <si>
    <t>Memorandum - values included in sc100</t>
  </si>
  <si>
    <t>Value of income deductions for mandatory fines (2012/13)</t>
  </si>
  <si>
    <t>Memorandum - values included in sc380</t>
  </si>
  <si>
    <t>Value of income deductions for mandatory fines (2013/14)</t>
  </si>
  <si>
    <t>Surplus Position and Underlying Position</t>
  </si>
  <si>
    <t>Total Revenue (12/13)</t>
  </si>
  <si>
    <t>Retained 2012/13 surplus/(deficit) for the year consistent with TRU01 sc390 mc01</t>
  </si>
  <si>
    <t>2012/13 surplus/(deficit) underlying position</t>
  </si>
  <si>
    <t>Retained Forecast Outturn 2013/14 surplus/(deficit) for the year consistent with TRU01 sc390 mc06</t>
  </si>
  <si>
    <t>Forecast Outturn 2013/14 surplus/(deficit) underlying position</t>
  </si>
  <si>
    <t>Memorandum: Analysis of Redundancy and Restructuring Costs (sc630)</t>
  </si>
  <si>
    <t>Total Costs</t>
  </si>
  <si>
    <t>Redundancy costs incurred in the normal course of business</t>
  </si>
  <si>
    <t>Tot Restr Csts</t>
  </si>
  <si>
    <t>Restructuring costs (exceptional circumstances) - Redundancy</t>
  </si>
  <si>
    <t>Restructuring costs (exceptional circumstances) - other</t>
  </si>
  <si>
    <t>Total Redundancy and Restructuring Costs</t>
  </si>
  <si>
    <t>Analysis of Efficiency Programmes</t>
  </si>
  <si>
    <t>Efficiency Programmes</t>
  </si>
  <si>
    <t>Identified (I) or Unidentified (U)</t>
  </si>
  <si>
    <t>Cashable (C), Non Cashable (NC) or Income (Inc)</t>
  </si>
  <si>
    <t>If Cashable Pay (P) or Non Pay (NP)</t>
  </si>
  <si>
    <t>mc03 = "C"/so mc04 needs entry</t>
  </si>
  <si>
    <t>List Programmes with savings in-year</t>
  </si>
  <si>
    <t>New Programmes Identified In Year:</t>
  </si>
  <si>
    <t>Grand Total (sc100)</t>
  </si>
  <si>
    <t>Year to Date Plan</t>
  </si>
  <si>
    <t>Year to Date Actual</t>
  </si>
  <si>
    <t>Planned Forecast Outturn</t>
  </si>
  <si>
    <t>Efficiencies Summary Information</t>
  </si>
  <si>
    <t>Proportion of Total</t>
  </si>
  <si>
    <t>Total Efficiencies Identified/Unidentified</t>
  </si>
  <si>
    <t>Total Efficiencies Identified</t>
  </si>
  <si>
    <t>Total Efficiencies Unidentified</t>
  </si>
  <si>
    <t>From TRU67</t>
  </si>
  <si>
    <t>*-1</t>
  </si>
  <si>
    <t>Year to date Plan</t>
  </si>
  <si>
    <t>Year to date Actual</t>
  </si>
  <si>
    <t>Forecast Outturn Plan</t>
  </si>
  <si>
    <t>From TRU64</t>
  </si>
  <si>
    <t>Cashable Savings - Pay</t>
  </si>
  <si>
    <t>sc600 mc09</t>
  </si>
  <si>
    <t>Cashable Savings - Non Pay</t>
  </si>
  <si>
    <t>sc600 mc07</t>
  </si>
  <si>
    <t>Non Cashable</t>
  </si>
  <si>
    <t>sc600 mc08</t>
  </si>
  <si>
    <t>sc610 mc09</t>
  </si>
  <si>
    <t>sc610 mc07</t>
  </si>
  <si>
    <t>sc620 mc07</t>
  </si>
  <si>
    <t>M</t>
  </si>
  <si>
    <t>L</t>
  </si>
  <si>
    <t>Key</t>
  </si>
  <si>
    <t>U</t>
  </si>
  <si>
    <t>Identified efficiencies</t>
  </si>
  <si>
    <t>I</t>
  </si>
  <si>
    <t>Unidentified efficiencies</t>
  </si>
  <si>
    <t>non recurring</t>
  </si>
  <si>
    <t>Cashable</t>
  </si>
  <si>
    <t>C</t>
  </si>
  <si>
    <t>NC</t>
  </si>
  <si>
    <t>Inc</t>
  </si>
  <si>
    <t>Cashable Pay</t>
  </si>
  <si>
    <t>P</t>
  </si>
  <si>
    <t>Non pay</t>
  </si>
  <si>
    <t>NP</t>
  </si>
  <si>
    <t>Key Data Summary_MI</t>
  </si>
  <si>
    <t>TRU Form Reference</t>
  </si>
  <si>
    <t>sub</t>
  </si>
  <si>
    <t>Total Turnover used in Financial Risk Ratings (Operating Revenue less Donated &amp; Gov Grant Income)</t>
  </si>
  <si>
    <t>Retained Surplus/(Deficit) as a percentage of Turnover</t>
  </si>
  <si>
    <t>Adjusted Financial Performance Retained Surplus/(Deficit) as a percentage of Turnover</t>
  </si>
  <si>
    <t>Earnings Before Interest, Taxation, Depreciation and Amortisation ( EBITDA)</t>
  </si>
  <si>
    <t>EBITDA as a percentage of Turnover</t>
  </si>
  <si>
    <t>TRU55 sc296</t>
  </si>
  <si>
    <t>TRU55 sc300 to 316</t>
  </si>
  <si>
    <t>TRU55 sc320 to 340</t>
  </si>
  <si>
    <t>TRU55 sc350</t>
  </si>
  <si>
    <t>TRU55 sc360</t>
  </si>
  <si>
    <t>TRU55 sc370</t>
  </si>
  <si>
    <t>New PDC Issued in year / (repaid)</t>
  </si>
  <si>
    <t>TRU04 sc424 to sc442</t>
  </si>
  <si>
    <t>New Capital Loans</t>
  </si>
  <si>
    <t>New Working Capital Loans - (FT liquidity)</t>
  </si>
  <si>
    <t>New Working Capital Loans - (Revenue Support)</t>
  </si>
  <si>
    <t>Other Loans</t>
  </si>
  <si>
    <t>Percentage of over 90 day Receivables : Non NHS</t>
  </si>
  <si>
    <t>Percentage of over 90 day Receivables : NHS</t>
  </si>
  <si>
    <t>Percentage of over 90 day Payables : Non NHS</t>
  </si>
  <si>
    <t>Percentage of over 90 day Payables : NHS</t>
  </si>
  <si>
    <t>Better Payments Practice Code: percentage settled within target by number</t>
  </si>
  <si>
    <t>Better Payments Practice Code: percentage settled within target by £000s</t>
  </si>
  <si>
    <t>Identified Efficiencies</t>
  </si>
  <si>
    <t>TRU65 sc110</t>
  </si>
  <si>
    <t>Un-identified Efficiencies</t>
  </si>
  <si>
    <t>TRU65 sc120</t>
  </si>
  <si>
    <t>TRU67 sc260 mc01 &amp; TRU65 sc130</t>
  </si>
  <si>
    <t>TRU65 sc180 mc04</t>
  </si>
  <si>
    <t>TRU65 sc180 mc05</t>
  </si>
  <si>
    <t>Efficiencies as a percentage of planned expenditure</t>
  </si>
  <si>
    <t>TRU67 sc260 mc02</t>
  </si>
  <si>
    <t>TRU 01</t>
  </si>
  <si>
    <t>Agency Total</t>
  </si>
  <si>
    <t>2013/14 Full Year FOT</t>
  </si>
  <si>
    <t>2014/15 Full Year</t>
  </si>
  <si>
    <t>Apr</t>
  </si>
  <si>
    <t>2015/16 Full Year</t>
  </si>
  <si>
    <t>Feeds to Key Data / TRU54</t>
  </si>
  <si>
    <t>Feeds to TRU54</t>
  </si>
  <si>
    <t>Impairments IFRIC12</t>
  </si>
  <si>
    <t>Feeds to Key Data</t>
  </si>
  <si>
    <t>Donated/Government grant assets adjustment (include donation/grant receipts and depreciation of donated/grant funded assets)</t>
  </si>
  <si>
    <t>Feeds to validations</t>
  </si>
  <si>
    <t>Adjustments - other Net gains / (losses) on transfers by absorption</t>
  </si>
  <si>
    <t>Retained Surplus / (Deficit) for the Year per Accounts</t>
  </si>
  <si>
    <t>Feed to TRU54</t>
  </si>
  <si>
    <t>Donated/Government grant assets adjustment (donation income element of SC 380)</t>
  </si>
  <si>
    <t>(Gains) / Losses on disposal of assets</t>
  </si>
  <si>
    <t>(Gains) / Losses on disposal of other</t>
  </si>
  <si>
    <t>Adjustments - other Net gains / (Losses) on transfers by absorption</t>
  </si>
  <si>
    <t>Other exceptional items</t>
  </si>
  <si>
    <t>Memo - Agency/Contract Staff Costs</t>
  </si>
  <si>
    <t>Feeds to TRU06</t>
  </si>
  <si>
    <t>Agency /Contract Staff Costs included in Employee Benefits Expenditure (TRU06 sc400)</t>
  </si>
  <si>
    <t>Agency /Contract Staff element of Income (TRU05 sc250)</t>
  </si>
  <si>
    <t>Note 4: Analysis of "Other" Staff Costs Gross expenditure</t>
  </si>
  <si>
    <t>Note 6: Non-recurrent deficit funding included in position reported in sc390 above</t>
  </si>
  <si>
    <t>TRU 02</t>
  </si>
  <si>
    <t>Cash Bal</t>
  </si>
  <si>
    <t>Opening Balance at 01/04/2014</t>
  </si>
  <si>
    <t>Plan Year ending 31/03/2016</t>
  </si>
  <si>
    <t>Loans Total (feed to TRU04 validation calcs)</t>
  </si>
  <si>
    <t>"14/15"</t>
  </si>
  <si>
    <t>"15/16"</t>
  </si>
  <si>
    <t>Liabilities arising from PFIs / LIFT / Finance Leases</t>
  </si>
  <si>
    <t>Total Taxpayers Equity</t>
  </si>
  <si>
    <t>Cash held in Government Banking Service account/NLF</t>
  </si>
  <si>
    <t>Plan Year ending 31/03/2015</t>
  </si>
  <si>
    <t>TRU 04</t>
  </si>
  <si>
    <t>Loans recvd repaid</t>
  </si>
  <si>
    <t>PFI / Finance Lease Interest paid</t>
  </si>
  <si>
    <t>Feed to TRU54 memo</t>
  </si>
  <si>
    <t>Feed to TRU63</t>
  </si>
  <si>
    <t>Feed to Key Data</t>
  </si>
  <si>
    <t>Loans received - London RE:FIT loans (London Trusts only)</t>
  </si>
  <si>
    <t>Capital element of payments relating to PFI, LIFT Schemes and finance leases</t>
  </si>
  <si>
    <t>Capital grants and other capital receipts (excluding donated / government granted cash receipts already captured on TRU05)</t>
  </si>
  <si>
    <t>Cash and Cash Equivalents (and Bank Overdraft) at the end of the period</t>
  </si>
  <si>
    <t>op Loans</t>
  </si>
  <si>
    <t>Cl loans</t>
  </si>
  <si>
    <t>Loans checks</t>
  </si>
  <si>
    <t>TRU 05</t>
  </si>
  <si>
    <t>Profiling</t>
  </si>
  <si>
    <t>Strategic Health Authorities (for comparatives)</t>
  </si>
  <si>
    <t>Primary Care Trusts (comparatives only)</t>
  </si>
  <si>
    <t>PCTs /CCGs - MFF</t>
  </si>
  <si>
    <t>NHS Other (including Public Health England)</t>
  </si>
  <si>
    <t>Non NHS: Other</t>
  </si>
  <si>
    <t>Charitable and Other Contributions to Expenditure -  Non NHS</t>
  </si>
  <si>
    <t>Receipt of Charitable Donations for Capital Acquisitions</t>
  </si>
  <si>
    <t>Receipt of Grants for Capital Acquisitions</t>
  </si>
  <si>
    <t>Receipt of grants/donations for capital acquisitions - Grant</t>
  </si>
  <si>
    <t>Income generation</t>
  </si>
  <si>
    <t>TRU 06</t>
  </si>
  <si>
    <t>Feed to TRU04</t>
  </si>
  <si>
    <t>Feed to TRU54 memo section</t>
  </si>
  <si>
    <t>Plan Depr &amp; Amort</t>
  </si>
  <si>
    <t>2015-16</t>
  </si>
  <si>
    <t>Depreciation (not incl Government Granted and Donated Assets)</t>
  </si>
  <si>
    <t>Amortisation (not incl Government Granted and Donated Assets)</t>
  </si>
  <si>
    <t>Research (excluding staff costs)</t>
  </si>
  <si>
    <t>Education and training (excluding staff costs)</t>
  </si>
  <si>
    <t>PFI Operating Costs</t>
  </si>
  <si>
    <t>TOTAL Operating Expenses excluding employee benefits</t>
  </si>
  <si>
    <t>Officer Board members</t>
  </si>
  <si>
    <t>TRU 14</t>
  </si>
  <si>
    <t>Property, Plant and Equipment impairments and reversals taken on to SOCI</t>
  </si>
  <si>
    <t>Net Impairments of Property, Plant and Equipment charged to SOCI</t>
  </si>
  <si>
    <t>Intangible Assets impairments and reversals charged to SOCI</t>
  </si>
  <si>
    <t>Net Impairments of Intangibles charged to SOCI</t>
  </si>
  <si>
    <t>Financial Assets charged to the SOCI</t>
  </si>
  <si>
    <t>Net Impairments of Financial Assets charged to SOCI</t>
  </si>
  <si>
    <t>Non Current Assets held for sale - impairments and reversals charged to SOCI</t>
  </si>
  <si>
    <t>Inventories - impairments and reversals charged to SOCI</t>
  </si>
  <si>
    <t>Investment Property impairments charged to SOCI</t>
  </si>
  <si>
    <t>Total Investment Property impairments charged to SOCI</t>
  </si>
  <si>
    <t>Total Impairments charged to SOCI - DEL</t>
  </si>
  <si>
    <t>Total Impairments charged to SOCI - AME</t>
  </si>
  <si>
    <t>Total Impairments charged to SOCI</t>
  </si>
  <si>
    <t>PPE - Donated and Government Granted Asset impairments amounts charged to SOCI - DEL</t>
  </si>
  <si>
    <t>Intangibles - Donated and  Government Granted Asset impairments amount charged to SOCI</t>
  </si>
  <si>
    <t>TRU 19</t>
  </si>
  <si>
    <t>Provisions - 2014/15</t>
  </si>
  <si>
    <t>Re-     structuring</t>
  </si>
  <si>
    <t>Equal Pay and Agenda for Change</t>
  </si>
  <si>
    <t>Explanation of Provisions in the "Other" Category 2014/15 (mc10)</t>
  </si>
  <si>
    <t>Breakdown of all Provisions total "other" Greater than £1m (mc "other" sc190)</t>
  </si>
  <si>
    <t>Provisions -2015/16</t>
  </si>
  <si>
    <t>2015-16 Full Year Plan</t>
  </si>
  <si>
    <t>Explanation of Provisions in the "Other" Category 2015/16 (mc10)</t>
  </si>
  <si>
    <t>Breakdown of all Provisions Arising in Year Greater than £1m (mc "other" sc320)</t>
  </si>
  <si>
    <t>Breakdown of all Provisions Utilised During the Year Greater than £1m (mc"other"sc330)</t>
  </si>
  <si>
    <t>Breakdown of all Provisions Reversed Unused in Year Greater than £1m (mc "other" sc340)</t>
  </si>
  <si>
    <t>Breakdown of all Provisions total "other" Greater than £1m (mc "other" sc390)</t>
  </si>
  <si>
    <t>Blank PFI</t>
  </si>
  <si>
    <t>TRU 20</t>
  </si>
  <si>
    <t>Value of PFI</t>
  </si>
  <si>
    <t>Value of PFI schemes pre April 2011</t>
  </si>
  <si>
    <t>Value of PFI schemes post April 2011</t>
  </si>
  <si>
    <t>LIFT Scheme Expiry Date</t>
  </si>
  <si>
    <t>Value of LIFT</t>
  </si>
  <si>
    <t>Value of LIFT schemes pre April 2011</t>
  </si>
  <si>
    <t>Value of LIFT schemes post April 2011</t>
  </si>
  <si>
    <t>IFRIC 12 excluding impairment charges</t>
  </si>
  <si>
    <t>UK GAAP Capital expenditure 2014-15 (Reversionary Interest)</t>
  </si>
  <si>
    <t>Capital expenditure 2012-13</t>
  </si>
  <si>
    <t>Net assets relating to non-IFRIC12 IFRS - IFRS basis</t>
  </si>
  <si>
    <t>Net assets relating to non-IFRIC12 IFRS - UKGAAP basis</t>
  </si>
  <si>
    <t>UK GAAP capital expenditure 2012-13 (Reversionary Interest)</t>
  </si>
  <si>
    <t>No. of PFI/LIFT Schemes captured in figures above</t>
  </si>
  <si>
    <t>Descriptions of each PFI/LIFT Scheme</t>
  </si>
  <si>
    <t>Wave 1</t>
  </si>
  <si>
    <t>Yes/No</t>
  </si>
  <si>
    <t>Does the Trust have a Wave1 PFI scheme not captured above under IFRIC 12</t>
  </si>
  <si>
    <t>TRU 55</t>
  </si>
  <si>
    <t>Book Value Of Assets Disposed</t>
  </si>
  <si>
    <t>Capital Absor Rate</t>
  </si>
  <si>
    <t>Donated Asset</t>
  </si>
  <si>
    <t>Check to TRU56</t>
  </si>
  <si>
    <t>CRL match</t>
  </si>
  <si>
    <t>Cap Ex CRL match</t>
  </si>
  <si>
    <t>2015/16 Plan</t>
  </si>
  <si>
    <t>Adjustments to exclude significant disposals/acquisitions in closing total assets employed</t>
  </si>
  <si>
    <t>Sum of Opening/Closing Relevant Net Assets</t>
  </si>
  <si>
    <t>Average Daily Cleared Balances in GBS/NLF</t>
  </si>
  <si>
    <t>Adjustment for part-year effect of significant disposals/acquisitions reported on sc 185</t>
  </si>
  <si>
    <t>2015/16 Full Year Plan</t>
  </si>
  <si>
    <t>2014/15-2015/16 (2 Year Plan)</t>
  </si>
  <si>
    <t>Capital Expenditure by Programme and Type</t>
  </si>
  <si>
    <t>2016/17 Plan</t>
  </si>
  <si>
    <t>2017/18 Plan</t>
  </si>
  <si>
    <t>2018/19 Plan</t>
  </si>
  <si>
    <t>2014/15 to 2018/19      5 Year Plan</t>
  </si>
  <si>
    <t>Gross Capital Expenditure including IFRS impact</t>
  </si>
  <si>
    <t>AHFS Sold</t>
  </si>
  <si>
    <t>Disposals PPE</t>
  </si>
  <si>
    <t>Checks to TRU56</t>
  </si>
  <si>
    <t>Disposals Int</t>
  </si>
  <si>
    <t>Disposals Invest</t>
  </si>
  <si>
    <t>Donations</t>
  </si>
  <si>
    <t>2014/15 to 2018/19         5 Year Plan</t>
  </si>
  <si>
    <t>Capital Project</t>
  </si>
  <si>
    <t>2015/16 - 2018/19</t>
  </si>
  <si>
    <t>2014/15   Plan</t>
  </si>
  <si>
    <t>Val Turnover</t>
  </si>
  <si>
    <t>Val Cat Bdown</t>
  </si>
  <si>
    <t>PDC Cash Draw</t>
  </si>
  <si>
    <t>Turnover left blank</t>
  </si>
  <si>
    <t>no data/ text</t>
  </si>
  <si>
    <t>to Totals</t>
  </si>
  <si>
    <t>Capital Schemes: Trust Approved Schemes</t>
  </si>
  <si>
    <t>Capital Schemes: Business Cases for NTDA approval</t>
  </si>
  <si>
    <t>Asset Transfers In to NHS Trust (non TCS):</t>
  </si>
  <si>
    <t>Type of Expenditure</t>
  </si>
  <si>
    <t>By DH Programme</t>
  </si>
  <si>
    <t>IFRS Expenditure Y (IFRIC 12 or 4)/N</t>
  </si>
  <si>
    <t>PDC Cash Drawdown Cfwd/In-Year/Non-PDC</t>
  </si>
  <si>
    <t>Feed to TRU57</t>
  </si>
  <si>
    <t>Total Asset Transfers In to NHS Trust (non TCS) (TRU55 sc294)</t>
  </si>
  <si>
    <t>(a) Trust Approved Disposals/Asset Transfers Out</t>
  </si>
  <si>
    <t>(b) Disposals/Asset Transfers Out Requiring NTDA Approval</t>
  </si>
  <si>
    <t>Impact of IFRS on Net Capital Expenditure (IFRIC12 Schemes)</t>
  </si>
  <si>
    <t>Impact of IFRS on Net Capital Expenditure (non-IFRIC12 Schemes ie IFRIC 4)</t>
  </si>
  <si>
    <t>Dementia Friendly Environments (DFE)</t>
  </si>
  <si>
    <t>DFE</t>
  </si>
  <si>
    <t>Other Central Programme (from £337m Winter central fund)</t>
  </si>
  <si>
    <t>Memorandum - Business Cases for NTDA Approval</t>
  </si>
  <si>
    <t>Value £000</t>
  </si>
  <si>
    <t>Turnover as per 2012/13 accounts</t>
  </si>
  <si>
    <t>NTDA Limit</t>
  </si>
  <si>
    <t>3% Prior Year Turnover</t>
  </si>
  <si>
    <t>Trust Initial Delegated Limit</t>
  </si>
  <si>
    <t>Name of Scheme/Project/Disposal for NTDA Approval</t>
  </si>
  <si>
    <t>Business Case planned NHS Trust Board approval date</t>
  </si>
  <si>
    <t>Business Case planned Sub-mission date to NTDA of SOC (if applicable)</t>
  </si>
  <si>
    <t>Business Case planned Sub-mission date to NTDA of OBC</t>
  </si>
  <si>
    <t>Planned Sub-mission date to NTDA of FBC</t>
  </si>
  <si>
    <t>CONCATENATED</t>
  </si>
  <si>
    <t>Exceptional</t>
  </si>
  <si>
    <t>Winter</t>
  </si>
  <si>
    <t>Scheme</t>
  </si>
  <si>
    <t>Chk</t>
  </si>
  <si>
    <t>Maint - backlog LFCfwd</t>
  </si>
  <si>
    <t>Maint - backlog DHCfwd</t>
  </si>
  <si>
    <t>TechnoCfwd</t>
  </si>
  <si>
    <t>EnergyCfwd</t>
  </si>
  <si>
    <t>DFECfwd</t>
  </si>
  <si>
    <t>HARTCfwd</t>
  </si>
  <si>
    <t>Safer HospCfwd</t>
  </si>
  <si>
    <t>Improving BECfwd</t>
  </si>
  <si>
    <t>£337m WinterCfwd</t>
  </si>
  <si>
    <t>Other: centralCfwd</t>
  </si>
  <si>
    <t>Non-prog PDCCfwd</t>
  </si>
  <si>
    <t>Exceptional PDCCfwd</t>
  </si>
  <si>
    <t>Non centralCfwd</t>
  </si>
  <si>
    <t>Maint - backlog LFIn-Year</t>
  </si>
  <si>
    <t>Maint - backlog DHIn-Year</t>
  </si>
  <si>
    <t>TechnoIn-Year</t>
  </si>
  <si>
    <t>EnergyIn-Year</t>
  </si>
  <si>
    <t>DFEIn-Year</t>
  </si>
  <si>
    <t>HARTIn-Year</t>
  </si>
  <si>
    <t>Safer HospIn-Year</t>
  </si>
  <si>
    <t>Improving BEIn-Year</t>
  </si>
  <si>
    <t>£337m WinterIn-Year</t>
  </si>
  <si>
    <t>Other: centralIn-Year</t>
  </si>
  <si>
    <t>Non-prog PDCIn-Year</t>
  </si>
  <si>
    <t>Aggregate Scheme/Disposals</t>
  </si>
  <si>
    <t>Pre-Approved by SHA/NTDA</t>
  </si>
  <si>
    <t>Exceptional PDCIn-Year</t>
  </si>
  <si>
    <t>Trust Approved Schemes/Disposals over Trust Delegated Limit</t>
  </si>
  <si>
    <t>Non centralIn-Year</t>
  </si>
  <si>
    <t>Maint - backlog LFNon-PDC</t>
  </si>
  <si>
    <t>Maint - backlog DHNon-PDC</t>
  </si>
  <si>
    <t>TechnoNon-PDC</t>
  </si>
  <si>
    <t>EnergyNon-PDC</t>
  </si>
  <si>
    <t>DFENon-PDC</t>
  </si>
  <si>
    <t>HARTNon-PDC</t>
  </si>
  <si>
    <t>Safer HospNon-PDC</t>
  </si>
  <si>
    <t>Improving BENon-PDC</t>
  </si>
  <si>
    <t>£337m WinterNon-PDC</t>
  </si>
  <si>
    <t>Other: centralNon-PDC</t>
  </si>
  <si>
    <t>Non-prog PDCNon-PDC</t>
  </si>
  <si>
    <t>Exceptional PDCNon-PDC</t>
  </si>
  <si>
    <t>Non centralNon-PDC</t>
  </si>
  <si>
    <t>Feed to TRU63 Future Years</t>
  </si>
  <si>
    <t>2015/16</t>
  </si>
  <si>
    <t>2016/17</t>
  </si>
  <si>
    <t>2017/18</t>
  </si>
  <si>
    <t>2018/19</t>
  </si>
  <si>
    <t>Total 2014/15 Capital Expenditure</t>
  </si>
  <si>
    <t>DH PDC Limit carried fwd 2013/14</t>
  </si>
  <si>
    <t>Centrally Funded Capital Schemes - 2014/15</t>
  </si>
  <si>
    <t>Improving Birthing Environments</t>
  </si>
  <si>
    <t>TRU 63</t>
  </si>
  <si>
    <t>2014/15-2018/19           5 Year Plan</t>
  </si>
  <si>
    <t>PLANNED CAPITAL EXPENDITURE (RESOURCES)</t>
  </si>
  <si>
    <t>Gross Capital Expenditure (including IFRS impact)</t>
  </si>
  <si>
    <t>Less IFRS impact (included in sc100)</t>
  </si>
  <si>
    <t>Gross Capital Expenditure (excluding IFRS impact)</t>
  </si>
  <si>
    <t>PLANNED FINANCING OF CRL (CASH)</t>
  </si>
  <si>
    <t>Internal Sources:</t>
  </si>
  <si>
    <t>Planned Depr</t>
  </si>
  <si>
    <t>Planned Depreciation - Non IFRIC 12 Related</t>
  </si>
  <si>
    <t>Planned Depreciation - IFRIC 12 Related</t>
  </si>
  <si>
    <t>Less Planned Depreciation - IFRIC 12 Related Depreciation that forms Part of the Unitary Charge</t>
  </si>
  <si>
    <t>I&amp;E Surplus - Attributed Financing of Capital Expenditure</t>
  </si>
  <si>
    <t>Net Book Value of Non Current Assets Disposed Of to NHS and non-NHS Orgs</t>
  </si>
  <si>
    <t>Unspent Capital PDC drawn down in PYr to fund capex in 14/15</t>
  </si>
  <si>
    <t>Movement in payables/receivables including Unspent Capital Cash from previous year(s)</t>
  </si>
  <si>
    <t>Unspent revenue cash from previous year(s) - Attributed to Financing of Capital Expenditure</t>
  </si>
  <si>
    <t>Internally Generated Capital Cash</t>
  </si>
  <si>
    <t>External Sources:</t>
  </si>
  <si>
    <t>New Public Dividend Capital - Central DH Programme (Policy) Budget Allocations - Agreed/Anticipated</t>
  </si>
  <si>
    <t>Feed to TRU04 sc430</t>
  </si>
  <si>
    <t>New Public Dividend Capital - Exceptions To The Capital Regime (Exceptional PDC)</t>
  </si>
  <si>
    <t>Total for projects funded from additional centrally-provided capital - part of the £337m Winter Fund</t>
  </si>
  <si>
    <t>Planned Non-Programme Scheme funded from PDC e.g. large pre-approved schemes</t>
  </si>
  <si>
    <t>Asset received from other NHS Trusts, CCGs and FTs - i.e. non-TCS-related asset transfers</t>
  </si>
  <si>
    <t>Asset disposed to other NHS Trusts, CCGs and FTs - i.e. non-TCS-related asset transfers</t>
  </si>
  <si>
    <t>Other Loans Received - e.g. Salix Energy Loans</t>
  </si>
  <si>
    <t>Other Loans Received -  London RE: FIT loans - London Trusts only</t>
  </si>
  <si>
    <t>Loan received from DH - Capital Investment</t>
  </si>
  <si>
    <t>External Capital Cash Requirement</t>
  </si>
  <si>
    <t>Total Capital Cash Financing</t>
  </si>
  <si>
    <t>Total Capital Cash Financing Available minus Gross Capital Expenditure (excl. IFRS Impact)</t>
  </si>
  <si>
    <t>NET BORROWING REQUIREMENT (NBR)</t>
  </si>
  <si>
    <t>Loans received from DH - FT Liquidity Loan</t>
  </si>
  <si>
    <t>Loans received from DH - Revenue Support Loan</t>
  </si>
  <si>
    <t>Working Capital Loans - FT Liquidity Principal Repayments: Existing Loans</t>
  </si>
  <si>
    <t>Loan repaid to DH - FT Liquidity Loan</t>
  </si>
  <si>
    <t>Loan repaid to DH - Revenue Support Existing Loans</t>
  </si>
  <si>
    <t>Loan repaid to DH - Revenue Support New Loans</t>
  </si>
  <si>
    <t>Loan repaid to DH - Capital Investment Existing Loans</t>
  </si>
  <si>
    <t>Loan repaid to DH - Capital Investment New Loans</t>
  </si>
  <si>
    <t>Repayment of Other Capital Investment Loans Received - e.g. Salix or London RE:FIT Loans</t>
  </si>
  <si>
    <t>NET BORROWING REQUIREMENT</t>
  </si>
  <si>
    <t>SUMMARY - CAPITAL PROGRAMME FUNDING SOURCES</t>
  </si>
  <si>
    <t>Net NBV of asset disposals and receipts</t>
  </si>
  <si>
    <t>Unspent cash from previous financial years</t>
  </si>
  <si>
    <t>Capital Loan Funding</t>
  </si>
  <si>
    <t>TOTAL CAPITAL PROGRAMME FUNDING SOURCES</t>
  </si>
  <si>
    <t>CAPITAL PROGRAMME FUNDING SOURCES LESS GROSS CAPITAL EXPENDITURE</t>
  </si>
  <si>
    <t>Initial Limits</t>
  </si>
  <si>
    <t>Initial Anticipated Adjustments as per TFMS Plan</t>
  </si>
  <si>
    <t>Other agreed by NTDA/DH</t>
  </si>
  <si>
    <t>Current Initial Plan Position</t>
  </si>
  <si>
    <t>Memorandum - actual values included in sc100</t>
  </si>
  <si>
    <t>(13/14 values only)</t>
  </si>
  <si>
    <t>TRU 64</t>
  </si>
  <si>
    <t>2015/16 Source &amp; Application of Funds</t>
  </si>
  <si>
    <t>2014/15 prior year total income</t>
  </si>
  <si>
    <t>Full year effect of income changes from 2014/15</t>
  </si>
  <si>
    <t>sc 1030</t>
  </si>
  <si>
    <t>Contractual income deductions in 2014/15 according to contract terms, including contract penalties</t>
  </si>
  <si>
    <t>Transactions -acquisitions or divestments - Full year effects for transactions completing up to 31/03/15</t>
  </si>
  <si>
    <t>sc 1040</t>
  </si>
  <si>
    <t>Service changes - transfers or developments - Full year effect for changes up to 31/03/15</t>
  </si>
  <si>
    <t>sc 1050</t>
  </si>
  <si>
    <t>Prior year income generation - full year effect for income generated up to 31/03/15</t>
  </si>
  <si>
    <t>sc 1070</t>
  </si>
  <si>
    <t>Adjusted underlying income as at 31/03/15</t>
  </si>
  <si>
    <t>Income Changes from 01/04/15:</t>
  </si>
  <si>
    <t>Gross inflationary uplift</t>
  </si>
  <si>
    <t>sc 1090, 1100, 1110</t>
  </si>
  <si>
    <t>Efficiency in tariff</t>
  </si>
  <si>
    <t>sc 820, 1190</t>
  </si>
  <si>
    <t>sc 810, 1190</t>
  </si>
  <si>
    <t>sc 1210, 1220</t>
  </si>
  <si>
    <t>Service changes -  transfers or developments with effect from 01/04/2015</t>
  </si>
  <si>
    <t>sc 1130</t>
  </si>
  <si>
    <t>sc 1140</t>
  </si>
  <si>
    <t>sc 1120</t>
  </si>
  <si>
    <t>sc 1180</t>
  </si>
  <si>
    <t>sc 1150</t>
  </si>
  <si>
    <t>sc 1160</t>
  </si>
  <si>
    <t>sc 1170</t>
  </si>
  <si>
    <t>Commissioner headroom / 1% non recurrent income - including redundancy and other restructuring costs</t>
  </si>
  <si>
    <t>sc 1240</t>
  </si>
  <si>
    <t>Expected Transactions - for transactions completing from 01/04/14 to 31/03/16 (SEE guidance before populating this sub code)</t>
  </si>
  <si>
    <t>sc 1250</t>
  </si>
  <si>
    <t>sc 1260</t>
  </si>
  <si>
    <t>Total change in income for 2015/16</t>
  </si>
  <si>
    <t>Total income 2015/16</t>
  </si>
  <si>
    <t>TRU01 sc 120, 130 and 465 mc 15</t>
  </si>
  <si>
    <t>2014/15 Prior year total expenditure consistent with retained surplus / (deficit) in TRU01 sc 390 mc 02</t>
  </si>
  <si>
    <t>Full year effect of expenditure changes from 2014/15</t>
  </si>
  <si>
    <t>sc 710</t>
  </si>
  <si>
    <t>sc 740</t>
  </si>
  <si>
    <t>sc 750</t>
  </si>
  <si>
    <t>Full year effect of prior year efficiency savings</t>
  </si>
  <si>
    <t>sc 770</t>
  </si>
  <si>
    <t>Adjusted underlying expenditure as at 01/04/15</t>
  </si>
  <si>
    <t>Expenditure changes in 2015/16:</t>
  </si>
  <si>
    <t>sc 790, 1100, 1110</t>
  </si>
  <si>
    <t>sc 790, 1090, 1110</t>
  </si>
  <si>
    <t>sc 790, 1100, 1090</t>
  </si>
  <si>
    <t>sc 900</t>
  </si>
  <si>
    <t>sc 840</t>
  </si>
  <si>
    <t>sc 850</t>
  </si>
  <si>
    <t>sc 920</t>
  </si>
  <si>
    <t>sc 930</t>
  </si>
  <si>
    <t>sc 940</t>
  </si>
  <si>
    <t>Investments to deliver CQUIN</t>
  </si>
  <si>
    <t>sc 910</t>
  </si>
  <si>
    <t>sc 810, 820</t>
  </si>
  <si>
    <t>sc 830, 1220</t>
  </si>
  <si>
    <t>sc 830, 1210</t>
  </si>
  <si>
    <t>sc 960</t>
  </si>
  <si>
    <t>Expected Transactions - for transactions completing from 01/04/15 to 31/03/16 (SEE guidance before populating this sub code)</t>
  </si>
  <si>
    <t>sc 980</t>
  </si>
  <si>
    <t>sc 990</t>
  </si>
  <si>
    <t>Total change in expenditure for 2015/16</t>
  </si>
  <si>
    <t>Total spend in 2015/16 consistent with retained surplus / (deficit) in TRU01 sc390 mc15</t>
  </si>
  <si>
    <t>TRU01 sc100,110,150,160,170,190,195,210,360,370,380,385 less sc 465, mc 15</t>
  </si>
  <si>
    <t>Retained surplus / (deficit) for the year consistent with TRU01 sc390 mc01, mc02, mc15</t>
  </si>
  <si>
    <t>% of 2013/14 underlying income</t>
  </si>
  <si>
    <t>% of 2013/14 prior year income</t>
  </si>
  <si>
    <t>FYE of prior year efficiency savings</t>
  </si>
  <si>
    <t>B/fwd impact of non delivery of recurring prior year savings / FYE of prior year savings</t>
  </si>
  <si>
    <t>2015/16 Source and Application of Funds</t>
  </si>
  <si>
    <t>Adjusted Surplus/(Deficit) 14/15</t>
  </si>
  <si>
    <t>sc 700, 1020</t>
  </si>
  <si>
    <t>sc 710, 1030</t>
  </si>
  <si>
    <t>sc 720</t>
  </si>
  <si>
    <t>sc 730</t>
  </si>
  <si>
    <t>sc 740, 1040</t>
  </si>
  <si>
    <t>sc 750, 1050</t>
  </si>
  <si>
    <t>sc 770, 1070</t>
  </si>
  <si>
    <t>Add back non-recurring 14/15 or FYE 15/16</t>
  </si>
  <si>
    <t>Efficiency movements 15/16:</t>
  </si>
  <si>
    <t>sc 760</t>
  </si>
  <si>
    <t>sc 1060</t>
  </si>
  <si>
    <t>sc 830, 1210, 1220</t>
  </si>
  <si>
    <t>sc 1200</t>
  </si>
  <si>
    <t>sc 800</t>
  </si>
  <si>
    <t>sc 810, 820, 1190</t>
  </si>
  <si>
    <t>sc 950</t>
  </si>
  <si>
    <t>Other Changes for 2015/16:</t>
  </si>
  <si>
    <t>Inflationary Uplift less pay &amp; prices inflation costs</t>
  </si>
  <si>
    <t>sc 790, 1090, 1100, 1110</t>
  </si>
  <si>
    <t>sc 850, 1140</t>
  </si>
  <si>
    <t>sc 860, 870, 880, 890</t>
  </si>
  <si>
    <t>sc 910, 1180</t>
  </si>
  <si>
    <t>sc 960, 1240</t>
  </si>
  <si>
    <t>sc 840, 1130</t>
  </si>
  <si>
    <t>sc 980, 1250</t>
  </si>
  <si>
    <t>sc 970</t>
  </si>
  <si>
    <t>sc 900, 1120</t>
  </si>
  <si>
    <t>sc 920, 930, 1150, 1160</t>
  </si>
  <si>
    <t>sc 940, 1170</t>
  </si>
  <si>
    <t>sc 990, 1230, 1260</t>
  </si>
  <si>
    <t>Other Changes for 15/16:</t>
  </si>
  <si>
    <t>Closing Adjusted Surplus/(Deficit) 15/16</t>
  </si>
  <si>
    <t>sc 1010, 1280</t>
  </si>
  <si>
    <t>Closing Underlying Surplus/(Deficit) 15/16</t>
  </si>
  <si>
    <t>20145/15</t>
  </si>
  <si>
    <t>TRU 65</t>
  </si>
  <si>
    <t>If mc01 = "unidentified" / mc04 = "H"</t>
  </si>
  <si>
    <t>check tables</t>
  </si>
  <si>
    <t>Efficiency Programme</t>
  </si>
  <si>
    <t>Recurrent (R) or Non recurrent (NR)</t>
  </si>
  <si>
    <t>14/15 Monthly Profile (in Year Savings only)</t>
  </si>
  <si>
    <t>Full Year Effect (FYE)</t>
  </si>
  <si>
    <t>Savings in 2015/16 above or below that made in 2014/15</t>
  </si>
  <si>
    <t>Description of scheme</t>
  </si>
  <si>
    <t>Savings schemes 2014/15</t>
  </si>
  <si>
    <t>Total 2014/15 schemes (sc 100)</t>
  </si>
  <si>
    <t>New saving schemes 2015/16</t>
  </si>
  <si>
    <t>New Savings Schemes in 2015/16 £000s</t>
  </si>
  <si>
    <t>Total 2015/16 New schemes (sc 110)</t>
  </si>
  <si>
    <t>Total (sc120)</t>
  </si>
  <si>
    <t>Total 2015/16 Efficiency</t>
  </si>
  <si>
    <t>2015/16 Efficiencies Summary Information</t>
  </si>
  <si>
    <t>2014/15 check</t>
  </si>
  <si>
    <t>2015/16 check</t>
  </si>
  <si>
    <t>TRU 67 (Metrics derived from Source and Application of Funds)</t>
  </si>
  <si>
    <t>Val Neg in 1314</t>
  </si>
  <si>
    <t>Val to pos</t>
  </si>
  <si>
    <t>Efficiency as a percentage of planned expenditure (3 years)</t>
  </si>
  <si>
    <t>2013/14 Total</t>
  </si>
  <si>
    <t>2014/15 Total</t>
  </si>
  <si>
    <t>2015/16 Total</t>
  </si>
  <si>
    <t>Total efficiency achieved 2013/14 and required in 2014/15 and 2015/16</t>
  </si>
  <si>
    <t>Total forecast expenditure in 2013/14 less efficiencies and planned expenditure in 2014/15 and 2015/16 excluding current year efficiencies</t>
  </si>
  <si>
    <t>Drivers of Efficiency in 2014/15 and 2015/16 (2 years only)</t>
  </si>
  <si>
    <t>% of total 2014/15 efficiency</t>
  </si>
  <si>
    <t>% of total 2015/16 efficiency</t>
  </si>
  <si>
    <t>Total efficiency</t>
  </si>
  <si>
    <t>Normalised position (3 years)</t>
  </si>
  <si>
    <t>Retained surplus / (deficit) for the year consistent with TRU01 sc390 mc01,02,15</t>
  </si>
  <si>
    <t>Normalised surplus / (deficit)</t>
  </si>
  <si>
    <t>TRU55 sc296/TRU56 sc535</t>
  </si>
  <si>
    <t>TRU55 sc300 to 316/TRU56 sc452</t>
  </si>
  <si>
    <t>TRU55 sc320 to 325/TRU56 sc488</t>
  </si>
  <si>
    <t>RAG By Month</t>
  </si>
  <si>
    <t>TFMS TDA Monitoring and Accounts</t>
  </si>
  <si>
    <t>2014/2015P13</t>
  </si>
  <si>
    <t xml:space="preserve">Mr Stephen Hubbard  </t>
  </si>
  <si>
    <t>1415TRU_Index_P13 ( 1588477), 1415TRU01_CNE_P13 ( 1588480), 1415TRU02_SFP_P13 ( 1588495), 1415TRU03_STE_P13 ( 1588504), 1415TRU04_CF_P13 ( 1588526), 1415TRU05_REV_P13 ( 1588530), 1415TRU06_EXP_P13 ( 1588537), 1415TRU08_OPL_P13 ( 1588590), 1415TRU09_EMP_P13 ( 1588594), 1415TRU10_EXT_P13 ( 1588610), 1415TRU11_IGF_P13 ( 1588615), 1415TRU12_PPE_P13 ( 1588619), 1415TRU13_INT_P13 ( 1588632), 1415TRU14_IMP_P13 ( 1588640), 1415TRU15_ICG_P13 ( 1588641), 1415TRU16_AST_P13 ( 1588652), 1415TRU17_LIA_P13 ( 1588659), 1415TRU18_FL_P13 ( 1588666), 1415TRU19_PRV_P13 ( 1588674), 1415TRU20_PFI_P13 ( 1588684), 1415TRU20a_PFI_P13 ( 1598518), 1415TRU21_FAL_P13 ( 1588697), 1415TRU22_LSP_P13 ( 1588699), 1415TRU23_CHF_P13 ( 1588703), 1415TRU24_CFN_P13 ( 1588712), 1415TRU25_BVN_P13 ( 1588717), 1415TRU26_CAS_P13 ( 1588721), 1415TRU97_PS_P13 ( 1588769), 1415TRU97A_PS_P13 ( 1588781), 1415TRU98_Sum_P13 ( 1588782), 1415TRU98a_CCG_P13 ( 1588783), 1415TRU98b_NHSE_P13 ( 1588788), 1415TRU98c_NHST_P13 ( 1588793), 1415TRU98d_FT_P13 ( 1588798), 1415TRU98e_LA_P13 ( 1588803), 1415TRU98f_PbCorp_P13 ( 1588808), 1415TRU98g_OGD_P13 ( 1588813), 1415TRU98h_Other_P13 ( 1588818), 1415TRU_Freetext_P13 ( 1588475), 1415TRUb_Metrics_P13 ( 1588823), 1415TRUb1_Criteria_P13 ( 1588824), 1415TRU_Key Data_P13 ( 1588478), 1415TRU01_SCI_MI_P13 ( 1588483), 1415TRU02_SFP_MI_P13 ( 1588488), 1415TRU04_CF_MI_P13 ( 1588510), 1415TRU14_IMP_MI_P13 ( 1588639), 1415TRU19_PRV_MI_P13 ( 1588671), 1415TRU20_PFI_MI_P13 ( 1588678), 1415TRU55_MI_P13 ( 1588724), 1415TRU56_MI_P13 ( 1588735), 1415TRU57_MI_P13 ( 1588743), 1415TRU64_MI_P13 ( 1588748), 1415TRU65_MI_P13 ( 1588758), 1415TRU67_MI_P13 ( 1588763), 1415TRU_COM(A)_P13 ( 1588469), 1415TRU_COM(B)_P13 ( 1588472), 1415TRU_VFR_P13 ( 1588479)</t>
  </si>
  <si>
    <t>Check Contact Entries</t>
  </si>
  <si>
    <t>2014/15 Financial Monitoring and Accounts - Draft/Final Accounts</t>
  </si>
  <si>
    <t>ZZZ NHS TRUST</t>
  </si>
  <si>
    <t>Org code - ZZZ, Region Code - Y29, HA Code - Qxx, Period - 2014/2015P13</t>
  </si>
  <si>
    <t>CPID - 1226, WkBkName - 1415TRU_Index_P13, WkBkID - 1588477</t>
  </si>
  <si>
    <t>CPID - 1226, WkBkName - 1415TRU01_CNE_P13, WkBkID - 1588480</t>
  </si>
  <si>
    <t>CPID - 1226, WkBkName - 1415TRU02_SFP_P13, WkBkID - 1588495</t>
  </si>
  <si>
    <t>CPID - 1226, WkBkName - 1415TRU03_STE_P13, WkBkID - 1588504</t>
  </si>
  <si>
    <t>CPID - 1226, WkBkName - 1415TRU04_CF_P13, WkBkID - 1588526</t>
  </si>
  <si>
    <t>CPID - 1226, WkBkName - 1415TRU05_REV_P13, WkBkID - 1588530</t>
  </si>
  <si>
    <t>CPID - 1226, WkBkName - 1415TRU06_EXP_P13, WkBkID - 1588537</t>
  </si>
  <si>
    <t>CPID - 1226, WkBkName - 1415TRU08_OPL_P13, WkBkID - 1588590</t>
  </si>
  <si>
    <t>CPID - 1226, WkBkName - 1415TRU09_EMP_P13, WkBkID - 1588594</t>
  </si>
  <si>
    <t>CPID - 1226, WkBkName - 1415TRU10_EXT_P13, WkBkID - 1588610</t>
  </si>
  <si>
    <t>CPID - 1226, WkBkName - 1415TRU11_IGF_P13, WkBkID - 1588615</t>
  </si>
  <si>
    <t>CPID - 1226, WkBkName - 1415TRU12_PPE_P13, WkBkID - 1588619</t>
  </si>
  <si>
    <t>CPID - 1226, WkBkName - 1415TRU13_INT_P13, WkBkID - 1588632</t>
  </si>
  <si>
    <t>CPID - 1226, WkBkName - 1415TRU14_IMP_P13, WkBkID - 1588640</t>
  </si>
  <si>
    <t>CPID - 1226, WkBkName - 1415TRU15_ICG_P13, WkBkID - 1588641</t>
  </si>
  <si>
    <t>CPID - 1226, WkBkName - 1415TRU16_AST_P13, WkBkID - 1588652</t>
  </si>
  <si>
    <t>CPID - 1226, WkBkName - 1415TRU17_LIA_P13, WkBkID - 1588659</t>
  </si>
  <si>
    <t>CPID - 1226, WkBkName - 1415TRU18_FL_P13, WkBkID - 1588666</t>
  </si>
  <si>
    <t>CPID - 1226, WkBkName - 1415TRU19_PRV_P13, WkBkID - 1588674</t>
  </si>
  <si>
    <t>CPID - 1226, WkBkName - 1415TRU20_PFI_P13, WkBkID - 1588684</t>
  </si>
  <si>
    <t>CPID - 1226, WkBkName - 1415TRU21_FAL_P13, WkBkID - 1588697</t>
  </si>
  <si>
    <t>CPID - 1226, WkBkName - 1415TRU22_LSP_P13, WkBkID - 1588699</t>
  </si>
  <si>
    <t>CPID - 1226, WkBkName - 1415TRU23_CHF_P13, WkBkID - 1588703</t>
  </si>
  <si>
    <t>CPID - 1226, WkBkName - 1415TRU24_CFN_P13, WkBkID - 1588712</t>
  </si>
  <si>
    <t>CPID - 1226, WkBkName - 1415TRU25_BVN_P13, WkBkID - 1588717</t>
  </si>
  <si>
    <t>REFERENCE DATA ZZZ NHS TRUST</t>
  </si>
  <si>
    <t>CPID - 1226, WkBkName - 1314TRU01_CNE_MI_P16, WkBkID - 0</t>
  </si>
  <si>
    <t>CPID - 1226, WkBkName - 1314TRU01_CNE_P16, WkBkID - 0</t>
  </si>
  <si>
    <t>CPID - 1226, WkBkName - 1314TRU02_SFP_MI_P16, WkBkID - 0</t>
  </si>
  <si>
    <t>CPID - 1226, WkBkName - 1314TRU03_STE_P16, WkBkID - 0</t>
  </si>
  <si>
    <t>CPID - 1226, WkBkName - 1314TRU03_STE_P49, WkBkID - 0</t>
  </si>
  <si>
    <t>CPID - 1226, WkBkName - 1314TRU04_CF_P16, WkBkID - 0</t>
  </si>
  <si>
    <t>CPID - 1226, WkBkName - 1314TRU05_REV_P16, WkBkID - 0</t>
  </si>
  <si>
    <t>CPID - 1226, WkBkName - 1314TRU06_EXP_P16, WkBkID - 0</t>
  </si>
  <si>
    <t>CPID - 1226, WkBkName - 1314TRU08_OPL_P16, WkBkID - 0</t>
  </si>
  <si>
    <t>CPID - 1226, WkBkName - 1314TRU09_EMP_P16, WkBkID - 0</t>
  </si>
  <si>
    <t>CPID - 1226, WkBkName - 1314TRU10_EXT_P16, WkBkID - 0</t>
  </si>
  <si>
    <t>CPID - 1226, WkBkName - 1314TRU11_IGF_P16, WkBkID - 0</t>
  </si>
  <si>
    <t>CPID - 1226, WkBkName - 1314TRU12_PPE_P16, WkBkID - 0</t>
  </si>
  <si>
    <t>CPID - 1226, WkBkName - 1314TRU12_PPE_P49, WkBkID - 0</t>
  </si>
  <si>
    <t>CPID - 1226, WkBkName - 1314TRU13_INT_P16, WkBkID - 0</t>
  </si>
  <si>
    <t>CPID - 1226, WkBkName - 1314TRU13_INT_P49, WkBkID - 0</t>
  </si>
  <si>
    <t>CPID - 1226, WkBkName - 1314TRU15_ICG_P16, WkBkID - 0</t>
  </si>
  <si>
    <t>CPID - 1226, WkBkName - 1314TRU15_ICG_P49, WkBkID - 0</t>
  </si>
  <si>
    <t>CPID - 1226, WkBkName - 1314TRU16_AST_P16, WkBkID - 0</t>
  </si>
  <si>
    <t>CPID - 1226, WkBkName - 1314TRU16_AST_P49, WkBkID - 0</t>
  </si>
  <si>
    <t>CPID - 1226, WkBkName - 1314TRU17_LIA_P16, WkBkID - 0</t>
  </si>
  <si>
    <t>CPID - 1226, WkBkName - 1314TRU17_LIA_P49, WkBkID - 0</t>
  </si>
  <si>
    <t>CPID - 1226, WkBkName - 1314TRU18_FL_P16, WkBkID - 0</t>
  </si>
  <si>
    <t>CPID - 1226, WkBkName - 1314TRU19_PRV_P16, WkBkID - 0</t>
  </si>
  <si>
    <t>CPID - 1226, WkBkName - 1314TRU19_PRV_P49, WkBkID - 0</t>
  </si>
  <si>
    <t>CPID - 1226, WkBkName - 1314TRU20_PFI_P16, WkBkID - 0</t>
  </si>
  <si>
    <t>CPID - 1226, WkBkName - 1314TRU21_FAL_P16, WkBkID - 0</t>
  </si>
  <si>
    <t>CPID - 1226, WkBkName - 1314TRU25_BVN_P16, WkBkID - 0</t>
  </si>
  <si>
    <t>CPID - 1226, WkBkName - 1314TRU54_MI_P16, WkBkID - 0</t>
  </si>
  <si>
    <t>CPID - 1226, WkBkName - 1314TRU64_MI_P16, WkBkID - 0</t>
  </si>
  <si>
    <t>CPID - 1226, WkBkName - 1314TRU65_MI_P16, WkBkID - 0</t>
  </si>
  <si>
    <t>CPID - 1226, WkBkName - 1314TRU_Key Data_P16, WkBkID - 0</t>
  </si>
  <si>
    <t>CPID - 1226, WkBkName - 1415TRU01_CNE_P15, WkBkID - 0</t>
  </si>
  <si>
    <t>CPID - 1226, WkBkName - 1415TRU01_SCI_MI_P11, WkBkID - 0</t>
  </si>
  <si>
    <t>CPID - 1226, WkBkName - 1415TRU02_SFP_P15, WkBkID - 0</t>
  </si>
  <si>
    <t>CPID - 1226, WkBkName - 1415TRU04_CF_MI_P09, WkBkID - 0</t>
  </si>
  <si>
    <t>CPID - 1226, WkBkName - 1415TRU04_CF_P15, WkBkID - 0</t>
  </si>
  <si>
    <t>CPID - 1226, WkBkName - 1415TRU05_REV_P15, WkBkID - 0</t>
  </si>
  <si>
    <t>CPID - 1226, WkBkName - 1415TRU06_EXP_P15, WkBkID - 0</t>
  </si>
  <si>
    <t>CPID - 1226, WkBkName - 1415TRU14_IMP_P15, WkBkID - 0</t>
  </si>
  <si>
    <t>CPID - 1226, WkBkName - 1415TRU19_PRV_P15, WkBkID - 0</t>
  </si>
  <si>
    <t>CPID - 1226, WkBkName - 1415TRU20_PFI_MI_P11, WkBkID - 0</t>
  </si>
  <si>
    <t>CPID - 1226, WkBkName - 1415TRU20_PFI_P15, WkBkID - 0</t>
  </si>
  <si>
    <t>CPID - 1226, WkBkName - 1415TRU55_MI_P11, WkBkID - 0</t>
  </si>
  <si>
    <t>CPID - 1226, WkBkName - 1415TRU55_MI_P15, WkBkID - 0</t>
  </si>
  <si>
    <t>CPID - 1226, WkBkName - 1415TRU56_MI_P15, WkBkID - 0</t>
  </si>
  <si>
    <t>CPID - 1226, WkBkName - 1415TRU57_MI_P11, WkBkID - 0</t>
  </si>
  <si>
    <t>CPID - 1226, WkBkName - 1415TRU63_MI_P15, WkBkID - 0</t>
  </si>
  <si>
    <t>CPID - 1226, WkBkName - 1415TRU64_MI_P09, WkBkID - 0</t>
  </si>
  <si>
    <t>CPID - 1226, WkBkName - 1415TRU64_MI_P15, WkBkID - 0</t>
  </si>
  <si>
    <t>CPID - 1226, WkBkName - 1415TRU65_MI_P15, WkBkID - 0</t>
  </si>
  <si>
    <t>CPID - 1226, WkBkName - 1415TRU67_MI_P15, WkBkID - 0</t>
  </si>
  <si>
    <t>CPID - 1226, WkBkName - 1415TRU_Key Data_P11, WkBkID - 0</t>
  </si>
  <si>
    <t>CPID - 1226, WkBkName - 1415TRUb_Metrics_P11, WkBkID - 0</t>
  </si>
  <si>
    <t>Qxx</t>
  </si>
  <si>
    <t>ZZZ</t>
  </si>
  <si>
    <t>Y29</t>
  </si>
  <si>
    <t>xxx</t>
  </si>
  <si>
    <t>xxxxx</t>
  </si>
  <si>
    <t>dummy</t>
  </si>
  <si>
    <t>Bank Staff Included in Other Agency/Contract (mc04)</t>
  </si>
  <si>
    <t>Name of Supplier of Bank Staff included in Other Agency/Contract (sc720)</t>
  </si>
  <si>
    <t>Change in Fair Value of Financial Liabilities Through the SoCI</t>
  </si>
  <si>
    <t>Inter Agency (PHE)</t>
  </si>
  <si>
    <t>Inter NHS England   (Incl. CCGs)</t>
  </si>
  <si>
    <t>Prior Year Comparators</t>
  </si>
  <si>
    <t>TRU Accounts PopFix V01</t>
  </si>
  <si>
    <t>Fix Macros Applied</t>
  </si>
  <si>
    <t>PopFix 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</si>
</sst>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Red]0;;0"/>
    <numFmt numFmtId="165" formatCode="#,##0;[Red]\(#,##0\)"/>
    <numFmt numFmtId="166" formatCode="#,##0.0;[Red]\(#,##0.0\)"/>
    <numFmt numFmtId="167" formatCode="#,##0.00;[Red]\(#,##0.00\)"/>
    <numFmt numFmtId="168" formatCode="###0"/>
    <numFmt numFmtId="169" formatCode="mmm\-yyyy"/>
  </numFmts>
  <fonts count="38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9"/>
      <name val="MS Sans Serif"/>
      <family val="2"/>
    </font>
    <font>
      <sz val="10"/>
      <color indexed="18"/>
      <name val="MS Sans Serif"/>
      <family val="2"/>
    </font>
    <font>
      <u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FF"/>
      <name val="Arial"/>
      <family val="2"/>
    </font>
    <font>
      <u/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8080"/>
        <bgColor indexed="64"/>
      </patternFill>
    </fill>
    <fill>
      <patternFill patternType="gray0625">
        <fgColor rgb="FF000000"/>
      </patternFill>
    </fill>
    <fill>
      <patternFill patternType="solid">
        <fgColor rgb="FFC0C0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6CAF0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FF0000"/>
      </left>
      <right/>
      <top style="thin">
        <color indexed="64"/>
      </top>
      <bottom/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medium">
        <color indexed="64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 style="thin">
        <color indexed="64"/>
      </left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thin">
        <color indexed="64"/>
      </left>
      <right style="medium">
        <color indexed="64"/>
      </right>
      <top style="double">
        <color rgb="FFFF0000"/>
      </top>
      <bottom/>
      <diagonal/>
    </border>
    <border>
      <left style="double">
        <color indexed="64"/>
      </left>
      <right/>
      <top style="double">
        <color rgb="FFFF0000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FF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rgb="FFFF0000"/>
      </bottom>
      <diagonal/>
    </border>
    <border>
      <left style="thin">
        <color indexed="64"/>
      </left>
      <right/>
      <top style="double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 style="thin">
        <color indexed="64"/>
      </left>
      <right/>
      <top style="medium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double">
        <color rgb="FFFF0000"/>
      </bottom>
      <diagonal/>
    </border>
    <border>
      <left style="double">
        <color rgb="FFFF0000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43">
    <xf numFmtId="0" fontId="0" fillId="0" borderId="0" xfId="0"/>
    <xf numFmtId="0" fontId="1" fillId="0" borderId="1" xfId="2" applyBorder="1" applyProtection="1">
      <protection hidden="1"/>
    </xf>
    <xf numFmtId="0" fontId="2" fillId="0" borderId="0" xfId="2" applyFont="1" applyProtection="1">
      <protection hidden="1"/>
    </xf>
    <xf numFmtId="0" fontId="1" fillId="0" borderId="0" xfId="2" applyProtection="1">
      <protection hidden="1"/>
    </xf>
    <xf numFmtId="0" fontId="1" fillId="0" borderId="2" xfId="2" applyBorder="1" applyProtection="1">
      <protection hidden="1"/>
    </xf>
    <xf numFmtId="0" fontId="3" fillId="0" borderId="3" xfId="2" applyFont="1" applyBorder="1" applyAlignment="1" applyProtection="1">
      <alignment horizontal="left"/>
      <protection hidden="1"/>
    </xf>
    <xf numFmtId="0" fontId="2" fillId="0" borderId="4" xfId="2" applyFont="1" applyBorder="1" applyProtection="1">
      <protection hidden="1"/>
    </xf>
    <xf numFmtId="0" fontId="4" fillId="0" borderId="5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2" fillId="0" borderId="6" xfId="2" applyFont="1" applyBorder="1" applyProtection="1">
      <protection hidden="1"/>
    </xf>
    <xf numFmtId="0" fontId="4" fillId="0" borderId="0" xfId="2" applyFont="1" applyBorder="1" applyProtection="1">
      <protection hidden="1"/>
    </xf>
    <xf numFmtId="0" fontId="5" fillId="0" borderId="0" xfId="2" applyFont="1" applyBorder="1" applyProtection="1">
      <protection hidden="1"/>
    </xf>
    <xf numFmtId="0" fontId="6" fillId="0" borderId="0" xfId="2" applyFont="1" applyProtection="1">
      <protection hidden="1"/>
    </xf>
    <xf numFmtId="0" fontId="7" fillId="0" borderId="0" xfId="2" applyFont="1" applyProtection="1">
      <protection hidden="1"/>
    </xf>
    <xf numFmtId="0" fontId="5" fillId="0" borderId="7" xfId="2" applyFont="1" applyBorder="1" applyAlignment="1" applyProtection="1">
      <alignment horizontal="left" wrapText="1"/>
      <protection hidden="1"/>
    </xf>
    <xf numFmtId="0" fontId="1" fillId="0" borderId="6" xfId="2" applyBorder="1" applyProtection="1">
      <protection hidden="1"/>
    </xf>
    <xf numFmtId="0" fontId="5" fillId="0" borderId="8" xfId="2" applyFont="1" applyBorder="1" applyAlignment="1" applyProtection="1">
      <alignment horizontal="left" wrapText="1"/>
      <protection hidden="1"/>
    </xf>
    <xf numFmtId="0" fontId="5" fillId="0" borderId="0" xfId="2" applyFont="1" applyBorder="1" applyAlignment="1" applyProtection="1">
      <alignment horizontal="left"/>
      <protection hidden="1"/>
    </xf>
    <xf numFmtId="0" fontId="9" fillId="0" borderId="0" xfId="2" applyFont="1" applyBorder="1" applyProtection="1">
      <protection hidden="1"/>
    </xf>
    <xf numFmtId="0" fontId="1" fillId="0" borderId="0" xfId="2" applyBorder="1" applyProtection="1">
      <protection hidden="1"/>
    </xf>
    <xf numFmtId="0" fontId="8" fillId="0" borderId="0" xfId="2" applyFont="1" applyBorder="1" applyProtection="1">
      <protection hidden="1"/>
    </xf>
    <xf numFmtId="0" fontId="5" fillId="0" borderId="0" xfId="2" applyFont="1" applyBorder="1" applyAlignment="1" applyProtection="1">
      <alignment horizontal="left" wrapText="1"/>
      <protection hidden="1"/>
    </xf>
    <xf numFmtId="0" fontId="11" fillId="0" borderId="0" xfId="2" applyFont="1" applyProtection="1">
      <protection hidden="1"/>
    </xf>
    <xf numFmtId="0" fontId="12" fillId="0" borderId="9" xfId="2" applyFont="1" applyBorder="1" applyAlignment="1" applyProtection="1">
      <alignment horizontal="left" wrapText="1"/>
      <protection hidden="1"/>
    </xf>
    <xf numFmtId="0" fontId="7" fillId="2" borderId="0" xfId="2" applyFont="1" applyFill="1" applyBorder="1" applyProtection="1">
      <protection hidden="1"/>
    </xf>
    <xf numFmtId="0" fontId="11" fillId="3" borderId="7" xfId="2" applyFont="1" applyFill="1" applyBorder="1" applyAlignment="1" applyProtection="1">
      <alignment horizontal="left" wrapText="1"/>
      <protection locked="0" hidden="1"/>
    </xf>
    <xf numFmtId="0" fontId="1" fillId="0" borderId="0" xfId="2" applyFont="1" applyBorder="1" applyProtection="1">
      <protection hidden="1"/>
    </xf>
    <xf numFmtId="0" fontId="11" fillId="0" borderId="6" xfId="2" applyFont="1" applyBorder="1" applyProtection="1">
      <protection hidden="1"/>
    </xf>
    <xf numFmtId="0" fontId="1" fillId="0" borderId="0" xfId="2" applyFont="1" applyBorder="1" applyAlignment="1" applyProtection="1">
      <alignment horizontal="left" wrapText="1"/>
      <protection hidden="1"/>
    </xf>
    <xf numFmtId="0" fontId="6" fillId="0" borderId="0" xfId="2" applyFont="1" applyBorder="1" applyProtection="1">
      <protection hidden="1"/>
    </xf>
    <xf numFmtId="0" fontId="1" fillId="0" borderId="7" xfId="2" applyFont="1" applyBorder="1" applyAlignment="1" applyProtection="1">
      <alignment horizontal="left" wrapText="1"/>
      <protection hidden="1"/>
    </xf>
    <xf numFmtId="0" fontId="1" fillId="0" borderId="10" xfId="2" applyFont="1" applyBorder="1" applyAlignment="1" applyProtection="1">
      <alignment horizontal="left" wrapText="1"/>
      <protection hidden="1"/>
    </xf>
    <xf numFmtId="0" fontId="6" fillId="0" borderId="2" xfId="2" applyFont="1" applyBorder="1" applyProtection="1">
      <protection hidden="1"/>
    </xf>
    <xf numFmtId="0" fontId="13" fillId="0" borderId="2" xfId="2" applyFont="1" applyBorder="1" applyAlignment="1" applyProtection="1">
      <alignment horizontal="center" wrapText="1"/>
      <protection hidden="1"/>
    </xf>
    <xf numFmtId="0" fontId="1" fillId="0" borderId="8" xfId="2" applyFont="1" applyBorder="1" applyAlignment="1" applyProtection="1">
      <alignment horizontal="left" wrapText="1"/>
      <protection hidden="1"/>
    </xf>
    <xf numFmtId="0" fontId="2" fillId="0" borderId="2" xfId="2" applyFont="1" applyBorder="1" applyProtection="1">
      <protection hidden="1"/>
    </xf>
    <xf numFmtId="0" fontId="1" fillId="0" borderId="11" xfId="2" applyBorder="1" applyProtection="1">
      <protection hidden="1"/>
    </xf>
    <xf numFmtId="0" fontId="1" fillId="0" borderId="12" xfId="2" applyBorder="1" applyProtection="1">
      <protection hidden="1"/>
    </xf>
    <xf numFmtId="0" fontId="1" fillId="0" borderId="13" xfId="2" applyBorder="1" applyProtection="1">
      <protection hidden="1"/>
    </xf>
    <xf numFmtId="0" fontId="1" fillId="0" borderId="12" xfId="2" applyFont="1" applyBorder="1" applyAlignment="1" applyProtection="1">
      <alignment horizontal="left" wrapText="1"/>
      <protection hidden="1"/>
    </xf>
    <xf numFmtId="0" fontId="14" fillId="0" borderId="0" xfId="0" applyFont="1"/>
    <xf numFmtId="0" fontId="11" fillId="0" borderId="0" xfId="0" applyFont="1"/>
    <xf numFmtId="0" fontId="1" fillId="0" borderId="0" xfId="2" applyBorder="1" applyProtection="1">
      <protection locked="0" hidden="1"/>
    </xf>
    <xf numFmtId="164" fontId="10" fillId="0" borderId="8" xfId="2" applyNumberFormat="1" applyFont="1" applyBorder="1" applyAlignment="1" applyProtection="1">
      <alignment horizontal="left" wrapText="1"/>
      <protection hidden="1"/>
    </xf>
    <xf numFmtId="0" fontId="8" fillId="0" borderId="8" xfId="2" applyFont="1" applyBorder="1" applyAlignment="1" applyProtection="1">
      <alignment horizontal="left" wrapText="1"/>
      <protection hidden="1"/>
    </xf>
    <xf numFmtId="0" fontId="11" fillId="4" borderId="8" xfId="2" applyFont="1" applyFill="1" applyBorder="1" applyAlignment="1" applyProtection="1">
      <alignment horizontal="left" wrapText="1"/>
      <protection locked="0"/>
    </xf>
    <xf numFmtId="0" fontId="11" fillId="4" borderId="10" xfId="2" applyFont="1" applyFill="1" applyBorder="1" applyAlignment="1" applyProtection="1">
      <alignment horizontal="left" wrapText="1"/>
      <protection locked="0"/>
    </xf>
    <xf numFmtId="0" fontId="1" fillId="0" borderId="14" xfId="2" applyBorder="1" applyProtection="1">
      <protection hidden="1"/>
    </xf>
    <xf numFmtId="0" fontId="1" fillId="0" borderId="15" xfId="2" applyBorder="1" applyProtection="1">
      <protection hidden="1"/>
    </xf>
    <xf numFmtId="0" fontId="4" fillId="0" borderId="14" xfId="2" applyFont="1" applyBorder="1" applyProtection="1">
      <protection hidden="1"/>
    </xf>
    <xf numFmtId="0" fontId="1" fillId="4" borderId="9" xfId="2" applyFont="1" applyFill="1" applyBorder="1" applyProtection="1">
      <protection locked="0"/>
    </xf>
    <xf numFmtId="0" fontId="15" fillId="0" borderId="0" xfId="2" applyFont="1" applyBorder="1" applyProtection="1"/>
    <xf numFmtId="0" fontId="15" fillId="0" borderId="7" xfId="2" applyFont="1" applyBorder="1" applyAlignment="1" applyProtection="1">
      <alignment horizontal="left" wrapText="1"/>
      <protection hidden="1"/>
    </xf>
    <xf numFmtId="0" fontId="15" fillId="0" borderId="10" xfId="2" applyFont="1" applyBorder="1" applyAlignment="1" applyProtection="1">
      <alignment horizontal="left" wrapText="1"/>
      <protection hidden="1"/>
    </xf>
    <xf numFmtId="0" fontId="2" fillId="0" borderId="0" xfId="2" applyFont="1" applyBorder="1" applyProtection="1"/>
    <xf numFmtId="0" fontId="2" fillId="0" borderId="0" xfId="2" applyFont="1" applyProtection="1"/>
    <xf numFmtId="0" fontId="0" fillId="0" borderId="0" xfId="0" applyBorder="1"/>
    <xf numFmtId="0" fontId="20" fillId="0" borderId="0" xfId="0" applyFont="1" applyBorder="1" applyAlignment="1"/>
    <xf numFmtId="0" fontId="2" fillId="0" borderId="16" xfId="2" applyFont="1" applyBorder="1" applyProtection="1"/>
    <xf numFmtId="0" fontId="11" fillId="0" borderId="0" xfId="2" applyFont="1" applyProtection="1"/>
    <xf numFmtId="0" fontId="2" fillId="0" borderId="17" xfId="2" applyFont="1" applyBorder="1" applyProtection="1"/>
    <xf numFmtId="0" fontId="2" fillId="0" borderId="18" xfId="2" applyFont="1" applyBorder="1" applyProtection="1"/>
    <xf numFmtId="0" fontId="2" fillId="0" borderId="19" xfId="2" applyFont="1" applyBorder="1" applyProtection="1"/>
    <xf numFmtId="0" fontId="2" fillId="0" borderId="20" xfId="2" applyFont="1" applyBorder="1" applyProtection="1"/>
    <xf numFmtId="0" fontId="2" fillId="0" borderId="21" xfId="2" applyFont="1" applyBorder="1" applyProtection="1"/>
    <xf numFmtId="0" fontId="0" fillId="0" borderId="0" xfId="0" applyBorder="1" applyProtection="1"/>
    <xf numFmtId="0" fontId="0" fillId="0" borderId="21" xfId="0" applyBorder="1" applyProtection="1"/>
    <xf numFmtId="0" fontId="18" fillId="0" borderId="20" xfId="2" applyFont="1" applyBorder="1" applyAlignment="1" applyProtection="1">
      <alignment horizontal="left"/>
    </xf>
    <xf numFmtId="0" fontId="20" fillId="0" borderId="21" xfId="0" applyFont="1" applyBorder="1" applyAlignment="1" applyProtection="1"/>
    <xf numFmtId="0" fontId="19" fillId="0" borderId="20" xfId="2" applyFont="1" applyBorder="1" applyProtection="1"/>
    <xf numFmtId="0" fontId="16" fillId="0" borderId="20" xfId="2" applyFont="1" applyBorder="1" applyProtection="1"/>
    <xf numFmtId="0" fontId="22" fillId="0" borderId="0" xfId="0" applyFont="1" applyBorder="1" applyProtection="1"/>
    <xf numFmtId="0" fontId="22" fillId="0" borderId="0" xfId="0" applyFont="1" applyBorder="1" applyAlignment="1" applyProtection="1">
      <alignment horizontal="right"/>
    </xf>
    <xf numFmtId="0" fontId="2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24" fillId="0" borderId="0" xfId="0" applyFont="1" applyBorder="1" applyAlignment="1" applyProtection="1">
      <alignment horizontal="right"/>
    </xf>
    <xf numFmtId="0" fontId="0" fillId="0" borderId="0" xfId="0" applyProtection="1"/>
    <xf numFmtId="0" fontId="2" fillId="0" borderId="23" xfId="2" applyFont="1" applyBorder="1" applyProtection="1"/>
    <xf numFmtId="0" fontId="2" fillId="0" borderId="24" xfId="2" applyFont="1" applyBorder="1" applyProtection="1"/>
    <xf numFmtId="0" fontId="26" fillId="0" borderId="21" xfId="0" applyFont="1" applyBorder="1" applyProtection="1"/>
    <xf numFmtId="0" fontId="25" fillId="5" borderId="22" xfId="0" applyFont="1" applyFill="1" applyBorder="1" applyProtection="1"/>
    <xf numFmtId="0" fontId="22" fillId="5" borderId="22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right"/>
      <protection hidden="1"/>
    </xf>
    <xf numFmtId="0" fontId="28" fillId="0" borderId="0" xfId="0" applyFont="1" applyBorder="1" applyAlignment="1" applyProtection="1">
      <alignment horizontal="right"/>
      <protection hidden="1"/>
    </xf>
    <xf numFmtId="0" fontId="25" fillId="0" borderId="0" xfId="0" applyFont="1" applyFill="1" applyBorder="1" applyProtection="1"/>
    <xf numFmtId="0" fontId="0" fillId="0" borderId="0" xfId="0" applyFill="1" applyBorder="1" applyProtection="1"/>
    <xf numFmtId="0" fontId="17" fillId="5" borderId="22" xfId="1" applyFill="1" applyBorder="1" applyAlignment="1" applyProtection="1"/>
    <xf numFmtId="0" fontId="17" fillId="5" borderId="22" xfId="1" applyFill="1" applyBorder="1" applyAlignment="1" applyProtection="1">
      <alignment wrapText="1"/>
      <protection locked="0"/>
    </xf>
    <xf numFmtId="0" fontId="23" fillId="5" borderId="22" xfId="0" applyFont="1" applyFill="1" applyBorder="1" applyProtection="1"/>
    <xf numFmtId="0" fontId="4" fillId="0" borderId="27" xfId="2" applyFont="1" applyBorder="1" applyProtection="1">
      <protection hidden="1"/>
    </xf>
    <xf numFmtId="0" fontId="1" fillId="4" borderId="28" xfId="2" applyFont="1" applyFill="1" applyBorder="1" applyProtection="1">
      <protection locked="0"/>
    </xf>
    <xf numFmtId="0" fontId="4" fillId="0" borderId="3" xfId="2" applyFont="1" applyBorder="1" applyAlignment="1" applyProtection="1">
      <alignment wrapText="1"/>
      <protection hidden="1"/>
    </xf>
    <xf numFmtId="0" fontId="1" fillId="4" borderId="9" xfId="2" applyFont="1" applyFill="1" applyBorder="1" applyAlignment="1" applyProtection="1">
      <alignment wrapText="1"/>
      <protection locked="0"/>
    </xf>
    <xf numFmtId="49" fontId="17" fillId="5" borderId="22" xfId="1" applyNumberFormat="1" applyFill="1" applyBorder="1" applyAlignment="1" applyProtection="1">
      <alignment horizontal="left"/>
    </xf>
    <xf numFmtId="0" fontId="2" fillId="6" borderId="22" xfId="0" applyFont="1" applyFill="1" applyBorder="1" applyAlignment="1" applyProtection="1">
      <alignment horizontal="left"/>
    </xf>
    <xf numFmtId="0" fontId="0" fillId="6" borderId="22" xfId="0" applyFill="1" applyBorder="1" applyAlignment="1" applyProtection="1">
      <alignment horizontal="left"/>
    </xf>
    <xf numFmtId="0" fontId="4" fillId="0" borderId="0" xfId="0" applyFont="1"/>
    <xf numFmtId="0" fontId="29" fillId="0" borderId="0" xfId="0" applyFont="1"/>
    <xf numFmtId="0" fontId="0" fillId="7" borderId="0" xfId="0" applyFill="1"/>
    <xf numFmtId="0" fontId="0" fillId="0" borderId="0" xfId="0" applyAlignment="1"/>
    <xf numFmtId="0" fontId="30" fillId="0" borderId="0" xfId="0" applyFont="1" applyAlignment="1"/>
    <xf numFmtId="0" fontId="30" fillId="0" borderId="0" xfId="0" applyNumberFormat="1" applyFont="1" applyAlignment="1"/>
    <xf numFmtId="0" fontId="29" fillId="0" borderId="0" xfId="0" applyFont="1" applyAlignment="1"/>
    <xf numFmtId="0" fontId="29" fillId="0" borderId="0" xfId="0" applyNumberFormat="1" applyFont="1" applyAlignment="1"/>
    <xf numFmtId="165" fontId="0" fillId="0" borderId="0" xfId="0" applyNumberFormat="1"/>
    <xf numFmtId="165" fontId="0" fillId="0" borderId="0" xfId="0" applyNumberFormat="1" applyAlignment="1"/>
    <xf numFmtId="165" fontId="0" fillId="7" borderId="0" xfId="0" applyNumberFormat="1" applyFill="1" applyAlignment="1"/>
    <xf numFmtId="0" fontId="31" fillId="0" borderId="0" xfId="0" applyFont="1"/>
    <xf numFmtId="0" fontId="30" fillId="0" borderId="0" xfId="0" applyFont="1"/>
    <xf numFmtId="165" fontId="0" fillId="8" borderId="0" xfId="0" applyNumberFormat="1" applyFill="1" applyAlignment="1"/>
    <xf numFmtId="0" fontId="0" fillId="0" borderId="29" xfId="0" applyBorder="1"/>
    <xf numFmtId="0" fontId="0" fillId="0" borderId="31" xfId="0" applyBorder="1"/>
    <xf numFmtId="0" fontId="0" fillId="0" borderId="2" xfId="0" applyBorder="1"/>
    <xf numFmtId="0" fontId="0" fillId="0" borderId="33" xfId="0" applyBorder="1"/>
    <xf numFmtId="0" fontId="0" fillId="0" borderId="34" xfId="0" applyBorder="1"/>
    <xf numFmtId="0" fontId="0" fillId="0" borderId="37" xfId="0" applyBorder="1"/>
    <xf numFmtId="0" fontId="29" fillId="9" borderId="31" xfId="0" applyFont="1" applyFill="1" applyBorder="1"/>
    <xf numFmtId="0" fontId="29" fillId="10" borderId="32" xfId="0" applyFont="1" applyFill="1" applyBorder="1"/>
    <xf numFmtId="0" fontId="29" fillId="9" borderId="34" xfId="0" applyFont="1" applyFill="1" applyBorder="1"/>
    <xf numFmtId="0" fontId="0" fillId="0" borderId="39" xfId="0" applyBorder="1"/>
    <xf numFmtId="0" fontId="29" fillId="10" borderId="40" xfId="0" applyFont="1" applyFill="1" applyBorder="1"/>
    <xf numFmtId="0" fontId="29" fillId="8" borderId="34" xfId="0" applyNumberFormat="1" applyFont="1" applyFill="1" applyBorder="1" applyAlignment="1">
      <alignment horizontal="center"/>
    </xf>
    <xf numFmtId="0" fontId="29" fillId="8" borderId="40" xfId="0" applyFont="1" applyFill="1" applyBorder="1" applyAlignment="1">
      <alignment horizontal="center"/>
    </xf>
    <xf numFmtId="0" fontId="29" fillId="9" borderId="38" xfId="0" applyNumberFormat="1" applyFont="1" applyFill="1" applyBorder="1" applyAlignment="1">
      <alignment horizontal="center" wrapText="1"/>
    </xf>
    <xf numFmtId="0" fontId="0" fillId="0" borderId="41" xfId="0" applyBorder="1"/>
    <xf numFmtId="0" fontId="29" fillId="10" borderId="42" xfId="0" applyNumberFormat="1" applyFont="1" applyFill="1" applyBorder="1" applyAlignment="1">
      <alignment horizontal="center" wrapText="1"/>
    </xf>
    <xf numFmtId="0" fontId="29" fillId="0" borderId="30" xfId="0" applyFont="1" applyBorder="1"/>
    <xf numFmtId="0" fontId="0" fillId="0" borderId="33" xfId="0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7" xfId="0" applyNumberFormat="1" applyFont="1" applyBorder="1" applyAlignment="1">
      <alignment horizontal="center"/>
    </xf>
    <xf numFmtId="0" fontId="29" fillId="0" borderId="29" xfId="0" applyFont="1" applyBorder="1"/>
    <xf numFmtId="0" fontId="0" fillId="0" borderId="2" xfId="0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6" xfId="0" applyNumberFormat="1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6" xfId="0" applyBorder="1" applyAlignment="1">
      <alignment horizontal="center"/>
    </xf>
    <xf numFmtId="0" fontId="30" fillId="0" borderId="46" xfId="0" applyNumberFormat="1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0" fillId="0" borderId="2" xfId="0" applyBorder="1" applyAlignment="1"/>
    <xf numFmtId="0" fontId="30" fillId="0" borderId="2" xfId="0" applyFont="1" applyBorder="1" applyAlignment="1"/>
    <xf numFmtId="0" fontId="0" fillId="0" borderId="45" xfId="0" applyBorder="1" applyAlignment="1"/>
    <xf numFmtId="0" fontId="30" fillId="0" borderId="45" xfId="0" applyFont="1" applyBorder="1" applyAlignment="1"/>
    <xf numFmtId="0" fontId="30" fillId="0" borderId="45" xfId="0" applyFont="1" applyBorder="1" applyAlignment="1">
      <alignment horizontal="center"/>
    </xf>
    <xf numFmtId="0" fontId="30" fillId="0" borderId="45" xfId="0" applyNumberFormat="1" applyFont="1" applyBorder="1" applyAlignment="1"/>
    <xf numFmtId="0" fontId="30" fillId="0" borderId="45" xfId="0" applyNumberFormat="1" applyFont="1" applyBorder="1" applyAlignment="1">
      <alignment horizontal="center"/>
    </xf>
    <xf numFmtId="0" fontId="29" fillId="0" borderId="44" xfId="0" applyFont="1" applyBorder="1"/>
    <xf numFmtId="0" fontId="29" fillId="0" borderId="47" xfId="0" applyFont="1" applyBorder="1"/>
    <xf numFmtId="0" fontId="29" fillId="10" borderId="47" xfId="0" applyFont="1" applyFill="1" applyBorder="1"/>
    <xf numFmtId="0" fontId="0" fillId="10" borderId="48" xfId="0" applyFill="1" applyBorder="1"/>
    <xf numFmtId="0" fontId="0" fillId="8" borderId="48" xfId="0" applyFill="1" applyBorder="1" applyAlignment="1">
      <alignment horizontal="center"/>
    </xf>
    <xf numFmtId="0" fontId="30" fillId="10" borderId="49" xfId="0" applyNumberFormat="1" applyFont="1" applyFill="1" applyBorder="1" applyAlignment="1">
      <alignment horizontal="center"/>
    </xf>
    <xf numFmtId="0" fontId="29" fillId="0" borderId="44" xfId="0" applyFont="1" applyBorder="1" applyAlignment="1"/>
    <xf numFmtId="0" fontId="0" fillId="0" borderId="0" xfId="0" applyAlignment="1">
      <alignment horizontal="center"/>
    </xf>
    <xf numFmtId="0" fontId="29" fillId="0" borderId="44" xfId="0" applyNumberFormat="1" applyFont="1" applyBorder="1" applyAlignment="1"/>
    <xf numFmtId="0" fontId="0" fillId="0" borderId="50" xfId="0" applyBorder="1"/>
    <xf numFmtId="0" fontId="0" fillId="0" borderId="50" xfId="0" applyBorder="1" applyAlignment="1">
      <alignment horizontal="center"/>
    </xf>
    <xf numFmtId="0" fontId="30" fillId="0" borderId="51" xfId="0" applyNumberFormat="1" applyFont="1" applyBorder="1" applyAlignment="1">
      <alignment horizontal="center"/>
    </xf>
    <xf numFmtId="0" fontId="0" fillId="0" borderId="33" xfId="0" applyBorder="1" applyAlignment="1"/>
    <xf numFmtId="0" fontId="30" fillId="0" borderId="33" xfId="0" applyFont="1" applyBorder="1" applyAlignment="1"/>
    <xf numFmtId="0" fontId="29" fillId="0" borderId="29" xfId="0" applyFont="1" applyBorder="1" applyAlignment="1"/>
    <xf numFmtId="0" fontId="30" fillId="0" borderId="29" xfId="0" applyFont="1" applyBorder="1"/>
    <xf numFmtId="0" fontId="30" fillId="0" borderId="2" xfId="0" applyNumberFormat="1" applyFont="1" applyBorder="1" applyAlignment="1"/>
    <xf numFmtId="0" fontId="30" fillId="0" borderId="29" xfId="0" applyNumberFormat="1" applyFont="1" applyBorder="1" applyAlignment="1"/>
    <xf numFmtId="0" fontId="30" fillId="0" borderId="2" xfId="0" applyNumberFormat="1" applyFont="1" applyBorder="1" applyAlignment="1">
      <alignment horizontal="center"/>
    </xf>
    <xf numFmtId="0" fontId="30" fillId="0" borderId="2" xfId="0" applyFont="1" applyBorder="1"/>
    <xf numFmtId="0" fontId="29" fillId="0" borderId="30" xfId="0" applyFont="1" applyBorder="1" applyAlignment="1"/>
    <xf numFmtId="0" fontId="29" fillId="0" borderId="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4" xfId="0" applyNumberFormat="1" applyFont="1" applyBorder="1" applyAlignment="1">
      <alignment horizontal="center"/>
    </xf>
    <xf numFmtId="0" fontId="30" fillId="9" borderId="37" xfId="0" applyNumberFormat="1" applyFont="1" applyFill="1" applyBorder="1" applyAlignment="1">
      <alignment horizontal="center"/>
    </xf>
    <xf numFmtId="0" fontId="30" fillId="0" borderId="45" xfId="0" applyFont="1" applyBorder="1"/>
    <xf numFmtId="0" fontId="30" fillId="0" borderId="50" xfId="0" applyFont="1" applyBorder="1" applyAlignment="1">
      <alignment horizontal="center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0" fillId="0" borderId="52" xfId="0" applyBorder="1"/>
    <xf numFmtId="0" fontId="29" fillId="0" borderId="52" xfId="0" applyFont="1" applyBorder="1"/>
    <xf numFmtId="0" fontId="0" fillId="0" borderId="53" xfId="0" applyBorder="1" applyAlignment="1">
      <alignment horizontal="center"/>
    </xf>
    <xf numFmtId="0" fontId="31" fillId="11" borderId="0" xfId="0" applyFont="1" applyFill="1"/>
    <xf numFmtId="165" fontId="0" fillId="0" borderId="0" xfId="0" applyNumberFormat="1" applyProtection="1"/>
    <xf numFmtId="165" fontId="0" fillId="0" borderId="0" xfId="0" applyNumberFormat="1" applyAlignment="1">
      <alignment horizontal="center"/>
    </xf>
    <xf numFmtId="0" fontId="29" fillId="0" borderId="0" xfId="0" applyFont="1" applyAlignment="1">
      <alignment horizontal="right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32" fillId="0" borderId="57" xfId="0" applyFont="1" applyBorder="1"/>
    <xf numFmtId="0" fontId="0" fillId="0" borderId="58" xfId="0" applyBorder="1"/>
    <xf numFmtId="0" fontId="29" fillId="0" borderId="58" xfId="0" applyFont="1" applyBorder="1"/>
    <xf numFmtId="0" fontId="0" fillId="0" borderId="58" xfId="0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0" fillId="0" borderId="59" xfId="0" applyBorder="1"/>
    <xf numFmtId="0" fontId="29" fillId="0" borderId="61" xfId="0" applyFont="1" applyBorder="1" applyAlignment="1">
      <alignment horizontal="center"/>
    </xf>
    <xf numFmtId="0" fontId="29" fillId="0" borderId="55" xfId="0" applyFont="1" applyBorder="1"/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/>
    <xf numFmtId="0" fontId="29" fillId="0" borderId="2" xfId="0" applyFont="1" applyBorder="1" applyAlignment="1">
      <alignment horizontal="center" wrapText="1"/>
    </xf>
    <xf numFmtId="0" fontId="29" fillId="0" borderId="59" xfId="0" applyFont="1" applyBorder="1" applyAlignment="1">
      <alignment horizontal="center" wrapText="1"/>
    </xf>
    <xf numFmtId="0" fontId="29" fillId="0" borderId="62" xfId="0" applyFont="1" applyBorder="1"/>
    <xf numFmtId="0" fontId="29" fillId="0" borderId="45" xfId="0" applyFont="1" applyBorder="1" applyAlignment="1">
      <alignment horizontal="center"/>
    </xf>
    <xf numFmtId="0" fontId="29" fillId="0" borderId="45" xfId="0" applyFont="1" applyBorder="1" applyAlignment="1"/>
    <xf numFmtId="0" fontId="0" fillId="0" borderId="27" xfId="0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165" fontId="0" fillId="12" borderId="27" xfId="0" applyNumberFormat="1" applyFill="1" applyBorder="1"/>
    <xf numFmtId="0" fontId="29" fillId="0" borderId="59" xfId="0" applyFont="1" applyBorder="1" applyAlignment="1">
      <alignment horizontal="center"/>
    </xf>
    <xf numFmtId="165" fontId="0" fillId="12" borderId="65" xfId="0" applyNumberFormat="1" applyFill="1" applyBorder="1"/>
    <xf numFmtId="0" fontId="0" fillId="0" borderId="0" xfId="0" applyNumberFormat="1"/>
    <xf numFmtId="0" fontId="0" fillId="0" borderId="67" xfId="0" applyBorder="1"/>
    <xf numFmtId="0" fontId="0" fillId="0" borderId="68" xfId="0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165" fontId="0" fillId="12" borderId="3" xfId="0" applyNumberFormat="1" applyFill="1" applyBorder="1"/>
    <xf numFmtId="165" fontId="0" fillId="12" borderId="60" xfId="0" applyNumberFormat="1" applyFill="1" applyBorder="1"/>
    <xf numFmtId="165" fontId="0" fillId="12" borderId="70" xfId="0" applyNumberFormat="1" applyFill="1" applyBorder="1"/>
    <xf numFmtId="0" fontId="29" fillId="0" borderId="68" xfId="0" applyFont="1" applyBorder="1"/>
    <xf numFmtId="165" fontId="29" fillId="12" borderId="3" xfId="0" applyNumberFormat="1" applyFont="1" applyFill="1" applyBorder="1"/>
    <xf numFmtId="165" fontId="29" fillId="12" borderId="71" xfId="0" applyNumberFormat="1" applyFont="1" applyFill="1" applyBorder="1"/>
    <xf numFmtId="0" fontId="29" fillId="0" borderId="67" xfId="0" applyFont="1" applyBorder="1"/>
    <xf numFmtId="165" fontId="29" fillId="12" borderId="70" xfId="0" applyNumberFormat="1" applyFont="1" applyFill="1" applyBorder="1"/>
    <xf numFmtId="165" fontId="0" fillId="10" borderId="3" xfId="0" applyNumberFormat="1" applyFill="1" applyBorder="1" applyProtection="1">
      <protection locked="0"/>
    </xf>
    <xf numFmtId="0" fontId="0" fillId="0" borderId="68" xfId="0" applyBorder="1" applyAlignment="1"/>
    <xf numFmtId="0" fontId="30" fillId="0" borderId="68" xfId="0" applyFont="1" applyBorder="1" applyAlignment="1"/>
    <xf numFmtId="0" fontId="30" fillId="0" borderId="67" xfId="0" applyFont="1" applyBorder="1" applyAlignment="1"/>
    <xf numFmtId="0" fontId="0" fillId="0" borderId="74" xfId="0" applyBorder="1"/>
    <xf numFmtId="0" fontId="29" fillId="0" borderId="74" xfId="0" applyFont="1" applyBorder="1"/>
    <xf numFmtId="0" fontId="29" fillId="0" borderId="1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0" fillId="0" borderId="76" xfId="0" applyFont="1" applyBorder="1" applyAlignment="1">
      <alignment horizontal="center"/>
    </xf>
    <xf numFmtId="165" fontId="29" fillId="12" borderId="1" xfId="0" applyNumberFormat="1" applyFont="1" applyFill="1" applyBorder="1"/>
    <xf numFmtId="165" fontId="29" fillId="12" borderId="76" xfId="0" applyNumberFormat="1" applyFont="1" applyFill="1" applyBorder="1"/>
    <xf numFmtId="165" fontId="29" fillId="12" borderId="78" xfId="0" applyNumberFormat="1" applyFont="1" applyFill="1" applyBorder="1"/>
    <xf numFmtId="0" fontId="29" fillId="0" borderId="57" xfId="0" applyFont="1" applyBorder="1"/>
    <xf numFmtId="0" fontId="0" fillId="0" borderId="56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7" xfId="0" applyBorder="1" applyAlignment="1"/>
    <xf numFmtId="0" fontId="30" fillId="0" borderId="0" xfId="0" applyFont="1" applyAlignment="1">
      <alignment horizontal="center"/>
    </xf>
    <xf numFmtId="0" fontId="0" fillId="0" borderId="79" xfId="0" applyBorder="1"/>
    <xf numFmtId="0" fontId="30" fillId="0" borderId="79" xfId="0" applyFont="1" applyBorder="1" applyAlignment="1"/>
    <xf numFmtId="0" fontId="0" fillId="0" borderId="11" xfId="0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65" fontId="0" fillId="12" borderId="11" xfId="0" applyNumberFormat="1" applyFill="1" applyBorder="1"/>
    <xf numFmtId="0" fontId="30" fillId="0" borderId="55" xfId="0" applyFont="1" applyBorder="1" applyAlignment="1"/>
    <xf numFmtId="165" fontId="0" fillId="12" borderId="59" xfId="0" applyNumberFormat="1" applyFill="1" applyBorder="1"/>
    <xf numFmtId="0" fontId="29" fillId="9" borderId="1" xfId="0" applyFont="1" applyFill="1" applyBorder="1"/>
    <xf numFmtId="0" fontId="30" fillId="9" borderId="1" xfId="0" applyFont="1" applyFill="1" applyBorder="1" applyAlignment="1"/>
    <xf numFmtId="0" fontId="0" fillId="9" borderId="1" xfId="0" applyFill="1" applyBorder="1"/>
    <xf numFmtId="165" fontId="0" fillId="9" borderId="70" xfId="0" applyNumberFormat="1" applyFill="1" applyBorder="1"/>
    <xf numFmtId="165" fontId="0" fillId="12" borderId="2" xfId="0" applyNumberFormat="1" applyFill="1" applyBorder="1"/>
    <xf numFmtId="0" fontId="29" fillId="0" borderId="57" xfId="0" applyFont="1" applyBorder="1" applyAlignment="1"/>
    <xf numFmtId="0" fontId="29" fillId="0" borderId="58" xfId="0" applyFont="1" applyBorder="1" applyAlignment="1"/>
    <xf numFmtId="0" fontId="0" fillId="0" borderId="55" xfId="0" applyBorder="1" applyAlignment="1"/>
    <xf numFmtId="0" fontId="29" fillId="0" borderId="55" xfId="0" applyFont="1" applyBorder="1" applyAlignment="1"/>
    <xf numFmtId="0" fontId="29" fillId="0" borderId="62" xfId="0" applyFont="1" applyBorder="1" applyAlignment="1"/>
    <xf numFmtId="0" fontId="30" fillId="0" borderId="67" xfId="0" applyFont="1" applyBorder="1" applyAlignment="1">
      <alignment wrapText="1"/>
    </xf>
    <xf numFmtId="0" fontId="30" fillId="0" borderId="1" xfId="0" applyFont="1" applyBorder="1" applyAlignment="1">
      <alignment horizontal="center"/>
    </xf>
    <xf numFmtId="165" fontId="0" fillId="12" borderId="1" xfId="0" applyNumberFormat="1" applyFill="1" applyBorder="1"/>
    <xf numFmtId="165" fontId="30" fillId="12" borderId="76" xfId="0" applyNumberFormat="1" applyFont="1" applyFill="1" applyBorder="1"/>
    <xf numFmtId="165" fontId="30" fillId="12" borderId="78" xfId="0" applyNumberFormat="1" applyFont="1" applyFill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29" fillId="0" borderId="31" xfId="0" applyFont="1" applyBorder="1"/>
    <xf numFmtId="0" fontId="29" fillId="0" borderId="34" xfId="0" applyFont="1" applyBorder="1" applyAlignment="1">
      <alignment horizontal="center"/>
    </xf>
    <xf numFmtId="0" fontId="29" fillId="0" borderId="34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0" fontId="29" fillId="0" borderId="46" xfId="0" applyFont="1" applyBorder="1" applyAlignment="1">
      <alignment horizontal="center" wrapText="1"/>
    </xf>
    <xf numFmtId="0" fontId="0" fillId="0" borderId="81" xfId="0" applyBorder="1"/>
    <xf numFmtId="165" fontId="30" fillId="12" borderId="27" xfId="0" applyNumberFormat="1" applyFont="1" applyFill="1" applyBorder="1"/>
    <xf numFmtId="0" fontId="0" fillId="9" borderId="82" xfId="0" applyFill="1" applyBorder="1"/>
    <xf numFmtId="0" fontId="0" fillId="0" borderId="72" xfId="0" applyBorder="1"/>
    <xf numFmtId="0" fontId="0" fillId="0" borderId="83" xfId="0" applyBorder="1"/>
    <xf numFmtId="0" fontId="0" fillId="0" borderId="84" xfId="0" applyBorder="1"/>
    <xf numFmtId="0" fontId="0" fillId="0" borderId="84" xfId="0" applyBorder="1" applyAlignment="1"/>
    <xf numFmtId="0" fontId="0" fillId="0" borderId="85" xfId="0" applyBorder="1"/>
    <xf numFmtId="0" fontId="0" fillId="0" borderId="85" xfId="0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30" fillId="0" borderId="85" xfId="0" applyFont="1" applyBorder="1" applyAlignment="1">
      <alignment horizontal="center"/>
    </xf>
    <xf numFmtId="0" fontId="0" fillId="9" borderId="85" xfId="0" applyFill="1" applyBorder="1"/>
    <xf numFmtId="165" fontId="30" fillId="12" borderId="88" xfId="0" applyNumberFormat="1" applyFont="1" applyFill="1" applyBorder="1"/>
    <xf numFmtId="0" fontId="29" fillId="0" borderId="61" xfId="0" applyFont="1" applyBorder="1" applyAlignment="1">
      <alignment horizontal="center" wrapText="1"/>
    </xf>
    <xf numFmtId="0" fontId="29" fillId="0" borderId="63" xfId="0" applyFont="1" applyBorder="1" applyAlignment="1">
      <alignment horizontal="center" wrapText="1"/>
    </xf>
    <xf numFmtId="165" fontId="0" fillId="10" borderId="60" xfId="0" applyNumberFormat="1" applyFill="1" applyBorder="1" applyProtection="1">
      <protection locked="0"/>
    </xf>
    <xf numFmtId="165" fontId="0" fillId="10" borderId="71" xfId="0" applyNumberFormat="1" applyFill="1" applyBorder="1" applyProtection="1">
      <protection locked="0"/>
    </xf>
    <xf numFmtId="165" fontId="0" fillId="10" borderId="70" xfId="0" applyNumberFormat="1" applyFill="1" applyBorder="1" applyProtection="1">
      <protection locked="0"/>
    </xf>
    <xf numFmtId="165" fontId="0" fillId="12" borderId="70" xfId="0" applyNumberFormat="1" applyFill="1" applyBorder="1" applyProtection="1"/>
    <xf numFmtId="165" fontId="29" fillId="12" borderId="70" xfId="0" applyNumberFormat="1" applyFont="1" applyFill="1" applyBorder="1" applyProtection="1"/>
    <xf numFmtId="165" fontId="0" fillId="12" borderId="3" xfId="0" applyNumberFormat="1" applyFill="1" applyBorder="1" applyProtection="1"/>
    <xf numFmtId="165" fontId="29" fillId="12" borderId="78" xfId="0" applyNumberFormat="1" applyFont="1" applyFill="1" applyBorder="1" applyProtection="1"/>
    <xf numFmtId="165" fontId="0" fillId="12" borderId="27" xfId="0" applyNumberFormat="1" applyFill="1" applyBorder="1" applyProtection="1"/>
    <xf numFmtId="165" fontId="0" fillId="12" borderId="2" xfId="0" applyNumberFormat="1" applyFill="1" applyBorder="1" applyProtection="1"/>
    <xf numFmtId="165" fontId="0" fillId="12" borderId="60" xfId="0" applyNumberFormat="1" applyFill="1" applyBorder="1" applyProtection="1"/>
    <xf numFmtId="165" fontId="0" fillId="12" borderId="71" xfId="0" applyNumberFormat="1" applyFill="1" applyBorder="1" applyProtection="1"/>
    <xf numFmtId="165" fontId="0" fillId="12" borderId="11" xfId="0" applyNumberFormat="1" applyFill="1" applyBorder="1" applyProtection="1"/>
    <xf numFmtId="165" fontId="0" fillId="12" borderId="59" xfId="0" applyNumberFormat="1" applyFill="1" applyBorder="1" applyProtection="1"/>
    <xf numFmtId="165" fontId="30" fillId="12" borderId="78" xfId="0" applyNumberFormat="1" applyFont="1" applyFill="1" applyBorder="1" applyProtection="1"/>
    <xf numFmtId="165" fontId="30" fillId="12" borderId="27" xfId="0" applyNumberFormat="1" applyFont="1" applyFill="1" applyBorder="1" applyProtection="1"/>
    <xf numFmtId="0" fontId="29" fillId="0" borderId="31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29" xfId="0" applyFont="1" applyBorder="1" applyAlignment="1">
      <alignment horizontal="center" wrapText="1"/>
    </xf>
    <xf numFmtId="0" fontId="29" fillId="0" borderId="46" xfId="0" applyFont="1" applyBorder="1" applyAlignment="1">
      <alignment horizontal="center"/>
    </xf>
    <xf numFmtId="0" fontId="29" fillId="0" borderId="56" xfId="0" applyFont="1" applyBorder="1"/>
    <xf numFmtId="0" fontId="29" fillId="9" borderId="33" xfId="0" applyFont="1" applyFill="1" applyBorder="1"/>
    <xf numFmtId="0" fontId="30" fillId="9" borderId="33" xfId="0" applyFont="1" applyFill="1" applyBorder="1" applyAlignment="1"/>
    <xf numFmtId="0" fontId="0" fillId="9" borderId="33" xfId="0" applyFill="1" applyBorder="1"/>
    <xf numFmtId="0" fontId="0" fillId="9" borderId="60" xfId="0" applyFill="1" applyBorder="1"/>
    <xf numFmtId="0" fontId="0" fillId="9" borderId="30" xfId="0" applyFill="1" applyBorder="1"/>
    <xf numFmtId="0" fontId="0" fillId="9" borderId="37" xfId="0" applyFill="1" applyBorder="1"/>
    <xf numFmtId="0" fontId="0" fillId="9" borderId="11" xfId="0" applyFill="1" applyBorder="1"/>
    <xf numFmtId="165" fontId="0" fillId="12" borderId="89" xfId="0" applyNumberFormat="1" applyFill="1" applyBorder="1"/>
    <xf numFmtId="165" fontId="0" fillId="12" borderId="90" xfId="0" applyNumberFormat="1" applyFill="1" applyBorder="1" applyAlignment="1">
      <alignment horizontal="right"/>
    </xf>
    <xf numFmtId="0" fontId="0" fillId="9" borderId="3" xfId="0" applyFill="1" applyBorder="1"/>
    <xf numFmtId="165" fontId="0" fillId="12" borderId="91" xfId="0" applyNumberFormat="1" applyFill="1" applyBorder="1"/>
    <xf numFmtId="165" fontId="0" fillId="12" borderId="92" xfId="0" applyNumberFormat="1" applyFill="1" applyBorder="1" applyAlignment="1">
      <alignment horizontal="right"/>
    </xf>
    <xf numFmtId="165" fontId="0" fillId="12" borderId="91" xfId="0" applyNumberFormat="1" applyFill="1" applyBorder="1" applyAlignment="1"/>
    <xf numFmtId="165" fontId="29" fillId="12" borderId="91" xfId="0" applyNumberFormat="1" applyFont="1" applyFill="1" applyBorder="1"/>
    <xf numFmtId="165" fontId="29" fillId="12" borderId="92" xfId="0" applyNumberFormat="1" applyFont="1" applyFill="1" applyBorder="1" applyAlignment="1">
      <alignment horizontal="right"/>
    </xf>
    <xf numFmtId="165" fontId="0" fillId="9" borderId="1" xfId="0" applyNumberFormat="1" applyFill="1" applyBorder="1"/>
    <xf numFmtId="0" fontId="0" fillId="9" borderId="70" xfId="0" applyFill="1" applyBorder="1"/>
    <xf numFmtId="165" fontId="0" fillId="9" borderId="72" xfId="0" applyNumberFormat="1" applyFill="1" applyBorder="1"/>
    <xf numFmtId="165" fontId="0" fillId="9" borderId="86" xfId="0" applyNumberFormat="1" applyFill="1" applyBorder="1" applyAlignment="1">
      <alignment horizontal="right"/>
    </xf>
    <xf numFmtId="165" fontId="0" fillId="9" borderId="3" xfId="0" applyNumberFormat="1" applyFill="1" applyBorder="1"/>
    <xf numFmtId="165" fontId="0" fillId="9" borderId="71" xfId="0" applyNumberFormat="1" applyFill="1" applyBorder="1"/>
    <xf numFmtId="0" fontId="29" fillId="0" borderId="67" xfId="0" applyFont="1" applyBorder="1" applyAlignment="1">
      <alignment wrapText="1"/>
    </xf>
    <xf numFmtId="165" fontId="30" fillId="12" borderId="11" xfId="0" applyNumberFormat="1" applyFont="1" applyFill="1" applyBorder="1"/>
    <xf numFmtId="165" fontId="30" fillId="12" borderId="3" xfId="0" applyNumberFormat="1" applyFont="1" applyFill="1" applyBorder="1"/>
    <xf numFmtId="0" fontId="0" fillId="0" borderId="93" xfId="0" applyBorder="1"/>
    <xf numFmtId="0" fontId="0" fillId="9" borderId="76" xfId="0" applyFill="1" applyBorder="1"/>
    <xf numFmtId="165" fontId="29" fillId="12" borderId="84" xfId="0" applyNumberFormat="1" applyFont="1" applyFill="1" applyBorder="1"/>
    <xf numFmtId="165" fontId="29" fillId="12" borderId="85" xfId="0" applyNumberFormat="1" applyFont="1" applyFill="1" applyBorder="1"/>
    <xf numFmtId="165" fontId="29" fillId="12" borderId="88" xfId="0" applyNumberFormat="1" applyFont="1" applyFill="1" applyBorder="1" applyAlignment="1">
      <alignment horizontal="right"/>
    </xf>
    <xf numFmtId="0" fontId="0" fillId="0" borderId="94" xfId="0" applyBorder="1"/>
    <xf numFmtId="0" fontId="0" fillId="0" borderId="95" xfId="0" applyBorder="1"/>
    <xf numFmtId="0" fontId="29" fillId="0" borderId="96" xfId="0" applyFont="1" applyBorder="1" applyAlignment="1">
      <alignment horizontal="center"/>
    </xf>
    <xf numFmtId="0" fontId="30" fillId="0" borderId="96" xfId="0" applyFont="1" applyBorder="1" applyAlignment="1">
      <alignment horizontal="center"/>
    </xf>
    <xf numFmtId="165" fontId="0" fillId="0" borderId="96" xfId="0" applyNumberFormat="1" applyBorder="1"/>
    <xf numFmtId="165" fontId="0" fillId="0" borderId="97" xfId="0" applyNumberFormat="1" applyBorder="1"/>
    <xf numFmtId="165" fontId="0" fillId="0" borderId="98" xfId="0" applyNumberFormat="1" applyBorder="1" applyAlignment="1"/>
    <xf numFmtId="165" fontId="0" fillId="0" borderId="99" xfId="0" applyNumberFormat="1" applyBorder="1"/>
    <xf numFmtId="165" fontId="0" fillId="0" borderId="100" xfId="0" applyNumberFormat="1" applyBorder="1" applyAlignment="1">
      <alignment horizontal="right"/>
    </xf>
    <xf numFmtId="0" fontId="29" fillId="0" borderId="58" xfId="0" applyFont="1" applyBorder="1" applyAlignment="1">
      <alignment horizontal="center" wrapText="1"/>
    </xf>
    <xf numFmtId="0" fontId="0" fillId="0" borderId="55" xfId="0" applyBorder="1" applyAlignment="1">
      <alignment wrapText="1"/>
    </xf>
    <xf numFmtId="0" fontId="29" fillId="0" borderId="55" xfId="0" applyFont="1" applyBorder="1" applyAlignment="1">
      <alignment wrapText="1"/>
    </xf>
    <xf numFmtId="165" fontId="0" fillId="10" borderId="27" xfId="0" applyNumberFormat="1" applyFill="1" applyBorder="1" applyProtection="1">
      <protection locked="0"/>
    </xf>
    <xf numFmtId="0" fontId="0" fillId="0" borderId="75" xfId="0" applyBorder="1" applyAlignment="1">
      <alignment horizontal="center"/>
    </xf>
    <xf numFmtId="0" fontId="29" fillId="0" borderId="75" xfId="0" applyFont="1" applyBorder="1" applyAlignment="1">
      <alignment horizontal="center"/>
    </xf>
    <xf numFmtId="165" fontId="0" fillId="12" borderId="75" xfId="0" applyNumberFormat="1" applyFill="1" applyBorder="1"/>
    <xf numFmtId="0" fontId="0" fillId="9" borderId="75" xfId="0" applyFill="1" applyBorder="1"/>
    <xf numFmtId="165" fontId="0" fillId="10" borderId="75" xfId="0" applyNumberFormat="1" applyFill="1" applyBorder="1" applyProtection="1">
      <protection locked="0"/>
    </xf>
    <xf numFmtId="0" fontId="0" fillId="9" borderId="27" xfId="0" applyFill="1" applyBorder="1"/>
    <xf numFmtId="0" fontId="0" fillId="9" borderId="65" xfId="0" applyFill="1" applyBorder="1"/>
    <xf numFmtId="0" fontId="0" fillId="0" borderId="74" xfId="0" applyBorder="1" applyAlignment="1"/>
    <xf numFmtId="0" fontId="30" fillId="0" borderId="74" xfId="0" applyFont="1" applyBorder="1" applyAlignment="1"/>
    <xf numFmtId="0" fontId="29" fillId="0" borderId="33" xfId="0" applyFont="1" applyBorder="1" applyAlignment="1">
      <alignment horizontal="center"/>
    </xf>
    <xf numFmtId="165" fontId="0" fillId="12" borderId="76" xfId="0" applyNumberFormat="1" applyFill="1" applyBorder="1"/>
    <xf numFmtId="165" fontId="0" fillId="12" borderId="33" xfId="0" applyNumberFormat="1" applyFill="1" applyBorder="1"/>
    <xf numFmtId="165" fontId="0" fillId="10" borderId="33" xfId="0" applyNumberFormat="1" applyFill="1" applyBorder="1" applyProtection="1">
      <protection locked="0"/>
    </xf>
    <xf numFmtId="0" fontId="0" fillId="9" borderId="76" xfId="0" applyNumberFormat="1" applyFill="1" applyBorder="1"/>
    <xf numFmtId="165" fontId="0" fillId="10" borderId="76" xfId="0" applyNumberFormat="1" applyFill="1" applyBorder="1" applyProtection="1">
      <protection locked="0"/>
    </xf>
    <xf numFmtId="0" fontId="0" fillId="9" borderId="78" xfId="0" applyFill="1" applyBorder="1"/>
    <xf numFmtId="0" fontId="0" fillId="0" borderId="101" xfId="0" applyBorder="1"/>
    <xf numFmtId="0" fontId="0" fillId="0" borderId="101" xfId="0" applyBorder="1" applyAlignment="1">
      <alignment horizontal="center"/>
    </xf>
    <xf numFmtId="0" fontId="29" fillId="0" borderId="101" xfId="0" applyFont="1" applyBorder="1" applyAlignment="1">
      <alignment horizontal="center"/>
    </xf>
    <xf numFmtId="0" fontId="29" fillId="0" borderId="57" xfId="0" applyFont="1" applyBorder="1" applyAlignment="1">
      <alignment horizontal="centerContinuous"/>
    </xf>
    <xf numFmtId="0" fontId="0" fillId="0" borderId="101" xfId="0" applyBorder="1" applyAlignment="1">
      <alignment horizontal="centerContinuous"/>
    </xf>
    <xf numFmtId="0" fontId="29" fillId="0" borderId="101" xfId="0" applyFont="1" applyBorder="1" applyAlignment="1">
      <alignment horizontal="centerContinuous"/>
    </xf>
    <xf numFmtId="0" fontId="0" fillId="0" borderId="102" xfId="0" applyBorder="1"/>
    <xf numFmtId="0" fontId="0" fillId="0" borderId="104" xfId="0" applyBorder="1"/>
    <xf numFmtId="0" fontId="0" fillId="0" borderId="104" xfId="0" applyBorder="1" applyAlignment="1">
      <alignment horizontal="centerContinuous"/>
    </xf>
    <xf numFmtId="0" fontId="29" fillId="0" borderId="104" xfId="0" applyFont="1" applyBorder="1" applyAlignment="1">
      <alignment horizontal="centerContinuous"/>
    </xf>
    <xf numFmtId="0" fontId="29" fillId="0" borderId="105" xfId="0" applyFont="1" applyBorder="1" applyAlignment="1">
      <alignment horizontal="centerContinuous"/>
    </xf>
    <xf numFmtId="0" fontId="29" fillId="0" borderId="57" xfId="0" applyFont="1" applyBorder="1" applyAlignment="1">
      <alignment horizontal="center" wrapText="1"/>
    </xf>
    <xf numFmtId="0" fontId="29" fillId="0" borderId="55" xfId="0" applyFont="1" applyBorder="1" applyAlignment="1">
      <alignment horizontal="center" wrapText="1"/>
    </xf>
    <xf numFmtId="0" fontId="29" fillId="0" borderId="64" xfId="0" applyFont="1" applyBorder="1"/>
    <xf numFmtId="0" fontId="0" fillId="9" borderId="27" xfId="0" applyFill="1" applyBorder="1" applyAlignment="1">
      <alignment horizontal="center"/>
    </xf>
    <xf numFmtId="0" fontId="30" fillId="9" borderId="27" xfId="0" applyFont="1" applyFill="1" applyBorder="1" applyAlignment="1"/>
    <xf numFmtId="0" fontId="0" fillId="9" borderId="56" xfId="0" applyFill="1" applyBorder="1"/>
    <xf numFmtId="165" fontId="0" fillId="0" borderId="3" xfId="0" applyNumberFormat="1" applyBorder="1" applyAlignment="1"/>
    <xf numFmtId="165" fontId="30" fillId="10" borderId="3" xfId="0" applyNumberFormat="1" applyFont="1" applyFill="1" applyBorder="1" applyAlignment="1" applyProtection="1">
      <protection locked="0"/>
    </xf>
    <xf numFmtId="165" fontId="0" fillId="10" borderId="67" xfId="0" applyNumberFormat="1" applyFill="1" applyBorder="1" applyProtection="1">
      <protection locked="0"/>
    </xf>
    <xf numFmtId="0" fontId="30" fillId="9" borderId="3" xfId="0" applyFont="1" applyFill="1" applyBorder="1"/>
    <xf numFmtId="0" fontId="30" fillId="9" borderId="3" xfId="0" applyFont="1" applyFill="1" applyBorder="1" applyAlignment="1"/>
    <xf numFmtId="0" fontId="0" fillId="9" borderId="71" xfId="0" applyFill="1" applyBorder="1"/>
    <xf numFmtId="165" fontId="0" fillId="10" borderId="1" xfId="0" applyNumberFormat="1" applyFill="1" applyBorder="1" applyProtection="1">
      <protection locked="0"/>
    </xf>
    <xf numFmtId="0" fontId="0" fillId="9" borderId="67" xfId="0" applyFill="1" applyBorder="1"/>
    <xf numFmtId="0" fontId="29" fillId="9" borderId="74" xfId="0" applyFont="1" applyFill="1" applyBorder="1"/>
    <xf numFmtId="0" fontId="29" fillId="9" borderId="76" xfId="0" applyFont="1" applyFill="1" applyBorder="1"/>
    <xf numFmtId="0" fontId="30" fillId="9" borderId="1" xfId="0" applyFont="1" applyFill="1" applyBorder="1"/>
    <xf numFmtId="0" fontId="29" fillId="9" borderId="76" xfId="0" applyFont="1" applyFill="1" applyBorder="1" applyAlignment="1"/>
    <xf numFmtId="0" fontId="29" fillId="9" borderId="78" xfId="0" applyFont="1" applyFill="1" applyBorder="1"/>
    <xf numFmtId="165" fontId="0" fillId="12" borderId="1" xfId="0" applyNumberFormat="1" applyFill="1" applyBorder="1" applyProtection="1"/>
    <xf numFmtId="0" fontId="0" fillId="0" borderId="101" xfId="0" applyBorder="1" applyAlignment="1">
      <alignment horizontal="center" wrapText="1"/>
    </xf>
    <xf numFmtId="165" fontId="29" fillId="12" borderId="27" xfId="0" applyNumberFormat="1" applyFont="1" applyFill="1" applyBorder="1"/>
    <xf numFmtId="0" fontId="29" fillId="0" borderId="79" xfId="0" applyFont="1" applyBorder="1"/>
    <xf numFmtId="165" fontId="29" fillId="12" borderId="80" xfId="0" applyNumberFormat="1" applyFont="1" applyFill="1" applyBorder="1"/>
    <xf numFmtId="0" fontId="0" fillId="0" borderId="106" xfId="0" applyBorder="1" applyAlignment="1">
      <alignment horizontal="center"/>
    </xf>
    <xf numFmtId="0" fontId="29" fillId="0" borderId="106" xfId="0" applyFont="1" applyBorder="1" applyAlignment="1">
      <alignment horizontal="center"/>
    </xf>
    <xf numFmtId="0" fontId="0" fillId="0" borderId="107" xfId="0" applyBorder="1"/>
    <xf numFmtId="0" fontId="29" fillId="0" borderId="107" xfId="0" applyFont="1" applyBorder="1"/>
    <xf numFmtId="0" fontId="29" fillId="9" borderId="34" xfId="0" applyFon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4" xfId="0" applyFill="1" applyBorder="1"/>
    <xf numFmtId="165" fontId="29" fillId="12" borderId="59" xfId="0" applyNumberFormat="1" applyFont="1" applyFill="1" applyBorder="1"/>
    <xf numFmtId="0" fontId="29" fillId="9" borderId="108" xfId="0" applyFont="1" applyFill="1" applyBorder="1"/>
    <xf numFmtId="0" fontId="29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2" xfId="0" applyFill="1" applyBorder="1"/>
    <xf numFmtId="0" fontId="29" fillId="0" borderId="59" xfId="0" applyFont="1" applyBorder="1"/>
    <xf numFmtId="0" fontId="29" fillId="9" borderId="59" xfId="0" applyFont="1" applyFill="1" applyBorder="1"/>
    <xf numFmtId="165" fontId="0" fillId="10" borderId="11" xfId="0" applyNumberFormat="1" applyFill="1" applyBorder="1" applyProtection="1">
      <protection locked="0"/>
    </xf>
    <xf numFmtId="0" fontId="0" fillId="0" borderId="0" xfId="0" applyNumberFormat="1" applyAlignment="1"/>
    <xf numFmtId="0" fontId="0" fillId="0" borderId="109" xfId="0" applyBorder="1"/>
    <xf numFmtId="0" fontId="0" fillId="0" borderId="110" xfId="0" applyBorder="1" applyAlignment="1">
      <alignment horizontal="center"/>
    </xf>
    <xf numFmtId="0" fontId="29" fillId="0" borderId="110" xfId="0" applyFont="1" applyBorder="1" applyAlignment="1">
      <alignment horizontal="center"/>
    </xf>
    <xf numFmtId="165" fontId="29" fillId="12" borderId="2" xfId="0" applyNumberFormat="1" applyFont="1" applyFill="1" applyBorder="1"/>
    <xf numFmtId="0" fontId="29" fillId="0" borderId="64" xfId="0" applyFont="1" applyBorder="1" applyAlignment="1"/>
    <xf numFmtId="165" fontId="29" fillId="0" borderId="0" xfId="0" applyNumberFormat="1" applyFont="1" applyAlignment="1"/>
    <xf numFmtId="165" fontId="30" fillId="9" borderId="11" xfId="0" applyNumberFormat="1" applyFont="1" applyFill="1" applyBorder="1" applyAlignment="1"/>
    <xf numFmtId="165" fontId="0" fillId="12" borderId="11" xfId="0" applyNumberFormat="1" applyFill="1" applyBorder="1" applyAlignment="1"/>
    <xf numFmtId="0" fontId="30" fillId="0" borderId="106" xfId="0" applyFont="1" applyBorder="1" applyAlignment="1">
      <alignment horizontal="center"/>
    </xf>
    <xf numFmtId="0" fontId="29" fillId="0" borderId="107" xfId="0" applyFont="1" applyBorder="1" applyAlignment="1"/>
    <xf numFmtId="0" fontId="30" fillId="9" borderId="34" xfId="0" applyFont="1" applyFill="1" applyBorder="1" applyAlignment="1">
      <alignment horizontal="center"/>
    </xf>
    <xf numFmtId="0" fontId="30" fillId="9" borderId="34" xfId="0" applyFont="1" applyFill="1" applyBorder="1" applyAlignment="1"/>
    <xf numFmtId="165" fontId="29" fillId="12" borderId="59" xfId="0" applyNumberFormat="1" applyFont="1" applyFill="1" applyBorder="1" applyAlignment="1"/>
    <xf numFmtId="0" fontId="30" fillId="9" borderId="108" xfId="0" applyFont="1" applyFill="1" applyBorder="1" applyAlignment="1"/>
    <xf numFmtId="0" fontId="0" fillId="7" borderId="0" xfId="0" applyFill="1" applyAlignment="1"/>
    <xf numFmtId="0" fontId="30" fillId="9" borderId="11" xfId="0" applyFont="1" applyFill="1" applyBorder="1" applyAlignment="1"/>
    <xf numFmtId="165" fontId="0" fillId="12" borderId="3" xfId="0" applyNumberFormat="1" applyFill="1" applyBorder="1" applyAlignment="1"/>
    <xf numFmtId="165" fontId="29" fillId="12" borderId="71" xfId="0" applyNumberFormat="1" applyFont="1" applyFill="1" applyBorder="1" applyAlignment="1"/>
    <xf numFmtId="165" fontId="29" fillId="12" borderId="70" xfId="0" applyNumberFormat="1" applyFont="1" applyFill="1" applyBorder="1" applyAlignment="1"/>
    <xf numFmtId="165" fontId="30" fillId="12" borderId="3" xfId="0" applyNumberFormat="1" applyFont="1" applyFill="1" applyBorder="1" applyAlignment="1"/>
    <xf numFmtId="165" fontId="30" fillId="9" borderId="3" xfId="0" applyNumberFormat="1" applyFont="1" applyFill="1" applyBorder="1" applyAlignment="1"/>
    <xf numFmtId="0" fontId="29" fillId="0" borderId="67" xfId="0" applyFont="1" applyBorder="1" applyAlignment="1"/>
    <xf numFmtId="0" fontId="29" fillId="9" borderId="1" xfId="0" applyFont="1" applyFill="1" applyBorder="1" applyAlignment="1">
      <alignment horizontal="center"/>
    </xf>
    <xf numFmtId="0" fontId="30" fillId="9" borderId="70" xfId="0" applyFont="1" applyFill="1" applyBorder="1" applyAlignment="1"/>
    <xf numFmtId="165" fontId="29" fillId="12" borderId="3" xfId="0" applyNumberFormat="1" applyFont="1" applyFill="1" applyBorder="1" applyAlignment="1"/>
    <xf numFmtId="0" fontId="0" fillId="0" borderId="67" xfId="0" applyNumberFormat="1" applyBorder="1" applyAlignment="1"/>
    <xf numFmtId="0" fontId="0" fillId="0" borderId="67" xfId="0" applyNumberFormat="1" applyBorder="1" applyAlignment="1">
      <alignment wrapText="1"/>
    </xf>
    <xf numFmtId="165" fontId="29" fillId="12" borderId="27" xfId="0" applyNumberFormat="1" applyFont="1" applyFill="1" applyBorder="1" applyAlignment="1" applyProtection="1"/>
    <xf numFmtId="165" fontId="29" fillId="12" borderId="65" xfId="0" applyNumberFormat="1" applyFont="1" applyFill="1" applyBorder="1" applyAlignment="1" applyProtection="1"/>
    <xf numFmtId="165" fontId="0" fillId="12" borderId="11" xfId="0" applyNumberFormat="1" applyFill="1" applyBorder="1" applyAlignment="1" applyProtection="1"/>
    <xf numFmtId="165" fontId="29" fillId="12" borderId="80" xfId="0" applyNumberFormat="1" applyFont="1" applyFill="1" applyBorder="1" applyAlignment="1" applyProtection="1"/>
    <xf numFmtId="165" fontId="29" fillId="12" borderId="106" xfId="0" applyNumberFormat="1" applyFont="1" applyFill="1" applyBorder="1" applyAlignment="1" applyProtection="1"/>
    <xf numFmtId="165" fontId="29" fillId="12" borderId="59" xfId="0" applyNumberFormat="1" applyFont="1" applyFill="1" applyBorder="1" applyAlignment="1" applyProtection="1"/>
    <xf numFmtId="165" fontId="29" fillId="12" borderId="70" xfId="0" applyNumberFormat="1" applyFont="1" applyFill="1" applyBorder="1" applyAlignment="1" applyProtection="1"/>
    <xf numFmtId="165" fontId="0" fillId="12" borderId="3" xfId="0" applyNumberFormat="1" applyFill="1" applyBorder="1" applyAlignment="1" applyProtection="1"/>
    <xf numFmtId="165" fontId="30" fillId="12" borderId="3" xfId="0" applyNumberFormat="1" applyFont="1" applyFill="1" applyBorder="1" applyAlignment="1" applyProtection="1"/>
    <xf numFmtId="165" fontId="29" fillId="12" borderId="3" xfId="0" applyNumberFormat="1" applyFont="1" applyFill="1" applyBorder="1" applyAlignment="1" applyProtection="1"/>
    <xf numFmtId="165" fontId="29" fillId="12" borderId="3" xfId="0" applyNumberFormat="1" applyFont="1" applyFill="1" applyBorder="1" applyProtection="1"/>
    <xf numFmtId="165" fontId="29" fillId="12" borderId="1" xfId="0" applyNumberFormat="1" applyFont="1" applyFill="1" applyBorder="1" applyProtection="1"/>
    <xf numFmtId="165" fontId="29" fillId="12" borderId="27" xfId="0" applyNumberFormat="1" applyFont="1" applyFill="1" applyBorder="1" applyProtection="1"/>
    <xf numFmtId="165" fontId="29" fillId="12" borderId="76" xfId="0" applyNumberFormat="1" applyFont="1" applyFill="1" applyBorder="1" applyProtection="1"/>
    <xf numFmtId="165" fontId="29" fillId="12" borderId="65" xfId="0" applyNumberFormat="1" applyFont="1" applyFill="1" applyBorder="1" applyProtection="1"/>
    <xf numFmtId="0" fontId="0" fillId="0" borderId="0" xfId="0" applyAlignment="1">
      <alignment horizontal="center" wrapText="1"/>
    </xf>
    <xf numFmtId="0" fontId="29" fillId="0" borderId="57" xfId="0" applyNumberFormat="1" applyFont="1" applyBorder="1" applyAlignment="1"/>
    <xf numFmtId="0" fontId="29" fillId="0" borderId="58" xfId="0" applyNumberFormat="1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55" xfId="0" applyNumberFormat="1" applyFont="1" applyBorder="1" applyAlignment="1"/>
    <xf numFmtId="0" fontId="29" fillId="0" borderId="2" xfId="0" applyNumberFormat="1" applyFont="1" applyBorder="1" applyAlignment="1">
      <alignment horizontal="center" wrapText="1"/>
    </xf>
    <xf numFmtId="0" fontId="29" fillId="0" borderId="45" xfId="0" applyNumberFormat="1" applyFont="1" applyBorder="1" applyAlignment="1">
      <alignment horizontal="center" wrapText="1"/>
    </xf>
    <xf numFmtId="0" fontId="0" fillId="0" borderId="56" xfId="0" applyBorder="1" applyAlignment="1"/>
    <xf numFmtId="0" fontId="29" fillId="0" borderId="56" xfId="0" applyFont="1" applyBorder="1" applyAlignment="1"/>
    <xf numFmtId="0" fontId="29" fillId="0" borderId="56" xfId="0" applyNumberFormat="1" applyFont="1" applyBorder="1" applyAlignment="1"/>
    <xf numFmtId="0" fontId="30" fillId="9" borderId="33" xfId="0" applyNumberFormat="1" applyFont="1" applyFill="1" applyBorder="1" applyAlignment="1"/>
    <xf numFmtId="0" fontId="29" fillId="0" borderId="11" xfId="0" applyNumberFormat="1" applyFont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0" fontId="30" fillId="0" borderId="55" xfId="0" applyNumberFormat="1" applyFont="1" applyBorder="1" applyAlignment="1"/>
    <xf numFmtId="0" fontId="30" fillId="0" borderId="68" xfId="0" applyNumberFormat="1" applyFont="1" applyBorder="1" applyAlignment="1"/>
    <xf numFmtId="0" fontId="29" fillId="0" borderId="3" xfId="0" applyNumberFormat="1" applyFont="1" applyBorder="1" applyAlignment="1">
      <alignment horizontal="center"/>
    </xf>
    <xf numFmtId="0" fontId="30" fillId="0" borderId="3" xfId="0" applyNumberFormat="1" applyFont="1" applyBorder="1" applyAlignment="1">
      <alignment horizontal="center"/>
    </xf>
    <xf numFmtId="165" fontId="30" fillId="12" borderId="59" xfId="0" applyNumberFormat="1" applyFont="1" applyFill="1" applyBorder="1" applyAlignment="1"/>
    <xf numFmtId="0" fontId="30" fillId="0" borderId="67" xfId="0" applyNumberFormat="1" applyFont="1" applyBorder="1" applyAlignment="1"/>
    <xf numFmtId="165" fontId="30" fillId="12" borderId="70" xfId="0" applyNumberFormat="1" applyFont="1" applyFill="1" applyBorder="1" applyAlignment="1"/>
    <xf numFmtId="0" fontId="29" fillId="0" borderId="67" xfId="0" applyNumberFormat="1" applyFont="1" applyBorder="1" applyAlignment="1"/>
    <xf numFmtId="0" fontId="29" fillId="0" borderId="1" xfId="0" applyNumberFormat="1" applyFont="1" applyBorder="1" applyAlignment="1">
      <alignment horizontal="center"/>
    </xf>
    <xf numFmtId="0" fontId="29" fillId="9" borderId="1" xfId="0" applyNumberFormat="1" applyFont="1" applyFill="1" applyBorder="1" applyAlignment="1">
      <alignment horizontal="center"/>
    </xf>
    <xf numFmtId="0" fontId="30" fillId="0" borderId="1" xfId="0" applyNumberFormat="1" applyFont="1" applyBorder="1" applyAlignment="1">
      <alignment horizontal="center"/>
    </xf>
    <xf numFmtId="0" fontId="30" fillId="9" borderId="1" xfId="0" applyNumberFormat="1" applyFont="1" applyFill="1" applyBorder="1" applyAlignment="1">
      <alignment horizontal="center"/>
    </xf>
    <xf numFmtId="0" fontId="30" fillId="0" borderId="70" xfId="0" applyNumberFormat="1" applyFont="1" applyBorder="1" applyAlignment="1"/>
    <xf numFmtId="0" fontId="30" fillId="9" borderId="70" xfId="0" applyNumberFormat="1" applyFont="1" applyFill="1" applyBorder="1" applyAlignment="1"/>
    <xf numFmtId="165" fontId="30" fillId="10" borderId="11" xfId="0" applyNumberFormat="1" applyFont="1" applyFill="1" applyBorder="1" applyAlignment="1" applyProtection="1">
      <protection locked="0"/>
    </xf>
    <xf numFmtId="165" fontId="30" fillId="12" borderId="11" xfId="0" applyNumberFormat="1" applyFont="1" applyFill="1" applyBorder="1" applyAlignment="1"/>
    <xf numFmtId="0" fontId="29" fillId="0" borderId="79" xfId="0" applyFont="1" applyBorder="1" applyAlignment="1"/>
    <xf numFmtId="165" fontId="29" fillId="12" borderId="11" xfId="0" applyNumberFormat="1" applyFont="1" applyFill="1" applyBorder="1" applyAlignment="1"/>
    <xf numFmtId="0" fontId="29" fillId="0" borderId="74" xfId="0" applyFont="1" applyBorder="1" applyAlignment="1"/>
    <xf numFmtId="0" fontId="29" fillId="0" borderId="74" xfId="0" applyNumberFormat="1" applyFont="1" applyBorder="1" applyAlignment="1"/>
    <xf numFmtId="0" fontId="29" fillId="0" borderId="76" xfId="0" applyNumberFormat="1" applyFont="1" applyBorder="1" applyAlignment="1">
      <alignment horizontal="center"/>
    </xf>
    <xf numFmtId="0" fontId="30" fillId="0" borderId="76" xfId="0" applyNumberFormat="1" applyFont="1" applyBorder="1" applyAlignment="1">
      <alignment horizontal="center"/>
    </xf>
    <xf numFmtId="165" fontId="30" fillId="10" borderId="1" xfId="0" applyNumberFormat="1" applyFont="1" applyFill="1" applyBorder="1" applyAlignment="1" applyProtection="1">
      <protection locked="0"/>
    </xf>
    <xf numFmtId="165" fontId="29" fillId="12" borderId="76" xfId="0" applyNumberFormat="1" applyFont="1" applyFill="1" applyBorder="1" applyAlignment="1"/>
    <xf numFmtId="165" fontId="29" fillId="12" borderId="78" xfId="0" applyNumberFormat="1" applyFont="1" applyFill="1" applyBorder="1" applyAlignment="1"/>
    <xf numFmtId="0" fontId="30" fillId="0" borderId="0" xfId="0" applyNumberFormat="1" applyFont="1" applyAlignment="1">
      <alignment horizontal="center"/>
    </xf>
    <xf numFmtId="0" fontId="29" fillId="0" borderId="31" xfId="0" applyFont="1" applyBorder="1" applyAlignment="1"/>
    <xf numFmtId="0" fontId="29" fillId="0" borderId="31" xfId="0" applyNumberFormat="1" applyFont="1" applyBorder="1" applyAlignment="1"/>
    <xf numFmtId="0" fontId="29" fillId="0" borderId="34" xfId="0" applyNumberFormat="1" applyFont="1" applyBorder="1" applyAlignment="1">
      <alignment horizontal="center"/>
    </xf>
    <xf numFmtId="0" fontId="29" fillId="0" borderId="29" xfId="0" applyFont="1" applyBorder="1" applyAlignment="1">
      <alignment wrapText="1"/>
    </xf>
    <xf numFmtId="0" fontId="29" fillId="0" borderId="29" xfId="0" applyNumberFormat="1" applyFont="1" applyBorder="1" applyAlignment="1">
      <alignment wrapText="1"/>
    </xf>
    <xf numFmtId="0" fontId="29" fillId="0" borderId="2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center"/>
    </xf>
    <xf numFmtId="0" fontId="29" fillId="9" borderId="30" xfId="0" applyNumberFormat="1" applyFont="1" applyFill="1" applyBorder="1" applyAlignment="1"/>
    <xf numFmtId="0" fontId="29" fillId="0" borderId="33" xfId="0" applyNumberFormat="1" applyFont="1" applyBorder="1" applyAlignment="1">
      <alignment horizontal="center"/>
    </xf>
    <xf numFmtId="0" fontId="29" fillId="9" borderId="33" xfId="0" applyNumberFormat="1" applyFont="1" applyFill="1" applyBorder="1" applyAlignment="1">
      <alignment horizontal="center"/>
    </xf>
    <xf numFmtId="0" fontId="30" fillId="9" borderId="33" xfId="0" applyNumberFormat="1" applyFont="1" applyFill="1" applyBorder="1" applyAlignment="1">
      <alignment horizontal="center"/>
    </xf>
    <xf numFmtId="0" fontId="0" fillId="0" borderId="89" xfId="0" applyBorder="1"/>
    <xf numFmtId="0" fontId="0" fillId="0" borderId="89" xfId="0" applyBorder="1" applyAlignment="1"/>
    <xf numFmtId="0" fontId="0" fillId="0" borderId="89" xfId="0" applyBorder="1" applyAlignment="1">
      <alignment wrapText="1"/>
    </xf>
    <xf numFmtId="0" fontId="30" fillId="0" borderId="89" xfId="0" applyFont="1" applyBorder="1" applyAlignment="1">
      <alignment wrapText="1"/>
    </xf>
    <xf numFmtId="0" fontId="30" fillId="0" borderId="89" xfId="0" applyNumberFormat="1" applyFont="1" applyBorder="1" applyAlignment="1">
      <alignment wrapText="1"/>
    </xf>
    <xf numFmtId="165" fontId="30" fillId="12" borderId="90" xfId="0" applyNumberFormat="1" applyFont="1" applyFill="1" applyBorder="1" applyAlignment="1"/>
    <xf numFmtId="0" fontId="0" fillId="0" borderId="91" xfId="0" applyBorder="1"/>
    <xf numFmtId="0" fontId="0" fillId="0" borderId="91" xfId="0" applyBorder="1" applyAlignment="1"/>
    <xf numFmtId="0" fontId="30" fillId="0" borderId="91" xfId="0" applyFont="1" applyBorder="1" applyAlignment="1"/>
    <xf numFmtId="0" fontId="30" fillId="0" borderId="91" xfId="0" applyNumberFormat="1" applyFont="1" applyBorder="1" applyAlignment="1"/>
    <xf numFmtId="165" fontId="30" fillId="10" borderId="92" xfId="0" applyNumberFormat="1" applyFont="1" applyFill="1" applyBorder="1" applyAlignment="1" applyProtection="1">
      <protection locked="0"/>
    </xf>
    <xf numFmtId="165" fontId="30" fillId="12" borderId="92" xfId="0" applyNumberFormat="1" applyFont="1" applyFill="1" applyBorder="1" applyAlignment="1"/>
    <xf numFmtId="0" fontId="29" fillId="9" borderId="72" xfId="0" applyNumberFormat="1" applyFont="1" applyFill="1" applyBorder="1" applyAlignment="1"/>
    <xf numFmtId="0" fontId="0" fillId="0" borderId="86" xfId="0" applyBorder="1"/>
    <xf numFmtId="0" fontId="0" fillId="9" borderId="86" xfId="0" applyFill="1" applyBorder="1"/>
    <xf numFmtId="0" fontId="30" fillId="0" borderId="89" xfId="0" applyFont="1" applyBorder="1" applyAlignment="1"/>
    <xf numFmtId="0" fontId="30" fillId="0" borderId="89" xfId="0" applyNumberFormat="1" applyFont="1" applyBorder="1" applyAlignment="1"/>
    <xf numFmtId="0" fontId="29" fillId="0" borderId="91" xfId="0" applyFont="1" applyBorder="1" applyAlignment="1"/>
    <xf numFmtId="165" fontId="30" fillId="10" borderId="90" xfId="0" applyNumberFormat="1" applyFont="1" applyFill="1" applyBorder="1" applyAlignment="1" applyProtection="1">
      <protection locked="0"/>
    </xf>
    <xf numFmtId="0" fontId="30" fillId="0" borderId="84" xfId="0" applyNumberFormat="1" applyFont="1" applyBorder="1" applyAlignment="1"/>
    <xf numFmtId="0" fontId="29" fillId="0" borderId="85" xfId="0" applyNumberFormat="1" applyFont="1" applyBorder="1" applyAlignment="1">
      <alignment horizontal="center"/>
    </xf>
    <xf numFmtId="0" fontId="30" fillId="0" borderId="85" xfId="0" applyNumberFormat="1" applyFont="1" applyBorder="1" applyAlignment="1">
      <alignment horizontal="center"/>
    </xf>
    <xf numFmtId="165" fontId="30" fillId="12" borderId="88" xfId="0" applyNumberFormat="1" applyFont="1" applyFill="1" applyBorder="1" applyAlignment="1"/>
    <xf numFmtId="0" fontId="29" fillId="0" borderId="36" xfId="0" applyFont="1" applyBorder="1" applyAlignment="1">
      <alignment horizontal="center"/>
    </xf>
    <xf numFmtId="0" fontId="30" fillId="9" borderId="33" xfId="0" applyFont="1" applyFill="1" applyBorder="1"/>
    <xf numFmtId="0" fontId="30" fillId="9" borderId="37" xfId="0" applyFont="1" applyFill="1" applyBorder="1"/>
    <xf numFmtId="0" fontId="30" fillId="0" borderId="89" xfId="0" applyFont="1" applyBorder="1"/>
    <xf numFmtId="0" fontId="30" fillId="0" borderId="91" xfId="0" applyFont="1" applyBorder="1"/>
    <xf numFmtId="0" fontId="29" fillId="0" borderId="83" xfId="0" applyFont="1" applyBorder="1" applyAlignment="1"/>
    <xf numFmtId="0" fontId="30" fillId="0" borderId="75" xfId="0" applyFont="1" applyBorder="1" applyAlignment="1">
      <alignment horizontal="center"/>
    </xf>
    <xf numFmtId="165" fontId="29" fillId="12" borderId="87" xfId="0" applyNumberFormat="1" applyFont="1" applyFill="1" applyBorder="1"/>
    <xf numFmtId="0" fontId="30" fillId="9" borderId="2" xfId="0" applyFont="1" applyFill="1" applyBorder="1"/>
    <xf numFmtId="0" fontId="30" fillId="9" borderId="36" xfId="0" applyFont="1" applyFill="1" applyBorder="1"/>
    <xf numFmtId="165" fontId="30" fillId="12" borderId="87" xfId="0" applyNumberFormat="1" applyFont="1" applyFill="1" applyBorder="1"/>
    <xf numFmtId="0" fontId="29" fillId="0" borderId="89" xfId="0" applyFont="1" applyBorder="1" applyAlignment="1">
      <alignment wrapText="1"/>
    </xf>
    <xf numFmtId="165" fontId="0" fillId="12" borderId="90" xfId="0" applyNumberFormat="1" applyFill="1" applyBorder="1"/>
    <xf numFmtId="0" fontId="0" fillId="0" borderId="84" xfId="0" applyBorder="1" applyAlignment="1">
      <alignment wrapText="1"/>
    </xf>
    <xf numFmtId="0" fontId="29" fillId="0" borderId="84" xfId="0" applyFont="1" applyBorder="1" applyAlignment="1">
      <alignment wrapText="1"/>
    </xf>
    <xf numFmtId="0" fontId="0" fillId="9" borderId="88" xfId="0" applyFill="1" applyBorder="1"/>
    <xf numFmtId="165" fontId="0" fillId="12" borderId="82" xfId="0" applyNumberFormat="1" applyFill="1" applyBorder="1"/>
    <xf numFmtId="165" fontId="0" fillId="12" borderId="92" xfId="0" applyNumberFormat="1" applyFill="1" applyBorder="1"/>
    <xf numFmtId="165" fontId="0" fillId="12" borderId="87" xfId="0" applyNumberFormat="1" applyFill="1" applyBorder="1"/>
    <xf numFmtId="0" fontId="29" fillId="0" borderId="50" xfId="0" applyFont="1" applyBorder="1" applyAlignment="1">
      <alignment horizontal="center"/>
    </xf>
    <xf numFmtId="165" fontId="29" fillId="12" borderId="50" xfId="0" applyNumberFormat="1" applyFont="1" applyFill="1" applyBorder="1"/>
    <xf numFmtId="165" fontId="29" fillId="12" borderId="51" xfId="0" applyNumberFormat="1" applyFont="1" applyFill="1" applyBorder="1"/>
    <xf numFmtId="165" fontId="30" fillId="10" borderId="3" xfId="0" applyNumberFormat="1" applyFont="1" applyFill="1" applyBorder="1" applyProtection="1">
      <protection locked="0"/>
    </xf>
    <xf numFmtId="0" fontId="29" fillId="0" borderId="53" xfId="0" applyFont="1" applyBorder="1" applyAlignment="1">
      <alignment horizontal="center"/>
    </xf>
    <xf numFmtId="165" fontId="29" fillId="12" borderId="53" xfId="0" applyNumberFormat="1" applyFont="1" applyFill="1" applyBorder="1"/>
    <xf numFmtId="165" fontId="29" fillId="12" borderId="54" xfId="0" applyNumberFormat="1" applyFont="1" applyFill="1" applyBorder="1"/>
    <xf numFmtId="165" fontId="30" fillId="12" borderId="59" xfId="0" applyNumberFormat="1" applyFont="1" applyFill="1" applyBorder="1" applyAlignment="1" applyProtection="1"/>
    <xf numFmtId="165" fontId="30" fillId="12" borderId="70" xfId="0" applyNumberFormat="1" applyFont="1" applyFill="1" applyBorder="1" applyAlignment="1" applyProtection="1"/>
    <xf numFmtId="165" fontId="30" fillId="12" borderId="11" xfId="0" applyNumberFormat="1" applyFont="1" applyFill="1" applyBorder="1" applyAlignment="1" applyProtection="1"/>
    <xf numFmtId="165" fontId="30" fillId="12" borderId="71" xfId="0" applyNumberFormat="1" applyFont="1" applyFill="1" applyBorder="1" applyAlignment="1" applyProtection="1"/>
    <xf numFmtId="165" fontId="30" fillId="12" borderId="80" xfId="0" applyNumberFormat="1" applyFont="1" applyFill="1" applyBorder="1" applyAlignment="1" applyProtection="1"/>
    <xf numFmtId="165" fontId="29" fillId="12" borderId="78" xfId="0" applyNumberFormat="1" applyFont="1" applyFill="1" applyBorder="1" applyAlignment="1" applyProtection="1"/>
    <xf numFmtId="165" fontId="0" fillId="12" borderId="82" xfId="0" applyNumberFormat="1" applyFill="1" applyBorder="1" applyProtection="1"/>
    <xf numFmtId="165" fontId="0" fillId="12" borderId="92" xfId="0" applyNumberFormat="1" applyFill="1" applyBorder="1" applyProtection="1"/>
    <xf numFmtId="0" fontId="0" fillId="12" borderId="82" xfId="0" applyFill="1" applyBorder="1" applyProtection="1"/>
    <xf numFmtId="0" fontId="30" fillId="12" borderId="92" xfId="0" applyFont="1" applyFill="1" applyBorder="1" applyProtection="1"/>
    <xf numFmtId="165" fontId="30" fillId="12" borderId="90" xfId="0" applyNumberFormat="1" applyFont="1" applyFill="1" applyBorder="1" applyAlignment="1" applyProtection="1"/>
    <xf numFmtId="165" fontId="30" fillId="12" borderId="92" xfId="0" applyNumberFormat="1" applyFont="1" applyFill="1" applyBorder="1" applyAlignment="1" applyProtection="1"/>
    <xf numFmtId="0" fontId="29" fillId="0" borderId="114" xfId="0" applyFont="1" applyBorder="1" applyAlignment="1">
      <alignment horizontal="centerContinuous"/>
    </xf>
    <xf numFmtId="0" fontId="0" fillId="9" borderId="59" xfId="0" applyFill="1" applyBorder="1"/>
    <xf numFmtId="0" fontId="0" fillId="9" borderId="1" xfId="0" applyFill="1" applyBorder="1" applyAlignment="1">
      <alignment horizontal="center"/>
    </xf>
    <xf numFmtId="165" fontId="0" fillId="10" borderId="3" xfId="0" applyNumberFormat="1" applyFill="1" applyBorder="1" applyAlignment="1" applyProtection="1">
      <protection locked="0"/>
    </xf>
    <xf numFmtId="0" fontId="0" fillId="0" borderId="115" xfId="0" applyBorder="1"/>
    <xf numFmtId="0" fontId="0" fillId="0" borderId="115" xfId="0" applyBorder="1" applyAlignment="1"/>
    <xf numFmtId="0" fontId="0" fillId="0" borderId="116" xfId="0" applyBorder="1"/>
    <xf numFmtId="0" fontId="0" fillId="9" borderId="116" xfId="0" applyFill="1" applyBorder="1" applyAlignment="1">
      <alignment horizontal="center"/>
    </xf>
    <xf numFmtId="0" fontId="0" fillId="9" borderId="116" xfId="0" applyFill="1" applyBorder="1"/>
    <xf numFmtId="0" fontId="0" fillId="9" borderId="117" xfId="0" applyFill="1" applyBorder="1"/>
    <xf numFmtId="0" fontId="0" fillId="9" borderId="91" xfId="0" applyFill="1" applyBorder="1" applyAlignment="1"/>
    <xf numFmtId="0" fontId="0" fillId="9" borderId="3" xfId="0" applyFill="1" applyBorder="1" applyAlignment="1">
      <alignment horizontal="center"/>
    </xf>
    <xf numFmtId="0" fontId="0" fillId="9" borderId="92" xfId="0" applyFill="1" applyBorder="1"/>
    <xf numFmtId="0" fontId="0" fillId="9" borderId="85" xfId="0" applyFill="1" applyBorder="1" applyAlignment="1">
      <alignment horizontal="center"/>
    </xf>
    <xf numFmtId="165" fontId="0" fillId="12" borderId="85" xfId="0" applyNumberFormat="1" applyFill="1" applyBorder="1"/>
    <xf numFmtId="0" fontId="0" fillId="8" borderId="0" xfId="0" applyFill="1" applyAlignment="1"/>
    <xf numFmtId="165" fontId="0" fillId="9" borderId="27" xfId="0" applyNumberFormat="1" applyFill="1" applyBorder="1"/>
    <xf numFmtId="165" fontId="0" fillId="10" borderId="92" xfId="0" applyNumberFormat="1" applyFill="1" applyBorder="1" applyProtection="1">
      <protection locked="0"/>
    </xf>
    <xf numFmtId="165" fontId="0" fillId="9" borderId="85" xfId="0" applyNumberFormat="1" applyFill="1" applyBorder="1"/>
    <xf numFmtId="165" fontId="0" fillId="12" borderId="88" xfId="0" applyNumberFormat="1" applyFill="1" applyBorder="1"/>
    <xf numFmtId="165" fontId="0" fillId="12" borderId="116" xfId="0" applyNumberFormat="1" applyFill="1" applyBorder="1" applyProtection="1"/>
    <xf numFmtId="0" fontId="29" fillId="12" borderId="3" xfId="0" applyFont="1" applyFill="1" applyBorder="1" applyProtection="1"/>
    <xf numFmtId="0" fontId="0" fillId="12" borderId="60" xfId="0" applyFill="1" applyBorder="1" applyProtection="1"/>
    <xf numFmtId="0" fontId="0" fillId="12" borderId="70" xfId="0" applyNumberFormat="1" applyFill="1" applyBorder="1" applyProtection="1"/>
    <xf numFmtId="0" fontId="29" fillId="12" borderId="78" xfId="0" applyFont="1" applyFill="1" applyBorder="1" applyProtection="1"/>
    <xf numFmtId="165" fontId="0" fillId="0" borderId="12" xfId="0" applyNumberFormat="1" applyBorder="1" applyAlignment="1">
      <alignment horizontal="centerContinuous"/>
    </xf>
    <xf numFmtId="0" fontId="29" fillId="0" borderId="94" xfId="0" applyFont="1" applyBorder="1" applyAlignment="1">
      <alignment horizontal="centerContinuous"/>
    </xf>
    <xf numFmtId="0" fontId="29" fillId="0" borderId="118" xfId="0" applyFont="1" applyBorder="1" applyAlignment="1">
      <alignment horizontal="centerContinuous"/>
    </xf>
    <xf numFmtId="0" fontId="0" fillId="0" borderId="119" xfId="0" applyBorder="1"/>
    <xf numFmtId="0" fontId="0" fillId="0" borderId="118" xfId="0" applyBorder="1" applyAlignment="1">
      <alignment horizontal="centerContinuous"/>
    </xf>
    <xf numFmtId="0" fontId="29" fillId="0" borderId="112" xfId="0" applyFont="1" applyBorder="1" applyAlignment="1">
      <alignment horizontal="center"/>
    </xf>
    <xf numFmtId="0" fontId="29" fillId="0" borderId="20" xfId="0" applyFont="1" applyBorder="1" applyAlignment="1">
      <alignment horizontal="center" wrapText="1"/>
    </xf>
    <xf numFmtId="0" fontId="29" fillId="0" borderId="23" xfId="0" applyFont="1" applyBorder="1" applyAlignment="1">
      <alignment horizontal="center"/>
    </xf>
    <xf numFmtId="165" fontId="0" fillId="12" borderId="120" xfId="0" applyNumberFormat="1" applyFill="1" applyBorder="1"/>
    <xf numFmtId="165" fontId="0" fillId="9" borderId="120" xfId="0" applyNumberFormat="1" applyFill="1" applyBorder="1"/>
    <xf numFmtId="165" fontId="0" fillId="12" borderId="121" xfId="0" applyNumberFormat="1" applyFill="1" applyBorder="1"/>
    <xf numFmtId="165" fontId="0" fillId="9" borderId="121" xfId="0" applyNumberFormat="1" applyFill="1" applyBorder="1"/>
    <xf numFmtId="165" fontId="0" fillId="9" borderId="60" xfId="0" applyNumberFormat="1" applyFill="1" applyBorder="1"/>
    <xf numFmtId="0" fontId="0" fillId="10" borderId="121" xfId="0" applyFill="1" applyBorder="1" applyProtection="1">
      <protection locked="0"/>
    </xf>
    <xf numFmtId="165" fontId="29" fillId="12" borderId="121" xfId="0" applyNumberFormat="1" applyFont="1" applyFill="1" applyBorder="1"/>
    <xf numFmtId="165" fontId="29" fillId="12" borderId="92" xfId="0" applyNumberFormat="1" applyFont="1" applyFill="1" applyBorder="1"/>
    <xf numFmtId="165" fontId="0" fillId="10" borderId="121" xfId="0" applyNumberFormat="1" applyFill="1" applyBorder="1" applyProtection="1">
      <protection locked="0"/>
    </xf>
    <xf numFmtId="0" fontId="0" fillId="0" borderId="0" xfId="0" applyProtection="1">
      <protection locked="0"/>
    </xf>
    <xf numFmtId="165" fontId="0" fillId="12" borderId="122" xfId="0" applyNumberFormat="1" applyFill="1" applyBorder="1"/>
    <xf numFmtId="165" fontId="0" fillId="9" borderId="122" xfId="0" applyNumberFormat="1" applyFill="1" applyBorder="1"/>
    <xf numFmtId="165" fontId="0" fillId="9" borderId="11" xfId="0" applyNumberFormat="1" applyFill="1" applyBorder="1"/>
    <xf numFmtId="165" fontId="0" fillId="9" borderId="59" xfId="0" applyNumberFormat="1" applyFill="1" applyBorder="1"/>
    <xf numFmtId="0" fontId="0" fillId="12" borderId="121" xfId="0" applyFill="1" applyBorder="1"/>
    <xf numFmtId="0" fontId="30" fillId="9" borderId="2" xfId="0" applyFont="1" applyFill="1" applyBorder="1" applyAlignment="1">
      <alignment horizontal="center"/>
    </xf>
    <xf numFmtId="0" fontId="0" fillId="9" borderId="20" xfId="0" applyFill="1" applyBorder="1"/>
    <xf numFmtId="0" fontId="0" fillId="9" borderId="121" xfId="0" applyFill="1" applyBorder="1"/>
    <xf numFmtId="165" fontId="29" fillId="12" borderId="11" xfId="0" applyNumberFormat="1" applyFont="1" applyFill="1" applyBorder="1"/>
    <xf numFmtId="165" fontId="29" fillId="12" borderId="122" xfId="0" applyNumberFormat="1" applyFont="1" applyFill="1" applyBorder="1"/>
    <xf numFmtId="165" fontId="29" fillId="12" borderId="66" xfId="0" applyNumberFormat="1" applyFont="1" applyFill="1" applyBorder="1"/>
    <xf numFmtId="165" fontId="29" fillId="12" borderId="123" xfId="0" applyNumberFormat="1" applyFont="1" applyFill="1" applyBorder="1"/>
    <xf numFmtId="0" fontId="0" fillId="9" borderId="66" xfId="0" applyFill="1" applyBorder="1"/>
    <xf numFmtId="0" fontId="0" fillId="9" borderId="123" xfId="0" applyFill="1" applyBorder="1"/>
    <xf numFmtId="0" fontId="30" fillId="0" borderId="101" xfId="0" applyFont="1" applyBorder="1" applyAlignment="1">
      <alignment horizontal="centerContinuous"/>
    </xf>
    <xf numFmtId="0" fontId="30" fillId="0" borderId="118" xfId="0" applyFont="1" applyBorder="1" applyAlignment="1">
      <alignment horizontal="centerContinuous"/>
    </xf>
    <xf numFmtId="0" fontId="29" fillId="0" borderId="95" xfId="0" applyFont="1" applyBorder="1" applyAlignment="1">
      <alignment horizontal="center" wrapText="1"/>
    </xf>
    <xf numFmtId="0" fontId="29" fillId="0" borderId="125" xfId="0" applyFont="1" applyBorder="1" applyAlignment="1">
      <alignment horizontal="center" wrapText="1"/>
    </xf>
    <xf numFmtId="0" fontId="29" fillId="0" borderId="119" xfId="0" applyFont="1" applyBorder="1" applyAlignment="1">
      <alignment horizontal="center" wrapText="1"/>
    </xf>
    <xf numFmtId="0" fontId="30" fillId="0" borderId="104" xfId="0" applyFont="1" applyBorder="1" applyAlignment="1">
      <alignment horizontal="centerContinuous"/>
    </xf>
    <xf numFmtId="165" fontId="0" fillId="10" borderId="120" xfId="0" applyNumberFormat="1" applyFill="1" applyBorder="1" applyProtection="1">
      <protection locked="0"/>
    </xf>
    <xf numFmtId="165" fontId="29" fillId="9" borderId="1" xfId="0" applyNumberFormat="1" applyFont="1" applyFill="1" applyBorder="1"/>
    <xf numFmtId="165" fontId="29" fillId="9" borderId="76" xfId="0" applyNumberFormat="1" applyFont="1" applyFill="1" applyBorder="1"/>
    <xf numFmtId="165" fontId="29" fillId="12" borderId="124" xfId="0" applyNumberFormat="1" applyFont="1" applyFill="1" applyBorder="1"/>
    <xf numFmtId="0" fontId="30" fillId="9" borderId="126" xfId="0" applyFont="1" applyFill="1" applyBorder="1"/>
    <xf numFmtId="165" fontId="30" fillId="9" borderId="116" xfId="0" applyNumberFormat="1" applyFont="1" applyFill="1" applyBorder="1"/>
    <xf numFmtId="0" fontId="30" fillId="9" borderId="121" xfId="0" applyFont="1" applyFill="1" applyBorder="1"/>
    <xf numFmtId="165" fontId="30" fillId="9" borderId="3" xfId="0" applyNumberFormat="1" applyFont="1" applyFill="1" applyBorder="1"/>
    <xf numFmtId="0" fontId="0" fillId="9" borderId="128" xfId="0" applyFill="1" applyBorder="1"/>
    <xf numFmtId="0" fontId="30" fillId="9" borderId="85" xfId="0" applyFont="1" applyFill="1" applyBorder="1"/>
    <xf numFmtId="0" fontId="30" fillId="9" borderId="124" xfId="0" applyFont="1" applyFill="1" applyBorder="1"/>
    <xf numFmtId="165" fontId="0" fillId="12" borderId="124" xfId="0" applyNumberFormat="1" applyFill="1" applyBorder="1"/>
    <xf numFmtId="0" fontId="29" fillId="0" borderId="57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30" fillId="0" borderId="56" xfId="0" applyFont="1" applyBorder="1"/>
    <xf numFmtId="0" fontId="30" fillId="0" borderId="68" xfId="0" applyFont="1" applyBorder="1"/>
    <xf numFmtId="165" fontId="0" fillId="10" borderId="56" xfId="0" applyNumberFormat="1" applyFill="1" applyBorder="1" applyProtection="1">
      <protection locked="0"/>
    </xf>
    <xf numFmtId="0" fontId="30" fillId="0" borderId="67" xfId="0" applyFont="1" applyBorder="1"/>
    <xf numFmtId="165" fontId="0" fillId="12" borderId="67" xfId="0" applyNumberFormat="1" applyFill="1" applyBorder="1"/>
    <xf numFmtId="165" fontId="29" fillId="12" borderId="74" xfId="0" applyNumberFormat="1" applyFont="1" applyFill="1" applyBorder="1"/>
    <xf numFmtId="165" fontId="30" fillId="12" borderId="1" xfId="0" applyNumberFormat="1" applyFont="1" applyFill="1" applyBorder="1"/>
    <xf numFmtId="165" fontId="30" fillId="12" borderId="70" xfId="0" applyNumberFormat="1" applyFont="1" applyFill="1" applyBorder="1"/>
    <xf numFmtId="165" fontId="0" fillId="12" borderId="121" xfId="0" applyNumberFormat="1" applyFill="1" applyBorder="1" applyProtection="1"/>
    <xf numFmtId="165" fontId="29" fillId="12" borderId="11" xfId="0" applyNumberFormat="1" applyFont="1" applyFill="1" applyBorder="1" applyProtection="1"/>
    <xf numFmtId="165" fontId="30" fillId="12" borderId="3" xfId="0" applyNumberFormat="1" applyFont="1" applyFill="1" applyBorder="1" applyProtection="1"/>
    <xf numFmtId="165" fontId="0" fillId="12" borderId="126" xfId="0" applyNumberFormat="1" applyFill="1" applyBorder="1" applyProtection="1"/>
    <xf numFmtId="165" fontId="0" fillId="12" borderId="117" xfId="0" applyNumberFormat="1" applyFill="1" applyBorder="1" applyProtection="1"/>
    <xf numFmtId="0" fontId="29" fillId="0" borderId="61" xfId="0" applyFont="1" applyBorder="1" applyAlignment="1">
      <alignment horizontal="center" vertical="center"/>
    </xf>
    <xf numFmtId="0" fontId="29" fillId="9" borderId="33" xfId="0" applyFont="1" applyFill="1" applyBorder="1" applyAlignment="1"/>
    <xf numFmtId="0" fontId="0" fillId="9" borderId="33" xfId="0" applyFill="1" applyBorder="1" applyAlignment="1"/>
    <xf numFmtId="0" fontId="29" fillId="0" borderId="59" xfId="0" applyFont="1" applyBorder="1" applyAlignment="1">
      <alignment horizontal="center" vertical="center"/>
    </xf>
    <xf numFmtId="0" fontId="0" fillId="9" borderId="1" xfId="0" applyFill="1" applyBorder="1" applyAlignment="1"/>
    <xf numFmtId="0" fontId="29" fillId="9" borderId="2" xfId="0" applyFont="1" applyFill="1" applyBorder="1" applyAlignment="1"/>
    <xf numFmtId="0" fontId="30" fillId="9" borderId="2" xfId="0" applyFont="1" applyFill="1" applyBorder="1" applyAlignment="1"/>
    <xf numFmtId="165" fontId="0" fillId="9" borderId="2" xfId="0" applyNumberFormat="1" applyFill="1" applyBorder="1" applyAlignment="1"/>
    <xf numFmtId="0" fontId="0" fillId="9" borderId="2" xfId="0" applyFill="1" applyBorder="1" applyAlignment="1"/>
    <xf numFmtId="165" fontId="0" fillId="9" borderId="59" xfId="0" applyNumberFormat="1" applyFill="1" applyBorder="1" applyAlignment="1"/>
    <xf numFmtId="165" fontId="0" fillId="10" borderId="11" xfId="0" applyNumberFormat="1" applyFill="1" applyBorder="1" applyAlignment="1" applyProtection="1">
      <protection locked="0"/>
    </xf>
    <xf numFmtId="165" fontId="0" fillId="9" borderId="2" xfId="0" applyNumberFormat="1" applyFill="1" applyBorder="1"/>
    <xf numFmtId="165" fontId="29" fillId="12" borderId="1" xfId="0" applyNumberFormat="1" applyFont="1" applyFill="1" applyBorder="1" applyAlignment="1"/>
    <xf numFmtId="165" fontId="0" fillId="12" borderId="76" xfId="0" applyNumberFormat="1" applyFill="1" applyBorder="1" applyAlignment="1"/>
    <xf numFmtId="165" fontId="0" fillId="10" borderId="76" xfId="0" applyNumberFormat="1" applyFill="1" applyBorder="1" applyAlignment="1" applyProtection="1">
      <protection locked="0"/>
    </xf>
    <xf numFmtId="165" fontId="0" fillId="12" borderId="78" xfId="0" applyNumberFormat="1" applyFill="1" applyBorder="1"/>
    <xf numFmtId="165" fontId="0" fillId="12" borderId="1" xfId="0" applyNumberFormat="1" applyFill="1" applyBorder="1" applyAlignment="1"/>
    <xf numFmtId="165" fontId="0" fillId="10" borderId="1" xfId="0" applyNumberFormat="1" applyFill="1" applyBorder="1" applyAlignment="1" applyProtection="1">
      <protection locked="0"/>
    </xf>
    <xf numFmtId="165" fontId="0" fillId="12" borderId="78" xfId="0" applyNumberFormat="1" applyFill="1" applyBorder="1" applyProtection="1"/>
    <xf numFmtId="165" fontId="0" fillId="0" borderId="0" xfId="0" applyNumberFormat="1" applyAlignment="1">
      <alignment horizontal="center" wrapText="1"/>
    </xf>
    <xf numFmtId="0" fontId="29" fillId="0" borderId="112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165" fontId="30" fillId="10" borderId="27" xfId="0" applyNumberFormat="1" applyFont="1" applyFill="1" applyBorder="1" applyProtection="1">
      <protection locked="0"/>
    </xf>
    <xf numFmtId="165" fontId="29" fillId="12" borderId="120" xfId="0" applyNumberFormat="1" applyFont="1" applyFill="1" applyBorder="1"/>
    <xf numFmtId="165" fontId="30" fillId="10" borderId="11" xfId="0" applyNumberFormat="1" applyFont="1" applyFill="1" applyBorder="1" applyProtection="1">
      <protection locked="0"/>
    </xf>
    <xf numFmtId="165" fontId="0" fillId="10" borderId="122" xfId="0" applyNumberFormat="1" applyFill="1" applyBorder="1" applyProtection="1">
      <protection locked="0"/>
    </xf>
    <xf numFmtId="0" fontId="29" fillId="0" borderId="131" xfId="0" applyFont="1" applyBorder="1"/>
    <xf numFmtId="165" fontId="0" fillId="10" borderId="59" xfId="0" applyNumberFormat="1" applyFill="1" applyBorder="1" applyProtection="1">
      <protection locked="0"/>
    </xf>
    <xf numFmtId="165" fontId="29" fillId="12" borderId="132" xfId="0" applyNumberFormat="1" applyFont="1" applyFill="1" applyBorder="1"/>
    <xf numFmtId="165" fontId="29" fillId="12" borderId="88" xfId="0" applyNumberFormat="1" applyFont="1" applyFill="1" applyBorder="1"/>
    <xf numFmtId="0" fontId="29" fillId="0" borderId="2" xfId="0" applyFont="1" applyBorder="1"/>
    <xf numFmtId="0" fontId="29" fillId="9" borderId="2" xfId="0" applyFont="1" applyFill="1" applyBorder="1"/>
    <xf numFmtId="165" fontId="30" fillId="12" borderId="2" xfId="0" applyNumberFormat="1" applyFont="1" applyFill="1" applyBorder="1"/>
    <xf numFmtId="165" fontId="30" fillId="10" borderId="2" xfId="0" applyNumberFormat="1" applyFont="1" applyFill="1" applyBorder="1" applyProtection="1">
      <protection locked="0"/>
    </xf>
    <xf numFmtId="0" fontId="0" fillId="0" borderId="16" xfId="0" applyBorder="1"/>
    <xf numFmtId="0" fontId="29" fillId="0" borderId="134" xfId="0" applyFont="1" applyBorder="1"/>
    <xf numFmtId="0" fontId="29" fillId="0" borderId="135" xfId="0" applyFont="1" applyBorder="1"/>
    <xf numFmtId="0" fontId="29" fillId="9" borderId="110" xfId="0" applyFont="1" applyFill="1" applyBorder="1"/>
    <xf numFmtId="0" fontId="29" fillId="9" borderId="133" xfId="0" applyFont="1" applyFill="1" applyBorder="1"/>
    <xf numFmtId="0" fontId="30" fillId="9" borderId="133" xfId="0" applyFont="1" applyFill="1" applyBorder="1"/>
    <xf numFmtId="0" fontId="29" fillId="9" borderId="58" xfId="0" applyFont="1" applyFill="1" applyBorder="1" applyAlignment="1">
      <alignment horizontal="center" wrapText="1"/>
    </xf>
    <xf numFmtId="0" fontId="29" fillId="9" borderId="61" xfId="0" applyFont="1" applyFill="1" applyBorder="1" applyAlignment="1">
      <alignment horizontal="center" wrapText="1"/>
    </xf>
    <xf numFmtId="0" fontId="29" fillId="9" borderId="2" xfId="0" applyFont="1" applyFill="1" applyBorder="1" applyAlignment="1">
      <alignment horizontal="center" wrapText="1"/>
    </xf>
    <xf numFmtId="0" fontId="29" fillId="9" borderId="59" xfId="0" applyFont="1" applyFill="1" applyBorder="1" applyAlignment="1">
      <alignment horizontal="center" wrapText="1"/>
    </xf>
    <xf numFmtId="0" fontId="29" fillId="9" borderId="45" xfId="0" applyFont="1" applyFill="1" applyBorder="1" applyAlignment="1">
      <alignment horizontal="center" wrapText="1"/>
    </xf>
    <xf numFmtId="0" fontId="29" fillId="9" borderId="3" xfId="0" applyFont="1" applyFill="1" applyBorder="1"/>
    <xf numFmtId="165" fontId="29" fillId="0" borderId="0" xfId="0" applyNumberFormat="1" applyFont="1"/>
    <xf numFmtId="0" fontId="29" fillId="9" borderId="11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29" fillId="9" borderId="11" xfId="0" applyFont="1" applyFill="1" applyBorder="1"/>
    <xf numFmtId="0" fontId="29" fillId="9" borderId="11" xfId="0" applyNumberFormat="1" applyFont="1" applyFill="1" applyBorder="1"/>
    <xf numFmtId="165" fontId="0" fillId="9" borderId="76" xfId="0" applyNumberFormat="1" applyFill="1" applyBorder="1"/>
    <xf numFmtId="165" fontId="0" fillId="9" borderId="78" xfId="0" applyNumberFormat="1" applyFill="1" applyBorder="1"/>
    <xf numFmtId="0" fontId="0" fillId="0" borderId="136" xfId="0" applyBorder="1"/>
    <xf numFmtId="0" fontId="0" fillId="0" borderId="137" xfId="0" applyBorder="1" applyAlignment="1">
      <alignment horizontal="center"/>
    </xf>
    <xf numFmtId="0" fontId="29" fillId="0" borderId="137" xfId="0" applyFont="1" applyBorder="1" applyAlignment="1">
      <alignment horizontal="center"/>
    </xf>
    <xf numFmtId="165" fontId="0" fillId="12" borderId="137" xfId="0" applyNumberFormat="1" applyFill="1" applyBorder="1"/>
    <xf numFmtId="165" fontId="0" fillId="10" borderId="137" xfId="0" applyNumberFormat="1" applyFill="1" applyBorder="1" applyProtection="1">
      <protection locked="0"/>
    </xf>
    <xf numFmtId="0" fontId="29" fillId="0" borderId="27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29" fillId="0" borderId="56" xfId="0" applyNumberFormat="1" applyFont="1" applyBorder="1"/>
    <xf numFmtId="0" fontId="0" fillId="0" borderId="3" xfId="0" applyNumberFormat="1" applyBorder="1" applyAlignment="1">
      <alignment horizontal="center"/>
    </xf>
    <xf numFmtId="0" fontId="29" fillId="0" borderId="67" xfId="0" applyNumberFormat="1" applyFont="1" applyBorder="1"/>
    <xf numFmtId="0" fontId="0" fillId="0" borderId="67" xfId="0" applyNumberFormat="1" applyBorder="1"/>
    <xf numFmtId="0" fontId="30" fillId="0" borderId="56" xfId="0" applyNumberFormat="1" applyFont="1" applyBorder="1" applyAlignment="1">
      <alignment wrapText="1"/>
    </xf>
    <xf numFmtId="0" fontId="0" fillId="0" borderId="74" xfId="0" applyBorder="1" applyAlignment="1">
      <alignment wrapText="1"/>
    </xf>
    <xf numFmtId="0" fontId="30" fillId="0" borderId="74" xfId="0" applyFont="1" applyBorder="1" applyAlignment="1">
      <alignment wrapText="1"/>
    </xf>
    <xf numFmtId="0" fontId="30" fillId="0" borderId="74" xfId="0" applyNumberFormat="1" applyFont="1" applyBorder="1" applyAlignment="1">
      <alignment wrapText="1"/>
    </xf>
    <xf numFmtId="0" fontId="0" fillId="9" borderId="33" xfId="0" applyFill="1" applyBorder="1" applyAlignment="1">
      <alignment horizontal="center"/>
    </xf>
    <xf numFmtId="166" fontId="0" fillId="0" borderId="0" xfId="0" applyNumberFormat="1"/>
    <xf numFmtId="166" fontId="0" fillId="12" borderId="3" xfId="0" applyNumberFormat="1" applyFill="1" applyBorder="1"/>
    <xf numFmtId="166" fontId="0" fillId="12" borderId="76" xfId="0" applyNumberFormat="1" applyFill="1" applyBorder="1"/>
    <xf numFmtId="0" fontId="0" fillId="0" borderId="55" xfId="0" applyNumberFormat="1" applyBorder="1" applyAlignment="1">
      <alignment wrapText="1"/>
    </xf>
    <xf numFmtId="0" fontId="0" fillId="0" borderId="109" xfId="0" applyNumberFormat="1" applyBorder="1"/>
    <xf numFmtId="165" fontId="0" fillId="10" borderId="110" xfId="0" applyNumberFormat="1" applyFill="1" applyBorder="1" applyProtection="1">
      <protection locked="0"/>
    </xf>
    <xf numFmtId="0" fontId="0" fillId="12" borderId="92" xfId="0" applyNumberFormat="1" applyFill="1" applyBorder="1" applyAlignment="1"/>
    <xf numFmtId="0" fontId="0" fillId="12" borderId="82" xfId="0" applyNumberFormat="1" applyFill="1" applyBorder="1"/>
    <xf numFmtId="0" fontId="0" fillId="12" borderId="92" xfId="0" applyNumberFormat="1" applyFill="1" applyBorder="1"/>
    <xf numFmtId="0" fontId="29" fillId="0" borderId="91" xfId="0" applyFont="1" applyBorder="1"/>
    <xf numFmtId="0" fontId="29" fillId="12" borderId="92" xfId="0" applyNumberFormat="1" applyFont="1" applyFill="1" applyBorder="1"/>
    <xf numFmtId="0" fontId="0" fillId="10" borderId="85" xfId="0" applyFill="1" applyBorder="1" applyProtection="1">
      <protection locked="0"/>
    </xf>
    <xf numFmtId="0" fontId="0" fillId="10" borderId="139" xfId="0" applyFill="1" applyBorder="1"/>
    <xf numFmtId="0" fontId="0" fillId="10" borderId="140" xfId="0" applyFill="1" applyBorder="1"/>
    <xf numFmtId="165" fontId="30" fillId="12" borderId="11" xfId="0" applyNumberFormat="1" applyFont="1" applyFill="1" applyBorder="1" applyProtection="1"/>
    <xf numFmtId="165" fontId="30" fillId="12" borderId="1" xfId="0" applyNumberFormat="1" applyFont="1" applyFill="1" applyBorder="1" applyProtection="1"/>
    <xf numFmtId="165" fontId="0" fillId="12" borderId="110" xfId="0" applyNumberFormat="1" applyFill="1" applyBorder="1" applyProtection="1"/>
    <xf numFmtId="165" fontId="0" fillId="12" borderId="111" xfId="0" applyNumberFormat="1" applyFill="1" applyBorder="1" applyProtection="1"/>
    <xf numFmtId="165" fontId="0" fillId="12" borderId="137" xfId="0" applyNumberFormat="1" applyFill="1" applyBorder="1" applyProtection="1"/>
    <xf numFmtId="165" fontId="0" fillId="12" borderId="138" xfId="0" applyNumberFormat="1" applyFill="1" applyBorder="1" applyProtection="1"/>
    <xf numFmtId="165" fontId="0" fillId="12" borderId="76" xfId="0" applyNumberFormat="1" applyFill="1" applyBorder="1" applyProtection="1"/>
    <xf numFmtId="0" fontId="0" fillId="12" borderId="59" xfId="0" applyFill="1" applyBorder="1" applyProtection="1"/>
    <xf numFmtId="0" fontId="0" fillId="12" borderId="111" xfId="0" applyFill="1" applyBorder="1" applyProtection="1"/>
    <xf numFmtId="165" fontId="0" fillId="12" borderId="85" xfId="0" applyNumberFormat="1" applyFill="1" applyBorder="1" applyProtection="1"/>
    <xf numFmtId="167" fontId="0" fillId="0" borderId="0" xfId="0" applyNumberFormat="1"/>
    <xf numFmtId="0" fontId="30" fillId="0" borderId="56" xfId="0" applyFont="1" applyBorder="1" applyAlignment="1"/>
    <xf numFmtId="0" fontId="0" fillId="7" borderId="0" xfId="0" applyFill="1" applyAlignment="1">
      <alignment horizontal="center"/>
    </xf>
    <xf numFmtId="0" fontId="29" fillId="9" borderId="33" xfId="0" applyFont="1" applyFill="1" applyBorder="1" applyAlignment="1">
      <alignment horizontal="center"/>
    </xf>
    <xf numFmtId="165" fontId="0" fillId="9" borderId="33" xfId="0" applyNumberFormat="1" applyFill="1" applyBorder="1" applyAlignment="1"/>
    <xf numFmtId="0" fontId="0" fillId="9" borderId="11" xfId="0" applyFill="1" applyBorder="1" applyAlignment="1"/>
    <xf numFmtId="165" fontId="0" fillId="9" borderId="11" xfId="0" applyNumberFormat="1" applyFill="1" applyBorder="1" applyAlignment="1"/>
    <xf numFmtId="0" fontId="0" fillId="9" borderId="3" xfId="0" applyFill="1" applyBorder="1" applyAlignment="1"/>
    <xf numFmtId="165" fontId="0" fillId="9" borderId="3" xfId="0" applyNumberFormat="1" applyFill="1" applyBorder="1" applyAlignment="1"/>
    <xf numFmtId="0" fontId="0" fillId="9" borderId="59" xfId="0" applyFill="1" applyBorder="1" applyAlignment="1"/>
    <xf numFmtId="0" fontId="0" fillId="9" borderId="70" xfId="0" applyFill="1" applyBorder="1" applyAlignment="1"/>
    <xf numFmtId="165" fontId="29" fillId="9" borderId="1" xfId="0" applyNumberFormat="1" applyFont="1" applyFill="1" applyBorder="1" applyAlignment="1"/>
    <xf numFmtId="165" fontId="0" fillId="9" borderId="1" xfId="0" applyNumberFormat="1" applyFill="1" applyBorder="1" applyAlignment="1"/>
    <xf numFmtId="165" fontId="30" fillId="10" borderId="70" xfId="0" applyNumberFormat="1" applyFont="1" applyFill="1" applyBorder="1" applyAlignment="1" applyProtection="1">
      <protection locked="0"/>
    </xf>
    <xf numFmtId="165" fontId="30" fillId="10" borderId="27" xfId="0" applyNumberFormat="1" applyFont="1" applyFill="1" applyBorder="1" applyAlignment="1" applyProtection="1">
      <protection locked="0"/>
    </xf>
    <xf numFmtId="165" fontId="0" fillId="10" borderId="27" xfId="0" applyNumberFormat="1" applyFill="1" applyBorder="1" applyAlignment="1" applyProtection="1">
      <protection locked="0"/>
    </xf>
    <xf numFmtId="165" fontId="0" fillId="9" borderId="1" xfId="0" applyNumberFormat="1" applyFill="1" applyBorder="1" applyAlignment="1">
      <alignment horizontal="center"/>
    </xf>
    <xf numFmtId="165" fontId="0" fillId="10" borderId="70" xfId="0" applyNumberFormat="1" applyFill="1" applyBorder="1" applyAlignment="1" applyProtection="1">
      <protection locked="0"/>
    </xf>
    <xf numFmtId="0" fontId="30" fillId="9" borderId="59" xfId="0" applyNumberFormat="1" applyFont="1" applyFill="1" applyBorder="1" applyAlignment="1"/>
    <xf numFmtId="165" fontId="0" fillId="12" borderId="53" xfId="0" applyNumberFormat="1" applyFill="1" applyBorder="1"/>
    <xf numFmtId="165" fontId="0" fillId="9" borderId="53" xfId="0" applyNumberFormat="1" applyFill="1" applyBorder="1" applyAlignment="1"/>
    <xf numFmtId="165" fontId="0" fillId="10" borderId="53" xfId="0" applyNumberFormat="1" applyFill="1" applyBorder="1" applyAlignment="1" applyProtection="1">
      <protection locked="0"/>
    </xf>
    <xf numFmtId="165" fontId="0" fillId="9" borderId="54" xfId="0" applyNumberFormat="1" applyFill="1" applyBorder="1" applyAlignment="1"/>
    <xf numFmtId="165" fontId="0" fillId="12" borderId="1" xfId="0" applyNumberFormat="1" applyFill="1" applyBorder="1" applyAlignment="1" applyProtection="1"/>
    <xf numFmtId="0" fontId="30" fillId="9" borderId="11" xfId="0" applyFont="1" applyFill="1" applyBorder="1"/>
    <xf numFmtId="0" fontId="30" fillId="0" borderId="55" xfId="0" applyFont="1" applyBorder="1"/>
    <xf numFmtId="165" fontId="29" fillId="12" borderId="45" xfId="0" applyNumberFormat="1" applyFont="1" applyFill="1" applyBorder="1"/>
    <xf numFmtId="0" fontId="0" fillId="9" borderId="45" xfId="0" applyFill="1" applyBorder="1"/>
    <xf numFmtId="0" fontId="0" fillId="9" borderId="50" xfId="0" applyFill="1" applyBorder="1"/>
    <xf numFmtId="0" fontId="29" fillId="0" borderId="141" xfId="0" applyFont="1" applyBorder="1"/>
    <xf numFmtId="165" fontId="29" fillId="12" borderId="142" xfId="0" applyNumberFormat="1" applyFont="1" applyFill="1" applyBorder="1"/>
    <xf numFmtId="0" fontId="29" fillId="0" borderId="57" xfId="0" applyFont="1" applyBorder="1" applyAlignment="1">
      <alignment wrapText="1"/>
    </xf>
    <xf numFmtId="165" fontId="0" fillId="10" borderId="78" xfId="0" applyNumberFormat="1" applyFill="1" applyBorder="1" applyProtection="1">
      <protection locked="0"/>
    </xf>
    <xf numFmtId="165" fontId="30" fillId="12" borderId="60" xfId="0" applyNumberFormat="1" applyFont="1" applyFill="1" applyBorder="1"/>
    <xf numFmtId="165" fontId="0" fillId="7" borderId="55" xfId="0" applyNumberFormat="1" applyFill="1" applyBorder="1" applyAlignment="1"/>
    <xf numFmtId="165" fontId="0" fillId="7" borderId="68" xfId="0" applyNumberFormat="1" applyFill="1" applyBorder="1" applyAlignment="1"/>
    <xf numFmtId="165" fontId="0" fillId="7" borderId="67" xfId="0" applyNumberFormat="1" applyFill="1" applyBorder="1" applyAlignment="1"/>
    <xf numFmtId="0" fontId="29" fillId="9" borderId="59" xfId="0" applyFont="1" applyFill="1" applyBorder="1" applyAlignment="1"/>
    <xf numFmtId="0" fontId="30" fillId="0" borderId="59" xfId="0" applyFont="1" applyBorder="1" applyAlignment="1"/>
    <xf numFmtId="165" fontId="0" fillId="12" borderId="70" xfId="0" applyNumberFormat="1" applyFill="1" applyBorder="1" applyAlignment="1" applyProtection="1"/>
    <xf numFmtId="165" fontId="29" fillId="12" borderId="45" xfId="0" applyNumberFormat="1" applyFont="1" applyFill="1" applyBorder="1" applyProtection="1"/>
    <xf numFmtId="165" fontId="29" fillId="12" borderId="59" xfId="0" applyNumberFormat="1" applyFont="1" applyFill="1" applyBorder="1" applyProtection="1"/>
    <xf numFmtId="165" fontId="0" fillId="12" borderId="80" xfId="0" applyNumberFormat="1" applyFill="1" applyBorder="1" applyProtection="1"/>
    <xf numFmtId="165" fontId="29" fillId="12" borderId="76" xfId="0" applyNumberFormat="1" applyFont="1" applyFill="1" applyBorder="1" applyAlignment="1" applyProtection="1"/>
    <xf numFmtId="165" fontId="0" fillId="12" borderId="65" xfId="0" applyNumberFormat="1" applyFill="1" applyBorder="1" applyProtection="1"/>
    <xf numFmtId="165" fontId="0" fillId="9" borderId="3" xfId="0" applyNumberFormat="1" applyFill="1" applyBorder="1" applyAlignment="1" applyProtection="1"/>
    <xf numFmtId="165" fontId="30" fillId="11" borderId="0" xfId="0" applyNumberFormat="1" applyFont="1" applyFill="1"/>
    <xf numFmtId="0" fontId="0" fillId="9" borderId="90" xfId="0" applyFill="1" applyBorder="1"/>
    <xf numFmtId="165" fontId="29" fillId="12" borderId="60" xfId="0" applyNumberFormat="1" applyFont="1" applyFill="1" applyBorder="1"/>
    <xf numFmtId="165" fontId="30" fillId="10" borderId="1" xfId="0" applyNumberFormat="1" applyFont="1" applyFill="1" applyBorder="1" applyProtection="1">
      <protection locked="0"/>
    </xf>
    <xf numFmtId="165" fontId="30" fillId="9" borderId="27" xfId="0" applyNumberFormat="1" applyFont="1" applyFill="1" applyBorder="1"/>
    <xf numFmtId="0" fontId="0" fillId="0" borderId="143" xfId="0" applyBorder="1"/>
    <xf numFmtId="0" fontId="29" fillId="0" borderId="143" xfId="0" applyFont="1" applyBorder="1" applyAlignment="1"/>
    <xf numFmtId="0" fontId="0" fillId="0" borderId="144" xfId="0" applyBorder="1" applyAlignment="1">
      <alignment horizontal="center"/>
    </xf>
    <xf numFmtId="0" fontId="29" fillId="0" borderId="144" xfId="0" applyFont="1" applyBorder="1" applyAlignment="1">
      <alignment horizontal="center"/>
    </xf>
    <xf numFmtId="0" fontId="30" fillId="0" borderId="14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0" borderId="84" xfId="0" applyFont="1" applyBorder="1"/>
    <xf numFmtId="165" fontId="29" fillId="12" borderId="88" xfId="0" applyNumberFormat="1" applyFont="1" applyFill="1" applyBorder="1" applyAlignment="1"/>
    <xf numFmtId="165" fontId="29" fillId="12" borderId="2" xfId="0" applyNumberFormat="1" applyFont="1" applyFill="1" applyBorder="1" applyProtection="1"/>
    <xf numFmtId="165" fontId="29" fillId="12" borderId="144" xfId="0" applyNumberFormat="1" applyFont="1" applyFill="1" applyBorder="1" applyAlignment="1" applyProtection="1"/>
    <xf numFmtId="165" fontId="29" fillId="12" borderId="145" xfId="0" applyNumberFormat="1" applyFont="1" applyFill="1" applyBorder="1" applyAlignment="1" applyProtection="1"/>
    <xf numFmtId="0" fontId="0" fillId="7" borderId="0" xfId="0" applyFill="1" applyAlignment="1" applyProtection="1"/>
    <xf numFmtId="165" fontId="30" fillId="10" borderId="59" xfId="0" applyNumberFormat="1" applyFont="1" applyFill="1" applyBorder="1" applyProtection="1">
      <protection locked="0"/>
    </xf>
    <xf numFmtId="165" fontId="30" fillId="10" borderId="70" xfId="0" applyNumberFormat="1" applyFont="1" applyFill="1" applyBorder="1" applyProtection="1">
      <protection locked="0"/>
    </xf>
    <xf numFmtId="0" fontId="29" fillId="0" borderId="73" xfId="0" applyFont="1" applyBorder="1"/>
    <xf numFmtId="165" fontId="29" fillId="12" borderId="77" xfId="0" applyNumberFormat="1" applyFont="1" applyFill="1" applyBorder="1"/>
    <xf numFmtId="165" fontId="29" fillId="9" borderId="60" xfId="0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165" fontId="29" fillId="12" borderId="147" xfId="0" applyNumberFormat="1" applyFont="1" applyFill="1" applyBorder="1"/>
    <xf numFmtId="165" fontId="30" fillId="10" borderId="78" xfId="0" applyNumberFormat="1" applyFont="1" applyFill="1" applyBorder="1" applyProtection="1">
      <protection locked="0"/>
    </xf>
    <xf numFmtId="0" fontId="33" fillId="0" borderId="0" xfId="0" applyFont="1"/>
    <xf numFmtId="0" fontId="0" fillId="0" borderId="68" xfId="0" applyNumberFormat="1" applyBorder="1"/>
    <xf numFmtId="165" fontId="29" fillId="12" borderId="75" xfId="0" applyNumberFormat="1" applyFont="1" applyFill="1" applyBorder="1"/>
    <xf numFmtId="0" fontId="29" fillId="0" borderId="113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9" fillId="0" borderId="148" xfId="0" applyFont="1" applyBorder="1" applyAlignment="1">
      <alignment horizontal="center" wrapText="1"/>
    </xf>
    <xf numFmtId="0" fontId="0" fillId="9" borderId="43" xfId="0" applyFill="1" applyBorder="1"/>
    <xf numFmtId="165" fontId="29" fillId="12" borderId="151" xfId="0" applyNumberFormat="1" applyFont="1" applyFill="1" applyBorder="1"/>
    <xf numFmtId="165" fontId="0" fillId="9" borderId="50" xfId="0" applyNumberFormat="1" applyFill="1" applyBorder="1"/>
    <xf numFmtId="0" fontId="30" fillId="9" borderId="43" xfId="0" applyFont="1" applyFill="1" applyBorder="1"/>
    <xf numFmtId="0" fontId="30" fillId="9" borderId="60" xfId="0" applyFont="1" applyFill="1" applyBorder="1"/>
    <xf numFmtId="165" fontId="30" fillId="12" borderId="59" xfId="0" applyNumberFormat="1" applyFont="1" applyFill="1" applyBorder="1"/>
    <xf numFmtId="0" fontId="0" fillId="9" borderId="144" xfId="0" applyFill="1" applyBorder="1"/>
    <xf numFmtId="165" fontId="0" fillId="9" borderId="144" xfId="0" applyNumberFormat="1" applyFill="1" applyBorder="1"/>
    <xf numFmtId="165" fontId="29" fillId="12" borderId="69" xfId="0" applyNumberFormat="1" applyFont="1" applyFill="1" applyBorder="1"/>
    <xf numFmtId="165" fontId="29" fillId="9" borderId="27" xfId="0" applyNumberFormat="1" applyFont="1" applyFill="1" applyBorder="1"/>
    <xf numFmtId="0" fontId="29" fillId="9" borderId="11" xfId="0" applyFont="1" applyFill="1" applyBorder="1" applyAlignment="1"/>
    <xf numFmtId="0" fontId="0" fillId="9" borderId="27" xfId="0" applyFill="1" applyBorder="1" applyAlignment="1"/>
    <xf numFmtId="0" fontId="0" fillId="7" borderId="3" xfId="0" applyFill="1" applyBorder="1" applyAlignment="1"/>
    <xf numFmtId="165" fontId="29" fillId="12" borderId="60" xfId="0" applyNumberFormat="1" applyFont="1" applyFill="1" applyBorder="1" applyAlignment="1"/>
    <xf numFmtId="165" fontId="29" fillId="7" borderId="3" xfId="0" applyNumberFormat="1" applyFont="1" applyFill="1" applyBorder="1" applyAlignment="1"/>
    <xf numFmtId="0" fontId="0" fillId="7" borderId="70" xfId="0" applyFill="1" applyBorder="1" applyAlignment="1"/>
    <xf numFmtId="165" fontId="29" fillId="7" borderId="70" xfId="0" applyNumberFormat="1" applyFont="1" applyFill="1" applyBorder="1" applyAlignment="1"/>
    <xf numFmtId="0" fontId="29" fillId="7" borderId="70" xfId="0" applyFont="1" applyFill="1" applyBorder="1" applyAlignment="1"/>
    <xf numFmtId="0" fontId="30" fillId="9" borderId="3" xfId="0" applyNumberFormat="1" applyFont="1" applyFill="1" applyBorder="1" applyAlignment="1"/>
    <xf numFmtId="165" fontId="0" fillId="7" borderId="3" xfId="0" applyNumberFormat="1" applyFill="1" applyBorder="1"/>
    <xf numFmtId="165" fontId="29" fillId="7" borderId="70" xfId="0" applyNumberFormat="1" applyFont="1" applyFill="1" applyBorder="1"/>
    <xf numFmtId="165" fontId="0" fillId="12" borderId="59" xfId="0" applyNumberFormat="1" applyFill="1" applyBorder="1" applyAlignment="1" applyProtection="1"/>
    <xf numFmtId="165" fontId="0" fillId="12" borderId="144" xfId="0" applyNumberFormat="1" applyFill="1" applyBorder="1" applyProtection="1"/>
    <xf numFmtId="165" fontId="0" fillId="12" borderId="50" xfId="0" applyNumberFormat="1" applyFill="1" applyBorder="1" applyProtection="1"/>
    <xf numFmtId="165" fontId="30" fillId="12" borderId="153" xfId="0" applyNumberFormat="1" applyFont="1" applyFill="1" applyBorder="1" applyProtection="1"/>
    <xf numFmtId="165" fontId="30" fillId="12" borderId="152" xfId="0" applyNumberFormat="1" applyFont="1" applyFill="1" applyBorder="1" applyProtection="1"/>
    <xf numFmtId="0" fontId="0" fillId="12" borderId="70" xfId="0" applyFill="1" applyBorder="1" applyProtection="1"/>
    <xf numFmtId="165" fontId="30" fillId="12" borderId="144" xfId="0" applyNumberFormat="1" applyFont="1" applyFill="1" applyBorder="1" applyProtection="1"/>
    <xf numFmtId="165" fontId="30" fillId="12" borderId="50" xfId="0" applyNumberFormat="1" applyFont="1" applyFill="1" applyBorder="1" applyProtection="1"/>
    <xf numFmtId="165" fontId="30" fillId="12" borderId="145" xfId="0" applyNumberFormat="1" applyFont="1" applyFill="1" applyBorder="1" applyProtection="1"/>
    <xf numFmtId="165" fontId="30" fillId="12" borderId="60" xfId="0" applyNumberFormat="1" applyFont="1" applyFill="1" applyBorder="1" applyProtection="1"/>
    <xf numFmtId="165" fontId="0" fillId="12" borderId="27" xfId="0" applyNumberFormat="1" applyFill="1" applyBorder="1" applyAlignment="1" applyProtection="1"/>
    <xf numFmtId="165" fontId="0" fillId="12" borderId="60" xfId="0" applyNumberFormat="1" applyFill="1" applyBorder="1" applyAlignment="1" applyProtection="1"/>
    <xf numFmtId="165" fontId="0" fillId="12" borderId="149" xfId="0" applyNumberFormat="1" applyFill="1" applyBorder="1" applyProtection="1"/>
    <xf numFmtId="165" fontId="0" fillId="12" borderId="150" xfId="0" applyNumberFormat="1" applyFill="1" applyBorder="1" applyProtection="1"/>
    <xf numFmtId="165" fontId="29" fillId="12" borderId="60" xfId="0" applyNumberFormat="1" applyFont="1" applyFill="1" applyBorder="1" applyAlignment="1" applyProtection="1"/>
    <xf numFmtId="165" fontId="29" fillId="12" borderId="1" xfId="0" applyNumberFormat="1" applyFont="1" applyFill="1" applyBorder="1" applyAlignment="1" applyProtection="1"/>
    <xf numFmtId="165" fontId="0" fillId="12" borderId="76" xfId="0" applyNumberFormat="1" applyFill="1" applyBorder="1" applyAlignment="1" applyProtection="1"/>
    <xf numFmtId="0" fontId="29" fillId="0" borderId="58" xfId="0" applyFont="1" applyBorder="1" applyAlignment="1">
      <alignment horizontal="centerContinuous"/>
    </xf>
    <xf numFmtId="165" fontId="29" fillId="12" borderId="75" xfId="0" applyNumberFormat="1" applyFont="1" applyFill="1" applyBorder="1" applyAlignment="1"/>
    <xf numFmtId="0" fontId="0" fillId="9" borderId="110" xfId="0" applyFill="1" applyBorder="1"/>
    <xf numFmtId="0" fontId="0" fillId="9" borderId="111" xfId="0" applyFill="1" applyBorder="1"/>
    <xf numFmtId="0" fontId="0" fillId="0" borderId="95" xfId="0" applyBorder="1" applyAlignment="1"/>
    <xf numFmtId="0" fontId="30" fillId="0" borderId="95" xfId="0" applyFont="1" applyBorder="1" applyAlignment="1"/>
    <xf numFmtId="0" fontId="29" fillId="9" borderId="95" xfId="0" applyFont="1" applyFill="1" applyBorder="1" applyAlignment="1"/>
    <xf numFmtId="165" fontId="0" fillId="10" borderId="60" xfId="0" applyNumberFormat="1" applyFill="1" applyBorder="1" applyAlignment="1" applyProtection="1">
      <protection locked="0"/>
    </xf>
    <xf numFmtId="0" fontId="0" fillId="9" borderId="76" xfId="0" applyFill="1" applyBorder="1" applyAlignment="1"/>
    <xf numFmtId="0" fontId="29" fillId="0" borderId="33" xfId="0" applyFont="1" applyBorder="1" applyAlignment="1">
      <alignment horizontal="center" wrapText="1"/>
    </xf>
    <xf numFmtId="0" fontId="29" fillId="0" borderId="60" xfId="0" applyFont="1" applyBorder="1" applyAlignment="1">
      <alignment horizontal="center" wrapText="1"/>
    </xf>
    <xf numFmtId="0" fontId="30" fillId="9" borderId="65" xfId="0" applyFont="1" applyFill="1" applyBorder="1"/>
    <xf numFmtId="0" fontId="30" fillId="9" borderId="80" xfId="0" applyFont="1" applyFill="1" applyBorder="1"/>
    <xf numFmtId="165" fontId="30" fillId="10" borderId="76" xfId="0" applyNumberFormat="1" applyFont="1" applyFill="1" applyBorder="1" applyProtection="1">
      <protection locked="0"/>
    </xf>
    <xf numFmtId="0" fontId="30" fillId="0" borderId="143" xfId="0" applyFont="1" applyBorder="1"/>
    <xf numFmtId="165" fontId="29" fillId="0" borderId="33" xfId="0" applyNumberFormat="1" applyFont="1" applyBorder="1"/>
    <xf numFmtId="0" fontId="29" fillId="9" borderId="33" xfId="0" applyNumberFormat="1" applyFont="1" applyFill="1" applyBorder="1" applyAlignment="1">
      <alignment horizontal="center" wrapText="1"/>
    </xf>
    <xf numFmtId="0" fontId="30" fillId="9" borderId="144" xfId="0" applyFont="1" applyFill="1" applyBorder="1"/>
    <xf numFmtId="0" fontId="29" fillId="9" borderId="33" xfId="0" applyFont="1" applyFill="1" applyBorder="1" applyAlignment="1">
      <alignment horizontal="center" wrapText="1"/>
    </xf>
    <xf numFmtId="165" fontId="30" fillId="10" borderId="145" xfId="0" applyNumberFormat="1" applyFont="1" applyFill="1" applyBorder="1" applyProtection="1">
      <protection locked="0"/>
    </xf>
    <xf numFmtId="0" fontId="0" fillId="9" borderId="11" xfId="0" applyNumberFormat="1" applyFill="1" applyBorder="1"/>
    <xf numFmtId="0" fontId="0" fillId="9" borderId="3" xfId="0" applyNumberFormat="1" applyFill="1" applyBorder="1"/>
    <xf numFmtId="0" fontId="0" fillId="9" borderId="59" xfId="0" applyNumberFormat="1" applyFill="1" applyBorder="1"/>
    <xf numFmtId="0" fontId="0" fillId="9" borderId="70" xfId="0" applyNumberFormat="1" applyFill="1" applyBorder="1"/>
    <xf numFmtId="0" fontId="30" fillId="9" borderId="1" xfId="0" applyFont="1" applyFill="1" applyBorder="1" applyAlignment="1">
      <alignment horizontal="center"/>
    </xf>
    <xf numFmtId="0" fontId="0" fillId="9" borderId="1" xfId="0" applyNumberFormat="1" applyFill="1" applyBorder="1"/>
    <xf numFmtId="0" fontId="0" fillId="9" borderId="78" xfId="0" applyNumberFormat="1" applyFill="1" applyBorder="1"/>
    <xf numFmtId="0" fontId="29" fillId="0" borderId="116" xfId="0" applyFont="1" applyBorder="1" applyAlignment="1">
      <alignment horizontal="center"/>
    </xf>
    <xf numFmtId="0" fontId="30" fillId="0" borderId="116" xfId="0" applyFont="1" applyBorder="1" applyAlignment="1">
      <alignment horizontal="center"/>
    </xf>
    <xf numFmtId="165" fontId="0" fillId="10" borderId="108" xfId="0" applyNumberFormat="1" applyFill="1" applyBorder="1" applyProtection="1">
      <protection locked="0"/>
    </xf>
    <xf numFmtId="0" fontId="0" fillId="0" borderId="75" xfId="0" applyBorder="1" applyAlignment="1">
      <alignment horizontal="center" wrapText="1"/>
    </xf>
    <xf numFmtId="0" fontId="29" fillId="0" borderId="75" xfId="0" applyFont="1" applyBorder="1" applyAlignment="1">
      <alignment horizontal="center" wrapText="1"/>
    </xf>
    <xf numFmtId="0" fontId="30" fillId="0" borderId="143" xfId="0" applyNumberFormat="1" applyFont="1" applyBorder="1" applyAlignment="1">
      <alignment wrapText="1"/>
    </xf>
    <xf numFmtId="0" fontId="29" fillId="0" borderId="144" xfId="0" applyNumberFormat="1" applyFont="1" applyBorder="1" applyAlignment="1">
      <alignment horizontal="center"/>
    </xf>
    <xf numFmtId="0" fontId="30" fillId="0" borderId="144" xfId="0" applyNumberFormat="1" applyFont="1" applyBorder="1" applyAlignment="1">
      <alignment horizontal="center"/>
    </xf>
    <xf numFmtId="0" fontId="29" fillId="9" borderId="1" xfId="0" applyNumberFormat="1" applyFont="1" applyFill="1" applyBorder="1" applyAlignment="1">
      <alignment horizontal="center" wrapText="1"/>
    </xf>
    <xf numFmtId="0" fontId="29" fillId="9" borderId="58" xfId="0" applyNumberFormat="1" applyFont="1" applyFill="1" applyBorder="1" applyAlignment="1">
      <alignment horizontal="center" wrapText="1"/>
    </xf>
    <xf numFmtId="0" fontId="29" fillId="0" borderId="61" xfId="0" applyNumberFormat="1" applyFont="1" applyBorder="1" applyAlignment="1">
      <alignment horizontal="center" wrapText="1"/>
    </xf>
    <xf numFmtId="165" fontId="0" fillId="10" borderId="145" xfId="0" applyNumberFormat="1" applyFill="1" applyBorder="1" applyProtection="1">
      <protection locked="0"/>
    </xf>
    <xf numFmtId="0" fontId="30" fillId="0" borderId="67" xfId="0" applyNumberFormat="1" applyFont="1" applyBorder="1" applyAlignment="1">
      <alignment wrapText="1"/>
    </xf>
    <xf numFmtId="0" fontId="29" fillId="0" borderId="0" xfId="0" applyFont="1" applyAlignment="1">
      <alignment horizontal="centerContinuous"/>
    </xf>
    <xf numFmtId="0" fontId="30" fillId="9" borderId="27" xfId="0" applyFont="1" applyFill="1" applyBorder="1"/>
    <xf numFmtId="0" fontId="29" fillId="9" borderId="76" xfId="0" applyNumberFormat="1" applyFont="1" applyFill="1" applyBorder="1" applyAlignment="1"/>
    <xf numFmtId="0" fontId="30" fillId="9" borderId="76" xfId="0" applyFont="1" applyFill="1" applyBorder="1" applyAlignment="1"/>
    <xf numFmtId="0" fontId="30" fillId="9" borderId="70" xfId="0" applyFont="1" applyFill="1" applyBorder="1"/>
    <xf numFmtId="0" fontId="30" fillId="9" borderId="78" xfId="0" applyFont="1" applyFill="1" applyBorder="1" applyAlignment="1"/>
    <xf numFmtId="0" fontId="0" fillId="9" borderId="58" xfId="0" applyFill="1" applyBorder="1"/>
    <xf numFmtId="0" fontId="0" fillId="0" borderId="76" xfId="0" applyBorder="1" applyAlignment="1">
      <alignment horizontal="center" wrapText="1"/>
    </xf>
    <xf numFmtId="0" fontId="29" fillId="0" borderId="76" xfId="0" applyFont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0" fillId="0" borderId="76" xfId="0" applyFont="1" applyBorder="1" applyAlignment="1">
      <alignment horizontal="center" wrapText="1"/>
    </xf>
    <xf numFmtId="165" fontId="30" fillId="12" borderId="33" xfId="0" applyNumberFormat="1" applyFont="1" applyFill="1" applyBorder="1" applyAlignment="1"/>
    <xf numFmtId="165" fontId="30" fillId="12" borderId="76" xfId="0" applyNumberFormat="1" applyFont="1" applyFill="1" applyBorder="1" applyAlignment="1"/>
    <xf numFmtId="165" fontId="30" fillId="12" borderId="60" xfId="0" applyNumberFormat="1" applyFont="1" applyFill="1" applyBorder="1" applyAlignment="1"/>
    <xf numFmtId="165" fontId="30" fillId="12" borderId="78" xfId="0" applyNumberFormat="1" applyFont="1" applyFill="1" applyBorder="1" applyAlignment="1"/>
    <xf numFmtId="0" fontId="0" fillId="0" borderId="11" xfId="0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165" fontId="29" fillId="10" borderId="3" xfId="0" applyNumberFormat="1" applyFont="1" applyFill="1" applyBorder="1" applyProtection="1">
      <protection locked="0"/>
    </xf>
    <xf numFmtId="0" fontId="2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29" fillId="9" borderId="75" xfId="0" applyFont="1" applyFill="1" applyBorder="1"/>
    <xf numFmtId="0" fontId="0" fillId="0" borderId="91" xfId="0" applyBorder="1" applyAlignment="1">
      <alignment wrapText="1"/>
    </xf>
    <xf numFmtId="165" fontId="29" fillId="12" borderId="75" xfId="0" applyNumberFormat="1" applyFont="1" applyFill="1" applyBorder="1" applyProtection="1"/>
    <xf numFmtId="165" fontId="30" fillId="12" borderId="154" xfId="0" applyNumberFormat="1" applyFont="1" applyFill="1" applyBorder="1" applyProtection="1"/>
    <xf numFmtId="165" fontId="30" fillId="12" borderId="155" xfId="0" applyNumberFormat="1" applyFont="1" applyFill="1" applyBorder="1" applyProtection="1"/>
    <xf numFmtId="0" fontId="29" fillId="12" borderId="3" xfId="0" applyFont="1" applyFill="1" applyBorder="1" applyAlignment="1" applyProtection="1"/>
    <xf numFmtId="0" fontId="29" fillId="12" borderId="76" xfId="0" applyFont="1" applyFill="1" applyBorder="1" applyProtection="1"/>
    <xf numFmtId="0" fontId="29" fillId="0" borderId="67" xfId="0" applyNumberFormat="1" applyFont="1" applyBorder="1" applyAlignment="1">
      <alignment wrapText="1"/>
    </xf>
    <xf numFmtId="0" fontId="29" fillId="9" borderId="45" xfId="0" applyFont="1" applyFill="1" applyBorder="1" applyAlignment="1"/>
    <xf numFmtId="0" fontId="0" fillId="0" borderId="33" xfId="0" applyNumberFormat="1" applyBorder="1"/>
    <xf numFmtId="0" fontId="0" fillId="9" borderId="33" xfId="0" applyNumberFormat="1" applyFill="1" applyBorder="1"/>
    <xf numFmtId="0" fontId="0" fillId="9" borderId="156" xfId="0" applyFill="1" applyBorder="1" applyAlignment="1">
      <alignment horizontal="center"/>
    </xf>
    <xf numFmtId="0" fontId="0" fillId="9" borderId="156" xfId="0" applyFill="1" applyBorder="1"/>
    <xf numFmtId="0" fontId="0" fillId="10" borderId="3" xfId="0" applyFill="1" applyBorder="1" applyProtection="1">
      <protection locked="0"/>
    </xf>
    <xf numFmtId="0" fontId="0" fillId="10" borderId="4" xfId="0" applyFill="1" applyBorder="1"/>
    <xf numFmtId="0" fontId="0" fillId="9" borderId="104" xfId="0" applyFill="1" applyBorder="1"/>
    <xf numFmtId="0" fontId="0" fillId="10" borderId="157" xfId="0" applyFill="1" applyBorder="1"/>
    <xf numFmtId="0" fontId="0" fillId="10" borderId="1" xfId="0" applyFill="1" applyBorder="1" applyProtection="1">
      <protection locked="0"/>
    </xf>
    <xf numFmtId="0" fontId="0" fillId="10" borderId="76" xfId="0" applyFill="1" applyBorder="1" applyProtection="1">
      <protection locked="0"/>
    </xf>
    <xf numFmtId="0" fontId="0" fillId="10" borderId="14" xfId="0" applyFill="1" applyBorder="1"/>
    <xf numFmtId="0" fontId="0" fillId="10" borderId="158" xfId="0" applyFill="1" applyBorder="1"/>
    <xf numFmtId="0" fontId="0" fillId="10" borderId="159" xfId="0" applyFill="1" applyBorder="1"/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center" wrapText="1"/>
    </xf>
    <xf numFmtId="165" fontId="29" fillId="9" borderId="70" xfId="0" applyNumberFormat="1" applyFont="1" applyFill="1" applyBorder="1"/>
    <xf numFmtId="0" fontId="30" fillId="0" borderId="1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9" borderId="33" xfId="0" applyFont="1" applyFill="1" applyBorder="1" applyAlignment="1">
      <alignment horizontal="center"/>
    </xf>
    <xf numFmtId="0" fontId="0" fillId="9" borderId="75" xfId="0" applyNumberFormat="1" applyFill="1" applyBorder="1"/>
    <xf numFmtId="0" fontId="29" fillId="0" borderId="83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0" fillId="9" borderId="108" xfId="0" applyFill="1" applyBorder="1"/>
    <xf numFmtId="165" fontId="0" fillId="12" borderId="75" xfId="0" applyNumberFormat="1" applyFill="1" applyBorder="1" applyProtection="1"/>
    <xf numFmtId="165" fontId="29" fillId="12" borderId="85" xfId="0" applyNumberFormat="1" applyFont="1" applyFill="1" applyBorder="1" applyProtection="1"/>
    <xf numFmtId="165" fontId="30" fillId="0" borderId="0" xfId="0" applyNumberFormat="1" applyFont="1" applyAlignment="1"/>
    <xf numFmtId="0" fontId="0" fillId="0" borderId="79" xfId="0" applyNumberFormat="1" applyBorder="1"/>
    <xf numFmtId="0" fontId="0" fillId="0" borderId="11" xfId="0" applyNumberFormat="1" applyBorder="1" applyAlignment="1">
      <alignment horizontal="center"/>
    </xf>
    <xf numFmtId="0" fontId="0" fillId="0" borderId="55" xfId="0" applyNumberFormat="1" applyBorder="1"/>
    <xf numFmtId="0" fontId="0" fillId="0" borderId="2" xfId="0" applyNumberFormat="1" applyBorder="1" applyAlignment="1">
      <alignment horizontal="center"/>
    </xf>
    <xf numFmtId="0" fontId="0" fillId="0" borderId="76" xfId="0" applyNumberFormat="1" applyBorder="1" applyAlignment="1">
      <alignment horizontal="center"/>
    </xf>
    <xf numFmtId="165" fontId="0" fillId="10" borderId="2" xfId="0" applyNumberFormat="1" applyFill="1" applyBorder="1" applyProtection="1">
      <protection locked="0"/>
    </xf>
    <xf numFmtId="0" fontId="0" fillId="10" borderId="27" xfId="0" applyFill="1" applyBorder="1" applyProtection="1">
      <protection locked="0"/>
    </xf>
    <xf numFmtId="0" fontId="0" fillId="10" borderId="162" xfId="0" applyFill="1" applyBorder="1"/>
    <xf numFmtId="0" fontId="0" fillId="10" borderId="103" xfId="0" applyFill="1" applyBorder="1"/>
    <xf numFmtId="0" fontId="29" fillId="0" borderId="55" xfId="0" applyNumberFormat="1" applyFont="1" applyBorder="1"/>
    <xf numFmtId="0" fontId="30" fillId="0" borderId="109" xfId="0" applyFont="1" applyBorder="1"/>
    <xf numFmtId="0" fontId="0" fillId="0" borderId="57" xfId="0" applyNumberFormat="1" applyBorder="1"/>
    <xf numFmtId="0" fontId="29" fillId="0" borderId="101" xfId="0" applyNumberFormat="1" applyFont="1" applyBorder="1"/>
    <xf numFmtId="0" fontId="0" fillId="0" borderId="101" xfId="0" applyNumberFormat="1" applyBorder="1"/>
    <xf numFmtId="0" fontId="0" fillId="0" borderId="104" xfId="0" applyNumberFormat="1" applyBorder="1"/>
    <xf numFmtId="0" fontId="29" fillId="0" borderId="57" xfId="0" applyNumberFormat="1" applyFont="1" applyBorder="1"/>
    <xf numFmtId="0" fontId="29" fillId="0" borderId="59" xfId="0" applyNumberFormat="1" applyFont="1" applyBorder="1" applyAlignment="1">
      <alignment horizontal="center" wrapText="1"/>
    </xf>
    <xf numFmtId="0" fontId="29" fillId="0" borderId="33" xfId="0" applyNumberFormat="1" applyFont="1" applyBorder="1"/>
    <xf numFmtId="0" fontId="0" fillId="0" borderId="0" xfId="0" applyNumberFormat="1" applyAlignment="1">
      <alignment horizontal="center"/>
    </xf>
    <xf numFmtId="0" fontId="29" fillId="0" borderId="75" xfId="0" applyNumberFormat="1" applyFont="1" applyBorder="1" applyAlignment="1">
      <alignment horizontal="center"/>
    </xf>
    <xf numFmtId="0" fontId="30" fillId="0" borderId="75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29" fillId="0" borderId="143" xfId="0" applyFont="1" applyBorder="1"/>
    <xf numFmtId="0" fontId="29" fillId="0" borderId="143" xfId="0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144" xfId="0" applyNumberFormat="1" applyBorder="1" applyAlignment="1">
      <alignment horizontal="center"/>
    </xf>
    <xf numFmtId="165" fontId="29" fillId="12" borderId="144" xfId="0" applyNumberFormat="1" applyFont="1" applyFill="1" applyBorder="1"/>
    <xf numFmtId="0" fontId="29" fillId="9" borderId="144" xfId="0" applyFont="1" applyFill="1" applyBorder="1"/>
    <xf numFmtId="165" fontId="29" fillId="12" borderId="145" xfId="0" applyNumberFormat="1" applyFont="1" applyFill="1" applyBorder="1" applyProtection="1"/>
    <xf numFmtId="0" fontId="0" fillId="9" borderId="70" xfId="0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165" fontId="30" fillId="10" borderId="60" xfId="0" applyNumberFormat="1" applyFont="1" applyFill="1" applyBorder="1" applyAlignment="1" applyProtection="1">
      <protection locked="0"/>
    </xf>
    <xf numFmtId="165" fontId="30" fillId="10" borderId="78" xfId="0" applyNumberFormat="1" applyFont="1" applyFill="1" applyBorder="1" applyAlignment="1" applyProtection="1">
      <protection locked="0"/>
    </xf>
    <xf numFmtId="0" fontId="29" fillId="0" borderId="56" xfId="0" applyFont="1" applyBorder="1" applyAlignment="1">
      <alignment wrapText="1"/>
    </xf>
    <xf numFmtId="0" fontId="30" fillId="9" borderId="37" xfId="0" applyFont="1" applyFill="1" applyBorder="1" applyAlignment="1"/>
    <xf numFmtId="0" fontId="30" fillId="9" borderId="36" xfId="0" applyFont="1" applyFill="1" applyBorder="1" applyAlignment="1"/>
    <xf numFmtId="165" fontId="29" fillId="12" borderId="87" xfId="0" applyNumberFormat="1" applyFont="1" applyFill="1" applyBorder="1" applyAlignment="1"/>
    <xf numFmtId="0" fontId="29" fillId="0" borderId="84" xfId="0" applyFont="1" applyBorder="1" applyAlignment="1"/>
    <xf numFmtId="165" fontId="30" fillId="12" borderId="60" xfId="0" applyNumberFormat="1" applyFont="1" applyFill="1" applyBorder="1" applyAlignment="1" applyProtection="1"/>
    <xf numFmtId="165" fontId="29" fillId="12" borderId="71" xfId="0" applyNumberFormat="1" applyFont="1" applyFill="1" applyBorder="1" applyProtection="1"/>
    <xf numFmtId="0" fontId="29" fillId="12" borderId="78" xfId="0" applyFont="1" applyFill="1" applyBorder="1" applyAlignment="1" applyProtection="1"/>
    <xf numFmtId="0" fontId="29" fillId="0" borderId="91" xfId="0" applyFont="1" applyBorder="1" applyAlignment="1">
      <alignment wrapText="1"/>
    </xf>
    <xf numFmtId="165" fontId="0" fillId="10" borderId="90" xfId="0" applyNumberFormat="1" applyFill="1" applyBorder="1" applyProtection="1">
      <protection locked="0"/>
    </xf>
    <xf numFmtId="165" fontId="0" fillId="12" borderId="90" xfId="0" applyNumberFormat="1" applyFill="1" applyBorder="1" applyProtection="1"/>
    <xf numFmtId="165" fontId="29" fillId="12" borderId="92" xfId="0" applyNumberFormat="1" applyFont="1" applyFill="1" applyBorder="1" applyProtection="1"/>
    <xf numFmtId="0" fontId="29" fillId="0" borderId="45" xfId="0" applyFont="1" applyBorder="1"/>
    <xf numFmtId="0" fontId="29" fillId="0" borderId="55" xfId="0" applyNumberFormat="1" applyFont="1" applyBorder="1" applyAlignment="1">
      <alignment wrapText="1"/>
    </xf>
    <xf numFmtId="0" fontId="30" fillId="0" borderId="57" xfId="0" applyFont="1" applyBorder="1" applyAlignment="1"/>
    <xf numFmtId="0" fontId="30" fillId="0" borderId="58" xfId="0" applyFont="1" applyBorder="1" applyAlignment="1"/>
    <xf numFmtId="165" fontId="30" fillId="12" borderId="59" xfId="0" applyNumberFormat="1" applyFont="1" applyFill="1" applyBorder="1" applyProtection="1"/>
    <xf numFmtId="165" fontId="30" fillId="12" borderId="70" xfId="0" applyNumberFormat="1" applyFont="1" applyFill="1" applyBorder="1" applyProtection="1"/>
    <xf numFmtId="165" fontId="29" fillId="12" borderId="60" xfId="0" applyNumberFormat="1" applyFont="1" applyFill="1" applyBorder="1" applyProtection="1"/>
    <xf numFmtId="0" fontId="0" fillId="0" borderId="165" xfId="0" applyBorder="1"/>
    <xf numFmtId="0" fontId="29" fillId="0" borderId="165" xfId="0" applyFont="1" applyBorder="1"/>
    <xf numFmtId="0" fontId="29" fillId="0" borderId="8" xfId="0" applyFont="1" applyBorder="1"/>
    <xf numFmtId="0" fontId="29" fillId="0" borderId="8" xfId="0" applyFont="1" applyBorder="1" applyAlignment="1">
      <alignment horizontal="center"/>
    </xf>
    <xf numFmtId="0" fontId="29" fillId="0" borderId="167" xfId="0" applyFont="1" applyBorder="1" applyAlignment="1">
      <alignment horizontal="center"/>
    </xf>
    <xf numFmtId="0" fontId="29" fillId="0" borderId="166" xfId="0" applyFont="1" applyBorder="1"/>
    <xf numFmtId="0" fontId="29" fillId="9" borderId="160" xfId="0" applyFont="1" applyFill="1" applyBorder="1"/>
    <xf numFmtId="0" fontId="0" fillId="9" borderId="160" xfId="0" applyFill="1" applyBorder="1"/>
    <xf numFmtId="0" fontId="29" fillId="9" borderId="8" xfId="0" applyFont="1" applyFill="1" applyBorder="1"/>
    <xf numFmtId="0" fontId="0" fillId="9" borderId="8" xfId="0" applyFill="1" applyBorder="1"/>
    <xf numFmtId="0" fontId="29" fillId="0" borderId="10" xfId="0" applyFont="1" applyBorder="1" applyAlignment="1">
      <alignment horizontal="center"/>
    </xf>
    <xf numFmtId="165" fontId="0" fillId="10" borderId="10" xfId="0" applyNumberFormat="1" applyFill="1" applyBorder="1" applyProtection="1">
      <protection locked="0"/>
    </xf>
    <xf numFmtId="0" fontId="0" fillId="0" borderId="168" xfId="0" applyBorder="1"/>
    <xf numFmtId="0" fontId="29" fillId="0" borderId="9" xfId="0" applyFont="1" applyBorder="1" applyAlignment="1">
      <alignment horizontal="center"/>
    </xf>
    <xf numFmtId="165" fontId="0" fillId="10" borderId="9" xfId="0" applyNumberFormat="1" applyFill="1" applyBorder="1" applyProtection="1">
      <protection locked="0"/>
    </xf>
    <xf numFmtId="0" fontId="29" fillId="9" borderId="7" xfId="0" applyFont="1" applyFill="1" applyBorder="1"/>
    <xf numFmtId="0" fontId="0" fillId="9" borderId="7" xfId="0" applyFill="1" applyBorder="1"/>
    <xf numFmtId="0" fontId="29" fillId="0" borderId="127" xfId="0" applyFont="1" applyBorder="1" applyAlignment="1">
      <alignment horizontal="center"/>
    </xf>
    <xf numFmtId="165" fontId="29" fillId="12" borderId="127" xfId="0" applyNumberFormat="1" applyFont="1" applyFill="1" applyBorder="1"/>
    <xf numFmtId="0" fontId="29" fillId="0" borderId="168" xfId="0" applyFont="1" applyBorder="1"/>
    <xf numFmtId="0" fontId="29" fillId="0" borderId="161" xfId="0" applyFont="1" applyBorder="1" applyAlignment="1">
      <alignment horizontal="center"/>
    </xf>
    <xf numFmtId="165" fontId="29" fillId="12" borderId="161" xfId="0" applyNumberFormat="1" applyFont="1" applyFill="1" applyBorder="1"/>
    <xf numFmtId="0" fontId="0" fillId="0" borderId="166" xfId="0" applyBorder="1" applyAlignment="1">
      <alignment wrapText="1"/>
    </xf>
    <xf numFmtId="165" fontId="0" fillId="10" borderId="10" xfId="0" applyNumberFormat="1" applyFill="1" applyBorder="1" applyAlignment="1" applyProtection="1">
      <protection locked="0"/>
    </xf>
    <xf numFmtId="165" fontId="0" fillId="10" borderId="9" xfId="0" applyNumberFormat="1" applyFill="1" applyBorder="1" applyAlignment="1" applyProtection="1">
      <protection locked="0"/>
    </xf>
    <xf numFmtId="0" fontId="29" fillId="0" borderId="7" xfId="0" applyFont="1" applyBorder="1" applyAlignment="1">
      <alignment horizontal="center"/>
    </xf>
    <xf numFmtId="165" fontId="0" fillId="10" borderId="7" xfId="0" applyNumberFormat="1" applyFill="1" applyBorder="1" applyAlignment="1" applyProtection="1">
      <protection locked="0"/>
    </xf>
    <xf numFmtId="0" fontId="29" fillId="0" borderId="8" xfId="0" applyFont="1" applyBorder="1" applyAlignment="1">
      <alignment horizontal="center" wrapText="1"/>
    </xf>
    <xf numFmtId="165" fontId="0" fillId="10" borderId="144" xfId="0" applyNumberFormat="1" applyFill="1" applyBorder="1" applyProtection="1">
      <protection locked="0"/>
    </xf>
    <xf numFmtId="0" fontId="0" fillId="9" borderId="145" xfId="0" applyFill="1" applyBorder="1" applyAlignment="1">
      <alignment horizontal="center"/>
    </xf>
    <xf numFmtId="0" fontId="34" fillId="0" borderId="0" xfId="0" applyFont="1"/>
    <xf numFmtId="0" fontId="0" fillId="0" borderId="169" xfId="0" applyBorder="1"/>
    <xf numFmtId="0" fontId="0" fillId="10" borderId="170" xfId="0" applyFill="1" applyBorder="1"/>
    <xf numFmtId="0" fontId="0" fillId="9" borderId="92" xfId="0" applyFill="1" applyBorder="1" applyAlignment="1"/>
    <xf numFmtId="0" fontId="0" fillId="0" borderId="98" xfId="0" applyBorder="1" applyAlignment="1">
      <alignment wrapText="1"/>
    </xf>
    <xf numFmtId="0" fontId="0" fillId="0" borderId="99" xfId="0" applyBorder="1" applyAlignment="1">
      <alignment horizontal="center"/>
    </xf>
    <xf numFmtId="0" fontId="29" fillId="0" borderId="99" xfId="0" applyFont="1" applyBorder="1" applyAlignment="1">
      <alignment horizontal="center"/>
    </xf>
    <xf numFmtId="0" fontId="0" fillId="10" borderId="99" xfId="0" applyFill="1" applyBorder="1" applyProtection="1">
      <protection locked="0"/>
    </xf>
    <xf numFmtId="0" fontId="0" fillId="10" borderId="129" xfId="0" applyFill="1" applyBorder="1"/>
    <xf numFmtId="0" fontId="0" fillId="10" borderId="130" xfId="0" applyFill="1" applyBorder="1"/>
    <xf numFmtId="0" fontId="29" fillId="0" borderId="89" xfId="0" applyFont="1" applyBorder="1"/>
    <xf numFmtId="0" fontId="29" fillId="0" borderId="72" xfId="0" applyFont="1" applyBorder="1"/>
    <xf numFmtId="0" fontId="29" fillId="0" borderId="81" xfId="0" applyFont="1" applyBorder="1"/>
    <xf numFmtId="165" fontId="0" fillId="10" borderId="82" xfId="0" applyNumberFormat="1" applyFill="1" applyBorder="1" applyProtection="1">
      <protection locked="0"/>
    </xf>
    <xf numFmtId="0" fontId="29" fillId="0" borderId="36" xfId="0" applyFont="1" applyBorder="1"/>
    <xf numFmtId="0" fontId="29" fillId="0" borderId="90" xfId="0" applyFont="1" applyBorder="1" applyAlignment="1">
      <alignment horizontal="center" wrapText="1"/>
    </xf>
    <xf numFmtId="165" fontId="0" fillId="10" borderId="85" xfId="0" applyNumberFormat="1" applyFill="1" applyBorder="1" applyProtection="1">
      <protection locked="0"/>
    </xf>
    <xf numFmtId="165" fontId="0" fillId="10" borderId="88" xfId="0" applyNumberFormat="1" applyFill="1" applyBorder="1" applyProtection="1">
      <protection locked="0"/>
    </xf>
    <xf numFmtId="0" fontId="29" fillId="0" borderId="163" xfId="0" applyFont="1" applyBorder="1"/>
    <xf numFmtId="165" fontId="29" fillId="12" borderId="164" xfId="0" applyNumberFormat="1" applyFont="1" applyFill="1" applyBorder="1"/>
    <xf numFmtId="165" fontId="0" fillId="9" borderId="86" xfId="0" applyNumberFormat="1" applyFill="1" applyBorder="1"/>
    <xf numFmtId="0" fontId="32" fillId="0" borderId="0" xfId="0" applyFont="1"/>
    <xf numFmtId="165" fontId="0" fillId="10" borderId="59" xfId="0" applyNumberFormat="1" applyFill="1" applyBorder="1" applyAlignment="1" applyProtection="1">
      <protection locked="0"/>
    </xf>
    <xf numFmtId="168" fontId="0" fillId="10" borderId="70" xfId="0" applyNumberFormat="1" applyFill="1" applyBorder="1" applyAlignment="1" applyProtection="1">
      <protection locked="0"/>
    </xf>
    <xf numFmtId="167" fontId="29" fillId="9" borderId="1" xfId="0" applyNumberFormat="1" applyFont="1" applyFill="1" applyBorder="1"/>
    <xf numFmtId="167" fontId="29" fillId="12" borderId="76" xfId="0" applyNumberFormat="1" applyFont="1" applyFill="1" applyBorder="1"/>
    <xf numFmtId="167" fontId="29" fillId="12" borderId="1" xfId="0" applyNumberFormat="1" applyFont="1" applyFill="1" applyBorder="1" applyAlignment="1"/>
    <xf numFmtId="167" fontId="29" fillId="12" borderId="76" xfId="0" applyNumberFormat="1" applyFont="1" applyFill="1" applyBorder="1" applyAlignment="1"/>
    <xf numFmtId="167" fontId="29" fillId="12" borderId="70" xfId="0" applyNumberFormat="1" applyFont="1" applyFill="1" applyBorder="1" applyAlignment="1"/>
    <xf numFmtId="167" fontId="29" fillId="12" borderId="78" xfId="0" applyNumberFormat="1" applyFont="1" applyFill="1" applyBorder="1" applyAlignment="1"/>
    <xf numFmtId="167" fontId="0" fillId="0" borderId="0" xfId="0" applyNumberFormat="1" applyAlignment="1"/>
    <xf numFmtId="167" fontId="29" fillId="0" borderId="0" xfId="0" applyNumberFormat="1" applyFont="1" applyAlignment="1"/>
    <xf numFmtId="165" fontId="29" fillId="12" borderId="90" xfId="0" applyNumberFormat="1" applyFont="1" applyFill="1" applyBorder="1" applyProtection="1"/>
    <xf numFmtId="0" fontId="30" fillId="0" borderId="84" xfId="0" applyFont="1" applyBorder="1" applyAlignment="1">
      <alignment wrapText="1"/>
    </xf>
    <xf numFmtId="0" fontId="30" fillId="0" borderId="91" xfId="0" applyNumberFormat="1" applyFont="1" applyBorder="1" applyAlignment="1">
      <alignment wrapText="1"/>
    </xf>
    <xf numFmtId="165" fontId="29" fillId="10" borderId="106" xfId="0" applyNumberFormat="1" applyFont="1" applyFill="1" applyBorder="1" applyAlignment="1" applyProtection="1">
      <protection locked="0"/>
    </xf>
    <xf numFmtId="165" fontId="29" fillId="10" borderId="106" xfId="0" applyNumberFormat="1" applyFont="1" applyFill="1" applyBorder="1" applyAlignment="1" applyProtection="1">
      <alignment wrapText="1"/>
      <protection locked="0"/>
    </xf>
    <xf numFmtId="165" fontId="29" fillId="10" borderId="11" xfId="0" applyNumberFormat="1" applyFont="1" applyFill="1" applyBorder="1" applyAlignment="1" applyProtection="1">
      <protection locked="0"/>
    </xf>
    <xf numFmtId="165" fontId="29" fillId="10" borderId="11" xfId="0" applyNumberFormat="1" applyFont="1" applyFill="1" applyBorder="1" applyProtection="1">
      <protection locked="0"/>
    </xf>
    <xf numFmtId="0" fontId="29" fillId="10" borderId="3" xfId="0" applyFont="1" applyFill="1" applyBorder="1" applyProtection="1">
      <protection locked="0"/>
    </xf>
    <xf numFmtId="0" fontId="0" fillId="0" borderId="0" xfId="0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29" fillId="0" borderId="74" xfId="0" applyFont="1" applyBorder="1" applyAlignment="1">
      <alignment wrapText="1"/>
    </xf>
    <xf numFmtId="0" fontId="30" fillId="0" borderId="81" xfId="0" applyFont="1" applyBorder="1" applyAlignment="1">
      <alignment wrapText="1"/>
    </xf>
    <xf numFmtId="0" fontId="29" fillId="0" borderId="64" xfId="0" applyFont="1" applyBorder="1" applyAlignment="1">
      <alignment wrapText="1"/>
    </xf>
    <xf numFmtId="0" fontId="29" fillId="0" borderId="68" xfId="0" applyFont="1" applyBorder="1" applyAlignment="1">
      <alignment wrapText="1"/>
    </xf>
    <xf numFmtId="0" fontId="30" fillId="0" borderId="55" xfId="0" applyFont="1" applyBorder="1" applyAlignment="1">
      <alignment wrapText="1"/>
    </xf>
    <xf numFmtId="0" fontId="30" fillId="0" borderId="55" xfId="0" applyNumberFormat="1" applyFont="1" applyBorder="1" applyAlignment="1">
      <alignment wrapText="1"/>
    </xf>
    <xf numFmtId="0" fontId="30" fillId="0" borderId="68" xfId="0" applyNumberFormat="1" applyFont="1" applyBorder="1" applyAlignment="1">
      <alignment wrapText="1"/>
    </xf>
    <xf numFmtId="0" fontId="30" fillId="0" borderId="79" xfId="0" applyNumberFormat="1" applyFont="1" applyBorder="1" applyAlignment="1">
      <alignment wrapText="1"/>
    </xf>
    <xf numFmtId="0" fontId="29" fillId="0" borderId="74" xfId="0" applyNumberFormat="1" applyFont="1" applyBorder="1" applyAlignment="1">
      <alignment wrapText="1"/>
    </xf>
    <xf numFmtId="0" fontId="29" fillId="0" borderId="72" xfId="0" applyNumberFormat="1" applyFont="1" applyBorder="1" applyAlignment="1">
      <alignment wrapText="1"/>
    </xf>
    <xf numFmtId="0" fontId="29" fillId="0" borderId="91" xfId="0" applyNumberFormat="1" applyFont="1" applyBorder="1" applyAlignment="1">
      <alignment wrapText="1"/>
    </xf>
    <xf numFmtId="0" fontId="29" fillId="0" borderId="56" xfId="0" applyNumberFormat="1" applyFont="1" applyBorder="1" applyAlignment="1">
      <alignment wrapText="1"/>
    </xf>
    <xf numFmtId="0" fontId="30" fillId="0" borderId="68" xfId="0" applyFont="1" applyBorder="1" applyAlignment="1">
      <alignment wrapText="1"/>
    </xf>
    <xf numFmtId="0" fontId="29" fillId="0" borderId="73" xfId="0" applyFont="1" applyBorder="1" applyAlignment="1">
      <alignment wrapText="1"/>
    </xf>
    <xf numFmtId="0" fontId="29" fillId="0" borderId="146" xfId="0" applyFont="1" applyBorder="1" applyAlignment="1">
      <alignment wrapText="1"/>
    </xf>
    <xf numFmtId="0" fontId="29" fillId="0" borderId="79" xfId="0" applyFont="1" applyBorder="1" applyAlignment="1">
      <alignment wrapText="1"/>
    </xf>
    <xf numFmtId="0" fontId="0" fillId="0" borderId="56" xfId="0" applyNumberFormat="1" applyBorder="1" applyAlignment="1">
      <alignment wrapText="1"/>
    </xf>
    <xf numFmtId="0" fontId="30" fillId="0" borderId="107" xfId="0" applyNumberFormat="1" applyFont="1" applyBorder="1" applyAlignment="1">
      <alignment wrapText="1"/>
    </xf>
    <xf numFmtId="0" fontId="30" fillId="0" borderId="56" xfId="0" applyFont="1" applyBorder="1" applyAlignment="1">
      <alignment wrapText="1"/>
    </xf>
    <xf numFmtId="0" fontId="29" fillId="0" borderId="107" xfId="0" applyFont="1" applyBorder="1" applyAlignment="1">
      <alignment wrapText="1"/>
    </xf>
    <xf numFmtId="0" fontId="0" fillId="0" borderId="74" xfId="0" applyNumberFormat="1" applyBorder="1" applyAlignment="1">
      <alignment wrapText="1"/>
    </xf>
    <xf numFmtId="0" fontId="0" fillId="0" borderId="109" xfId="0" applyBorder="1" applyAlignment="1">
      <alignment wrapText="1"/>
    </xf>
    <xf numFmtId="0" fontId="29" fillId="5" borderId="0" xfId="0" applyFont="1" applyFill="1" applyBorder="1"/>
    <xf numFmtId="0" fontId="0" fillId="5" borderId="0" xfId="0" applyFill="1" applyBorder="1"/>
    <xf numFmtId="0" fontId="30" fillId="5" borderId="0" xfId="0" applyNumberFormat="1" applyFont="1" applyFill="1" applyBorder="1" applyAlignment="1"/>
    <xf numFmtId="0" fontId="29" fillId="5" borderId="2" xfId="0" applyFont="1" applyFill="1" applyBorder="1"/>
    <xf numFmtId="0" fontId="0" fillId="5" borderId="14" xfId="0" applyFill="1" applyBorder="1"/>
    <xf numFmtId="0" fontId="30" fillId="5" borderId="14" xfId="0" applyNumberFormat="1" applyFont="1" applyFill="1" applyBorder="1" applyAlignment="1"/>
    <xf numFmtId="0" fontId="29" fillId="5" borderId="11" xfId="0" applyFont="1" applyFill="1" applyBorder="1"/>
    <xf numFmtId="0" fontId="0" fillId="5" borderId="12" xfId="0" applyFill="1" applyBorder="1"/>
    <xf numFmtId="0" fontId="30" fillId="5" borderId="12" xfId="0" applyNumberFormat="1" applyFont="1" applyFill="1" applyBorder="1" applyAlignment="1"/>
    <xf numFmtId="0" fontId="30" fillId="5" borderId="15" xfId="0" applyNumberFormat="1" applyFont="1" applyFill="1" applyBorder="1" applyAlignment="1"/>
    <xf numFmtId="0" fontId="30" fillId="5" borderId="6" xfId="0" applyNumberFormat="1" applyFont="1" applyFill="1" applyBorder="1" applyAlignment="1"/>
    <xf numFmtId="0" fontId="30" fillId="5" borderId="13" xfId="0" applyNumberFormat="1" applyFont="1" applyFill="1" applyBorder="1" applyAlignment="1"/>
    <xf numFmtId="0" fontId="35" fillId="5" borderId="1" xfId="0" applyFont="1" applyFill="1" applyBorder="1"/>
    <xf numFmtId="0" fontId="13" fillId="0" borderId="0" xfId="0" applyFont="1" applyProtection="1">
      <protection hidden="1"/>
    </xf>
    <xf numFmtId="0" fontId="30" fillId="5" borderId="0" xfId="0" applyFont="1" applyFill="1" applyBorder="1" applyAlignment="1"/>
    <xf numFmtId="0" fontId="29" fillId="5" borderId="14" xfId="0" applyFont="1" applyFill="1" applyBorder="1"/>
    <xf numFmtId="0" fontId="30" fillId="5" borderId="14" xfId="0" applyFont="1" applyFill="1" applyBorder="1" applyAlignment="1"/>
    <xf numFmtId="0" fontId="0" fillId="5" borderId="6" xfId="0" applyFill="1" applyBorder="1"/>
    <xf numFmtId="0" fontId="0" fillId="5" borderId="13" xfId="0" applyFill="1" applyBorder="1"/>
    <xf numFmtId="0" fontId="4" fillId="5" borderId="2" xfId="0" applyFont="1" applyFill="1" applyBorder="1"/>
    <xf numFmtId="0" fontId="4" fillId="5" borderId="11" xfId="0" applyFont="1" applyFill="1" applyBorder="1"/>
    <xf numFmtId="0" fontId="16" fillId="5" borderId="1" xfId="0" applyFont="1" applyFill="1" applyBorder="1"/>
    <xf numFmtId="0" fontId="30" fillId="5" borderId="0" xfId="0" applyFont="1" applyFill="1" applyBorder="1"/>
    <xf numFmtId="0" fontId="29" fillId="5" borderId="12" xfId="0" applyFont="1" applyFill="1" applyBorder="1"/>
    <xf numFmtId="165" fontId="13" fillId="0" borderId="0" xfId="0" applyNumberFormat="1" applyFont="1" applyAlignment="1" applyProtection="1">
      <protection hidden="1"/>
    </xf>
    <xf numFmtId="0" fontId="13" fillId="0" borderId="0" xfId="0" applyFont="1" applyAlignment="1" applyProtection="1">
      <protection hidden="1"/>
    </xf>
    <xf numFmtId="0" fontId="29" fillId="5" borderId="2" xfId="0" applyNumberFormat="1" applyFont="1" applyFill="1" applyBorder="1" applyAlignment="1"/>
    <xf numFmtId="0" fontId="29" fillId="5" borderId="11" xfId="0" applyNumberFormat="1" applyFont="1" applyFill="1" applyBorder="1" applyAlignment="1"/>
    <xf numFmtId="0" fontId="35" fillId="5" borderId="1" xfId="0" applyNumberFormat="1" applyFont="1" applyFill="1" applyBorder="1" applyAlignment="1"/>
    <xf numFmtId="0" fontId="13" fillId="0" borderId="0" xfId="0" applyNumberFormat="1" applyFont="1" applyAlignment="1" applyProtection="1">
      <protection hidden="1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9" fillId="5" borderId="0" xfId="0" applyFont="1" applyFill="1" applyBorder="1" applyAlignment="1"/>
    <xf numFmtId="0" fontId="29" fillId="5" borderId="14" xfId="0" applyFont="1" applyFill="1" applyBorder="1" applyAlignment="1"/>
    <xf numFmtId="0" fontId="29" fillId="5" borderId="12" xfId="0" applyFont="1" applyFill="1" applyBorder="1" applyAlignment="1"/>
    <xf numFmtId="0" fontId="30" fillId="5" borderId="12" xfId="0" applyFont="1" applyFill="1" applyBorder="1" applyAlignment="1"/>
    <xf numFmtId="0" fontId="0" fillId="5" borderId="6" xfId="0" applyFill="1" applyBorder="1" applyAlignment="1"/>
    <xf numFmtId="0" fontId="0" fillId="5" borderId="13" xfId="0" applyFill="1" applyBorder="1" applyAlignment="1"/>
    <xf numFmtId="0" fontId="4" fillId="5" borderId="2" xfId="0" applyFont="1" applyFill="1" applyBorder="1" applyAlignment="1"/>
    <xf numFmtId="0" fontId="4" fillId="5" borderId="11" xfId="0" applyFont="1" applyFill="1" applyBorder="1" applyAlignment="1"/>
    <xf numFmtId="0" fontId="16" fillId="5" borderId="1" xfId="0" applyFont="1" applyFill="1" applyBorder="1" applyAlignment="1"/>
    <xf numFmtId="0" fontId="29" fillId="5" borderId="11" xfId="0" applyFont="1" applyFill="1" applyBorder="1" applyAlignment="1"/>
    <xf numFmtId="0" fontId="29" fillId="5" borderId="0" xfId="0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9" fillId="5" borderId="12" xfId="0" applyFont="1" applyFill="1" applyBorder="1" applyAlignment="1">
      <alignment horizontal="center"/>
    </xf>
    <xf numFmtId="0" fontId="30" fillId="5" borderId="14" xfId="0" applyFont="1" applyFill="1" applyBorder="1"/>
    <xf numFmtId="0" fontId="30" fillId="5" borderId="12" xfId="0" applyFont="1" applyFill="1" applyBorder="1"/>
    <xf numFmtId="0" fontId="30" fillId="5" borderId="6" xfId="0" applyFont="1" applyFill="1" applyBorder="1"/>
    <xf numFmtId="0" fontId="30" fillId="5" borderId="13" xfId="0" applyFont="1" applyFill="1" applyBorder="1"/>
    <xf numFmtId="165" fontId="13" fillId="0" borderId="0" xfId="0" applyNumberFormat="1" applyFont="1" applyProtection="1">
      <protection hidden="1"/>
    </xf>
    <xf numFmtId="0" fontId="30" fillId="5" borderId="0" xfId="0" applyFont="1" applyFill="1" applyBorder="1" applyAlignment="1">
      <alignment horizontal="center"/>
    </xf>
    <xf numFmtId="0" fontId="30" fillId="5" borderId="14" xfId="0" applyFont="1" applyFill="1" applyBorder="1" applyAlignment="1">
      <alignment horizontal="center"/>
    </xf>
    <xf numFmtId="0" fontId="30" fillId="5" borderId="12" xfId="0" applyFont="1" applyFill="1" applyBorder="1" applyAlignment="1">
      <alignment horizontal="center"/>
    </xf>
    <xf numFmtId="169" fontId="0" fillId="9" borderId="88" xfId="0" applyNumberFormat="1" applyFill="1" applyBorder="1"/>
    <xf numFmtId="0" fontId="36" fillId="0" borderId="30" xfId="0" applyFont="1" applyBorder="1"/>
    <xf numFmtId="0" fontId="36" fillId="0" borderId="47" xfId="0" applyFont="1" applyBorder="1"/>
    <xf numFmtId="0" fontId="36" fillId="0" borderId="30" xfId="0" applyFont="1" applyBorder="1" applyAlignment="1"/>
    <xf numFmtId="0" fontId="36" fillId="0" borderId="30" xfId="1" applyFont="1" applyBorder="1" applyAlignment="1" applyProtection="1"/>
    <xf numFmtId="0" fontId="17" fillId="5" borderId="15" xfId="1" applyFill="1" applyBorder="1" applyAlignment="1" applyProtection="1"/>
    <xf numFmtId="0" fontId="17" fillId="0" borderId="0" xfId="1" applyAlignment="1" applyProtection="1"/>
    <xf numFmtId="0" fontId="5" fillId="0" borderId="8" xfId="2" quotePrefix="1" applyFont="1" applyBorder="1" applyAlignment="1" applyProtection="1">
      <alignment horizontal="left" wrapText="1"/>
      <protection hidden="1"/>
    </xf>
    <xf numFmtId="0" fontId="22" fillId="5" borderId="22" xfId="0" applyFont="1" applyFill="1" applyBorder="1" applyProtection="1"/>
    <xf numFmtId="0" fontId="25" fillId="3" borderId="22" xfId="0" applyFont="1" applyFill="1" applyBorder="1" applyProtection="1"/>
    <xf numFmtId="165" fontId="0" fillId="5" borderId="3" xfId="0" applyNumberFormat="1" applyFill="1" applyBorder="1" applyProtection="1"/>
    <xf numFmtId="165" fontId="0" fillId="5" borderId="90" xfId="0" applyNumberFormat="1" applyFill="1" applyBorder="1" applyProtection="1"/>
    <xf numFmtId="165" fontId="0" fillId="5" borderId="92" xfId="0" applyNumberFormat="1" applyFill="1" applyBorder="1" applyProtection="1"/>
    <xf numFmtId="165" fontId="0" fillId="3" borderId="3" xfId="0" applyNumberFormat="1" applyFill="1" applyBorder="1" applyProtection="1"/>
    <xf numFmtId="0" fontId="22" fillId="3" borderId="22" xfId="0" applyFont="1" applyFill="1" applyBorder="1" applyProtection="1"/>
    <xf numFmtId="165" fontId="0" fillId="5" borderId="11" xfId="0" applyNumberFormat="1" applyFill="1" applyBorder="1" applyProtection="1"/>
    <xf numFmtId="165" fontId="0" fillId="3" borderId="3" xfId="0" applyNumberFormat="1" applyFill="1" applyBorder="1" applyAlignment="1" applyProtection="1"/>
    <xf numFmtId="165" fontId="30" fillId="5" borderId="90" xfId="0" applyNumberFormat="1" applyFont="1" applyFill="1" applyBorder="1" applyProtection="1"/>
    <xf numFmtId="165" fontId="30" fillId="5" borderId="92" xfId="0" applyNumberFormat="1" applyFont="1" applyFill="1" applyBorder="1" applyProtection="1"/>
    <xf numFmtId="165" fontId="30" fillId="5" borderId="3" xfId="0" applyNumberFormat="1" applyFont="1" applyFill="1" applyBorder="1" applyAlignment="1" applyProtection="1"/>
    <xf numFmtId="165" fontId="30" fillId="5" borderId="11" xfId="0" applyNumberFormat="1" applyFont="1" applyFill="1" applyBorder="1" applyProtection="1"/>
    <xf numFmtId="0" fontId="12" fillId="0" borderId="0" xfId="0" applyFont="1" applyBorder="1" applyProtection="1"/>
    <xf numFmtId="0" fontId="37" fillId="0" borderId="0" xfId="0" applyFont="1" applyBorder="1" applyProtection="1"/>
    <xf numFmtId="165" fontId="4" fillId="12" borderId="70" xfId="0" applyNumberFormat="1" applyFont="1" applyFill="1" applyBorder="1" applyProtection="1"/>
    <xf numFmtId="0" fontId="2" fillId="0" borderId="0" xfId="0" applyFont="1"/>
    <xf numFmtId="165" fontId="0" fillId="0" borderId="102" xfId="0" applyNumberFormat="1" applyBorder="1" applyAlignment="1"/>
    <xf numFmtId="0" fontId="29" fillId="12" borderId="71" xfId="0" applyFont="1" applyFill="1" applyBorder="1" applyProtection="1"/>
    <xf numFmtId="0" fontId="29" fillId="0" borderId="0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165" fontId="0" fillId="12" borderId="162" xfId="0" applyNumberFormat="1" applyFill="1" applyBorder="1"/>
    <xf numFmtId="165" fontId="0" fillId="12" borderId="4" xfId="0" applyNumberFormat="1" applyFill="1" applyBorder="1"/>
    <xf numFmtId="165" fontId="29" fillId="12" borderId="4" xfId="0" applyNumberFormat="1" applyFont="1" applyFill="1" applyBorder="1"/>
    <xf numFmtId="165" fontId="0" fillId="12" borderId="12" xfId="0" applyNumberFormat="1" applyFill="1" applyBorder="1"/>
    <xf numFmtId="0" fontId="0" fillId="9" borderId="0" xfId="0" applyFill="1" applyBorder="1"/>
    <xf numFmtId="165" fontId="29" fillId="12" borderId="12" xfId="0" applyNumberFormat="1" applyFont="1" applyFill="1" applyBorder="1"/>
    <xf numFmtId="165" fontId="29" fillId="12" borderId="14" xfId="0" applyNumberFormat="1" applyFont="1" applyFill="1" applyBorder="1"/>
    <xf numFmtId="165" fontId="0" fillId="9" borderId="162" xfId="0" applyNumberFormat="1" applyFill="1" applyBorder="1"/>
    <xf numFmtId="165" fontId="0" fillId="9" borderId="4" xfId="0" applyNumberFormat="1" applyFill="1" applyBorder="1"/>
    <xf numFmtId="165" fontId="29" fillId="12" borderId="14" xfId="0" applyNumberFormat="1" applyFont="1" applyFill="1" applyBorder="1" applyProtection="1"/>
    <xf numFmtId="165" fontId="29" fillId="12" borderId="158" xfId="0" applyNumberFormat="1" applyFont="1" applyFill="1" applyBorder="1"/>
    <xf numFmtId="0" fontId="29" fillId="0" borderId="63" xfId="0" applyFont="1" applyBorder="1" applyAlignment="1">
      <alignment horizontal="center"/>
    </xf>
    <xf numFmtId="0" fontId="0" fillId="9" borderId="80" xfId="0" applyFill="1" applyBorder="1"/>
    <xf numFmtId="165" fontId="29" fillId="12" borderId="80" xfId="0" applyNumberFormat="1" applyFont="1" applyFill="1" applyBorder="1" applyProtection="1"/>
    <xf numFmtId="0" fontId="29" fillId="0" borderId="171" xfId="0" applyFont="1" applyBorder="1" applyAlignment="1">
      <alignment horizontal="centerContinuous"/>
    </xf>
    <xf numFmtId="0" fontId="29" fillId="0" borderId="172" xfId="0" applyFont="1" applyBorder="1" applyAlignment="1">
      <alignment horizontal="center" wrapText="1"/>
    </xf>
    <xf numFmtId="165" fontId="30" fillId="12" borderId="65" xfId="0" applyNumberFormat="1" applyFont="1" applyFill="1" applyBorder="1" applyProtection="1"/>
    <xf numFmtId="165" fontId="30" fillId="12" borderId="71" xfId="0" applyNumberFormat="1" applyFont="1" applyFill="1" applyBorder="1" applyProtection="1"/>
    <xf numFmtId="165" fontId="0" fillId="9" borderId="60" xfId="0" applyNumberFormat="1" applyFill="1" applyBorder="1" applyAlignment="1"/>
    <xf numFmtId="165" fontId="0" fillId="9" borderId="70" xfId="0" applyNumberFormat="1" applyFill="1" applyBorder="1" applyAlignment="1"/>
    <xf numFmtId="165" fontId="29" fillId="12" borderId="71" xfId="0" applyNumberFormat="1" applyFont="1" applyFill="1" applyBorder="1" applyAlignment="1" applyProtection="1"/>
    <xf numFmtId="165" fontId="0" fillId="0" borderId="71" xfId="0" applyNumberFormat="1" applyBorder="1"/>
    <xf numFmtId="0" fontId="0" fillId="12" borderId="78" xfId="0" applyFill="1" applyBorder="1" applyAlignment="1" applyProtection="1"/>
    <xf numFmtId="0" fontId="0" fillId="0" borderId="102" xfId="0" applyBorder="1" applyAlignment="1"/>
    <xf numFmtId="165" fontId="29" fillId="9" borderId="80" xfId="0" applyNumberFormat="1" applyFont="1" applyFill="1" applyBorder="1"/>
    <xf numFmtId="165" fontId="29" fillId="9" borderId="71" xfId="0" applyNumberFormat="1" applyFont="1" applyFill="1" applyBorder="1"/>
    <xf numFmtId="165" fontId="0" fillId="9" borderId="65" xfId="0" applyNumberFormat="1" applyFill="1" applyBorder="1"/>
    <xf numFmtId="165" fontId="0" fillId="9" borderId="80" xfId="0" applyNumberFormat="1" applyFill="1" applyBorder="1" applyAlignment="1"/>
    <xf numFmtId="165" fontId="0" fillId="9" borderId="71" xfId="0" applyNumberFormat="1" applyFill="1" applyBorder="1" applyAlignment="1"/>
    <xf numFmtId="0" fontId="29" fillId="9" borderId="71" xfId="0" applyFont="1" applyFill="1" applyBorder="1" applyAlignment="1"/>
    <xf numFmtId="165" fontId="0" fillId="12" borderId="71" xfId="0" applyNumberFormat="1" applyFill="1" applyBorder="1" applyAlignment="1" applyProtection="1"/>
    <xf numFmtId="165" fontId="29" fillId="12" borderId="77" xfId="0" applyNumberFormat="1" applyFont="1" applyFill="1" applyBorder="1" applyAlignment="1" applyProtection="1"/>
    <xf numFmtId="165" fontId="0" fillId="9" borderId="111" xfId="0" applyNumberFormat="1" applyFill="1" applyBorder="1" applyAlignment="1"/>
    <xf numFmtId="165" fontId="0" fillId="9" borderId="80" xfId="0" applyNumberFormat="1" applyFill="1" applyBorder="1"/>
    <xf numFmtId="165" fontId="0" fillId="5" borderId="71" xfId="0" applyNumberFormat="1" applyFill="1" applyBorder="1" applyProtection="1"/>
    <xf numFmtId="165" fontId="0" fillId="12" borderId="71" xfId="0" applyNumberFormat="1" applyFill="1" applyBorder="1"/>
    <xf numFmtId="165" fontId="29" fillId="9" borderId="78" xfId="0" applyNumberFormat="1" applyFont="1" applyFill="1" applyBorder="1"/>
    <xf numFmtId="0" fontId="25" fillId="4" borderId="25" xfId="0" applyFont="1" applyFill="1" applyBorder="1" applyAlignment="1" applyProtection="1">
      <alignment horizontal="left"/>
      <protection locked="0"/>
    </xf>
    <xf numFmtId="0" fontId="25" fillId="4" borderId="26" xfId="0" applyFont="1" applyFill="1" applyBorder="1" applyAlignment="1" applyProtection="1">
      <alignment horizontal="left"/>
      <protection locked="0"/>
    </xf>
    <xf numFmtId="14" fontId="25" fillId="4" borderId="25" xfId="0" applyNumberFormat="1" applyFont="1" applyFill="1" applyBorder="1" applyAlignment="1" applyProtection="1">
      <alignment horizontal="left"/>
      <protection locked="0"/>
    </xf>
    <xf numFmtId="14" fontId="25" fillId="4" borderId="26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_Temp" xfId="2"/>
  </cellStyles>
  <dxfs count="5">
    <dxf>
      <fill>
        <patternFill>
          <bgColor indexed="6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74</xdr:row>
      <xdr:rowOff>287481</xdr:rowOff>
    </xdr:from>
    <xdr:to>
      <xdr:col>7</xdr:col>
      <xdr:colOff>2943225</xdr:colOff>
      <xdr:row>77</xdr:row>
      <xdr:rowOff>63087</xdr:rowOff>
    </xdr:to>
    <xdr:pic>
      <xdr:nvPicPr>
        <xdr:cNvPr id="103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830"/>
        <a:stretch>
          <a:fillRect/>
        </a:stretch>
      </xdr:blipFill>
      <xdr:spPr bwMode="auto">
        <a:xfrm>
          <a:off x="8991600" y="720436"/>
          <a:ext cx="3179742" cy="65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231321</xdr:colOff>
      <xdr:row>74</xdr:row>
      <xdr:rowOff>0</xdr:rowOff>
    </xdr:from>
    <xdr:to>
      <xdr:col>2</xdr:col>
      <xdr:colOff>1864177</xdr:colOff>
      <xdr:row>78</xdr:row>
      <xdr:rowOff>174555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464" y="340179"/>
          <a:ext cx="1904999" cy="1228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DAfinance@dh.gsi.gov.uk" TargetMode="External"/><Relationship Id="rId1" Type="http://schemas.openxmlformats.org/officeDocument/2006/relationships/hyperlink" Target="mailto:TDA.TFMSqueries@nhs.ne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1"/>
  <sheetViews>
    <sheetView workbookViewId="0"/>
  </sheetViews>
  <sheetFormatPr defaultRowHeight="12.75" x14ac:dyDescent="0.2"/>
  <sheetData>
    <row r="1" spans="1:2" x14ac:dyDescent="0.2">
      <c r="A1" t="s">
        <v>15</v>
      </c>
      <c r="B1">
        <v>1</v>
      </c>
    </row>
    <row r="2" spans="1:2" x14ac:dyDescent="0.2">
      <c r="A2" t="s">
        <v>57</v>
      </c>
      <c r="B2">
        <v>2</v>
      </c>
    </row>
    <row r="3" spans="1:2" x14ac:dyDescent="0.2">
      <c r="A3" t="s">
        <v>16</v>
      </c>
      <c r="B3">
        <v>3</v>
      </c>
    </row>
    <row r="4" spans="1:2" x14ac:dyDescent="0.2">
      <c r="A4" t="s">
        <v>17</v>
      </c>
      <c r="B4">
        <v>4</v>
      </c>
    </row>
    <row r="5" spans="1:2" x14ac:dyDescent="0.2">
      <c r="A5" t="s">
        <v>58</v>
      </c>
      <c r="B5">
        <v>126</v>
      </c>
    </row>
    <row r="6" spans="1:2" x14ac:dyDescent="0.2">
      <c r="A6" t="s">
        <v>59</v>
      </c>
      <c r="B6">
        <v>131</v>
      </c>
    </row>
    <row r="7" spans="1:2" x14ac:dyDescent="0.2">
      <c r="A7" t="s">
        <v>60</v>
      </c>
      <c r="B7">
        <v>132</v>
      </c>
    </row>
    <row r="8" spans="1:2" x14ac:dyDescent="0.2">
      <c r="A8" t="s">
        <v>61</v>
      </c>
      <c r="B8">
        <v>136</v>
      </c>
    </row>
    <row r="9" spans="1:2" x14ac:dyDescent="0.2">
      <c r="A9" t="s">
        <v>62</v>
      </c>
      <c r="B9">
        <v>137</v>
      </c>
    </row>
    <row r="10" spans="1:2" x14ac:dyDescent="0.2">
      <c r="A10" t="s">
        <v>63</v>
      </c>
      <c r="B10">
        <v>146</v>
      </c>
    </row>
    <row r="11" spans="1:2" x14ac:dyDescent="0.2">
      <c r="A11" t="s">
        <v>64</v>
      </c>
      <c r="B11">
        <v>158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C223"/>
  <sheetViews>
    <sheetView zoomScale="70" zoomScaleNormal="70" workbookViewId="0">
      <pane xSplit="4" topLeftCell="E1" activePane="topRight" state="frozen"/>
      <selection pane="topRight" activeCell="AB16" sqref="AB16"/>
    </sheetView>
  </sheetViews>
  <sheetFormatPr defaultRowHeight="12.75" x14ac:dyDescent="0.2"/>
  <cols>
    <col min="1" max="1" width="6.140625" customWidth="1"/>
    <col min="2" max="2" width="57.7109375" customWidth="1"/>
    <col min="3" max="4" width="10.140625" customWidth="1"/>
    <col min="5" max="6" width="16.28515625" customWidth="1"/>
    <col min="7" max="8" width="19.85546875" hidden="1" customWidth="1"/>
    <col min="9" max="13" width="16.28515625" hidden="1" customWidth="1"/>
    <col min="14" max="14" width="3.42578125" hidden="1" customWidth="1"/>
    <col min="15" max="15" width="16.28515625" hidden="1" customWidth="1"/>
    <col min="16" max="16" width="3.42578125" hidden="1" customWidth="1"/>
    <col min="17" max="17" width="16.28515625" hidden="1" customWidth="1"/>
    <col min="18" max="18" width="3.42578125" hidden="1" customWidth="1"/>
    <col min="19" max="19" width="16.28515625" hidden="1" customWidth="1"/>
    <col min="20" max="20" width="3.42578125" hidden="1" customWidth="1"/>
    <col min="21" max="21" width="16.28515625" hidden="1" customWidth="1"/>
    <col min="22" max="22" width="3.42578125" hidden="1" customWidth="1"/>
    <col min="23" max="23" width="16.28515625" hidden="1" customWidth="1"/>
    <col min="24" max="24" width="3.42578125" hidden="1" customWidth="1"/>
    <col min="25" max="25" width="16.28515625" hidden="1" customWidth="1"/>
    <col min="26" max="26" width="5.42578125" customWidth="1"/>
    <col min="27" max="30" width="16.28515625" customWidth="1"/>
    <col min="31" max="53" width="3.28515625" hidden="1" customWidth="1"/>
    <col min="54" max="54" width="4.7109375" hidden="1" customWidth="1"/>
  </cols>
  <sheetData>
    <row r="1" spans="1:54" ht="15.75" x14ac:dyDescent="0.25">
      <c r="A1" s="1131" t="s">
        <v>3726</v>
      </c>
      <c r="B1" s="1139" t="str">
        <f>OrgName</f>
        <v>ZZZ NHS TRUST</v>
      </c>
      <c r="C1" s="1133"/>
      <c r="D1" s="1122"/>
      <c r="E1" s="1177" t="str">
        <f>HYPERLINK(CHAR(35)&amp;"1415TRU_Index_P13"&amp;"!A1","GoTo Index tab")</f>
        <v>GoTo Index tab</v>
      </c>
      <c r="N1" s="602"/>
      <c r="P1" s="602"/>
      <c r="R1" s="602"/>
      <c r="T1" s="602"/>
      <c r="V1" s="602"/>
      <c r="X1" s="602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466"/>
      <c r="BB1" s="466"/>
    </row>
    <row r="2" spans="1:54" x14ac:dyDescent="0.2">
      <c r="A2" s="1131" t="s">
        <v>3727</v>
      </c>
      <c r="B2" s="1137" t="str">
        <f>"Org Code: " &amp; Orgcode</f>
        <v>Org Code: ZZZ</v>
      </c>
      <c r="C2" s="1118"/>
      <c r="D2" s="1119"/>
      <c r="E2" s="1135"/>
    </row>
    <row r="3" spans="1:54" x14ac:dyDescent="0.2">
      <c r="A3" s="1131" t="s">
        <v>3734</v>
      </c>
      <c r="B3" s="1138" t="s">
        <v>3725</v>
      </c>
      <c r="C3" s="1141"/>
      <c r="D3" s="1125"/>
      <c r="E3" s="1136"/>
    </row>
    <row r="4" spans="1:54" x14ac:dyDescent="0.2">
      <c r="B4" s="97" t="s">
        <v>676</v>
      </c>
      <c r="C4" s="97"/>
      <c r="M4" s="97"/>
    </row>
    <row r="5" spans="1:54" ht="13.5" thickBot="1" x14ac:dyDescent="0.25">
      <c r="B5" s="103" t="s">
        <v>66</v>
      </c>
      <c r="C5" s="97"/>
    </row>
    <row r="6" spans="1:54" ht="14.25" thickTop="1" thickBot="1" x14ac:dyDescent="0.25">
      <c r="A6" s="108"/>
      <c r="B6" s="108"/>
      <c r="C6" s="97"/>
      <c r="E6" s="376" t="s">
        <v>677</v>
      </c>
      <c r="F6" s="382"/>
      <c r="G6" s="604" t="s">
        <v>678</v>
      </c>
      <c r="H6" s="604"/>
      <c r="I6" s="376" t="s">
        <v>679</v>
      </c>
      <c r="J6" s="377"/>
      <c r="K6" s="377"/>
      <c r="L6" s="377"/>
      <c r="M6" s="606"/>
      <c r="O6" s="606"/>
      <c r="Q6" s="606"/>
      <c r="S6" s="606"/>
      <c r="U6" s="606"/>
      <c r="W6" s="606"/>
      <c r="Y6" s="381"/>
    </row>
    <row r="7" spans="1:54" ht="13.5" thickTop="1" x14ac:dyDescent="0.2">
      <c r="A7" s="108"/>
      <c r="B7" s="190"/>
      <c r="C7" s="192"/>
      <c r="D7" s="195" t="s">
        <v>25</v>
      </c>
      <c r="E7" s="195" t="s">
        <v>235</v>
      </c>
      <c r="F7" s="197" t="s">
        <v>236</v>
      </c>
      <c r="G7" s="375" t="s">
        <v>293</v>
      </c>
      <c r="H7" s="195" t="s">
        <v>294</v>
      </c>
      <c r="I7" s="607" t="s">
        <v>295</v>
      </c>
      <c r="J7" s="195" t="s">
        <v>296</v>
      </c>
      <c r="K7" s="195" t="s">
        <v>342</v>
      </c>
      <c r="L7" s="195" t="s">
        <v>297</v>
      </c>
      <c r="M7" s="195" t="s">
        <v>298</v>
      </c>
      <c r="N7" s="97"/>
      <c r="O7" s="195" t="s">
        <v>360</v>
      </c>
      <c r="P7" s="97"/>
      <c r="Q7" s="195" t="s">
        <v>362</v>
      </c>
      <c r="R7" s="97"/>
      <c r="S7" s="195" t="s">
        <v>577</v>
      </c>
      <c r="T7" s="97"/>
      <c r="U7" s="195" t="s">
        <v>579</v>
      </c>
      <c r="V7" s="97"/>
      <c r="W7" s="195" t="s">
        <v>581</v>
      </c>
      <c r="X7" s="97"/>
      <c r="Y7" s="197" t="s">
        <v>583</v>
      </c>
      <c r="BA7" s="97"/>
      <c r="BB7" s="97"/>
    </row>
    <row r="8" spans="1:54" ht="51" x14ac:dyDescent="0.2">
      <c r="A8" s="108"/>
      <c r="B8" s="188"/>
      <c r="C8" s="199" t="s">
        <v>238</v>
      </c>
      <c r="D8" s="143"/>
      <c r="E8" s="201" t="s">
        <v>685</v>
      </c>
      <c r="F8" s="202" t="s">
        <v>240</v>
      </c>
      <c r="G8" s="1199" t="s">
        <v>686</v>
      </c>
      <c r="H8" s="201" t="s">
        <v>687</v>
      </c>
      <c r="I8" s="608" t="s">
        <v>587</v>
      </c>
      <c r="J8" s="201" t="s">
        <v>688</v>
      </c>
      <c r="K8" s="201" t="s">
        <v>589</v>
      </c>
      <c r="L8" s="201" t="s">
        <v>590</v>
      </c>
      <c r="M8" s="201" t="s">
        <v>591</v>
      </c>
      <c r="N8" s="97"/>
      <c r="O8" s="201" t="s">
        <v>593</v>
      </c>
      <c r="P8" s="97"/>
      <c r="Q8" s="201" t="s">
        <v>595</v>
      </c>
      <c r="R8" s="97"/>
      <c r="S8" s="201" t="s">
        <v>597</v>
      </c>
      <c r="T8" s="97"/>
      <c r="U8" s="201" t="s">
        <v>599</v>
      </c>
      <c r="V8" s="97"/>
      <c r="W8" s="201" t="s">
        <v>601</v>
      </c>
      <c r="X8" s="97"/>
      <c r="Y8" s="202" t="s">
        <v>603</v>
      </c>
      <c r="BA8" s="97"/>
      <c r="BB8" s="97"/>
    </row>
    <row r="9" spans="1:54" ht="13.5" thickBot="1" x14ac:dyDescent="0.25">
      <c r="A9" s="108"/>
      <c r="B9" s="198" t="s">
        <v>689</v>
      </c>
      <c r="C9" s="204" t="s">
        <v>242</v>
      </c>
      <c r="D9" s="145"/>
      <c r="E9" s="204" t="s">
        <v>243</v>
      </c>
      <c r="F9" s="1212" t="s">
        <v>243</v>
      </c>
      <c r="G9" s="1200" t="s">
        <v>243</v>
      </c>
      <c r="H9" s="204" t="s">
        <v>243</v>
      </c>
      <c r="I9" s="609" t="s">
        <v>243</v>
      </c>
      <c r="J9" s="204" t="s">
        <v>243</v>
      </c>
      <c r="K9" s="204" t="s">
        <v>243</v>
      </c>
      <c r="L9" s="204" t="s">
        <v>243</v>
      </c>
      <c r="M9" s="204" t="s">
        <v>243</v>
      </c>
      <c r="N9" s="97"/>
      <c r="O9" s="204" t="s">
        <v>243</v>
      </c>
      <c r="P9" s="97"/>
      <c r="Q9" s="204" t="s">
        <v>243</v>
      </c>
      <c r="R9" s="97"/>
      <c r="S9" s="204" t="s">
        <v>243</v>
      </c>
      <c r="T9" s="97"/>
      <c r="U9" s="204" t="s">
        <v>243</v>
      </c>
      <c r="V9" s="97"/>
      <c r="W9" s="204" t="s">
        <v>243</v>
      </c>
      <c r="X9" s="97"/>
      <c r="Y9" s="210" t="s">
        <v>243</v>
      </c>
      <c r="BA9" s="97"/>
      <c r="BB9" s="97"/>
    </row>
    <row r="10" spans="1:54" ht="21.95" customHeight="1" x14ac:dyDescent="0.2">
      <c r="B10" s="189" t="s">
        <v>690</v>
      </c>
      <c r="C10" s="207">
        <v>100</v>
      </c>
      <c r="D10" s="206" t="s">
        <v>248</v>
      </c>
      <c r="E10" s="209">
        <f>SUM(H10:Y10)</f>
        <v>0</v>
      </c>
      <c r="F10" s="804"/>
      <c r="G10" s="1201">
        <f>E10-H10</f>
        <v>0</v>
      </c>
      <c r="H10" s="593"/>
      <c r="I10" s="611"/>
      <c r="J10" s="593"/>
      <c r="K10" s="593"/>
      <c r="L10" s="593"/>
      <c r="M10" s="593"/>
      <c r="O10" s="593"/>
      <c r="Q10" s="356"/>
      <c r="S10" s="593"/>
      <c r="U10" s="593"/>
      <c r="W10" s="593"/>
      <c r="Y10" s="614"/>
    </row>
    <row r="11" spans="1:54" ht="21.95" customHeight="1" x14ac:dyDescent="0.2">
      <c r="B11" s="213" t="s">
        <v>691</v>
      </c>
      <c r="C11" s="218">
        <v>110</v>
      </c>
      <c r="D11" s="217" t="s">
        <v>248</v>
      </c>
      <c r="E11" s="220">
        <f>SUM(H11:Y11)</f>
        <v>0</v>
      </c>
      <c r="F11" s="305"/>
      <c r="G11" s="1202">
        <f>E11-H11</f>
        <v>0</v>
      </c>
      <c r="H11" s="334"/>
      <c r="I11" s="613"/>
      <c r="J11" s="228"/>
      <c r="K11" s="334"/>
      <c r="L11" s="334"/>
      <c r="M11" s="334"/>
      <c r="O11" s="334"/>
      <c r="Q11" s="334"/>
      <c r="S11" s="334"/>
      <c r="U11" s="334"/>
      <c r="W11" s="334"/>
      <c r="Y11" s="259"/>
    </row>
    <row r="12" spans="1:54" ht="21.95" customHeight="1" x14ac:dyDescent="0.2">
      <c r="B12" s="213" t="s">
        <v>692</v>
      </c>
      <c r="C12" s="218">
        <v>120</v>
      </c>
      <c r="D12" s="217" t="s">
        <v>248</v>
      </c>
      <c r="E12" s="220">
        <f>SUM(H12:Y12)</f>
        <v>0</v>
      </c>
      <c r="F12" s="305"/>
      <c r="G12" s="1202">
        <f>E12-H12</f>
        <v>0</v>
      </c>
      <c r="H12" s="334"/>
      <c r="I12" s="615"/>
      <c r="J12" s="228"/>
      <c r="K12" s="228"/>
      <c r="L12" s="228"/>
      <c r="M12" s="228"/>
      <c r="O12" s="228"/>
      <c r="Q12" s="334"/>
      <c r="S12" s="334"/>
      <c r="U12" s="228"/>
      <c r="W12" s="228"/>
      <c r="Y12" s="259"/>
    </row>
    <row r="13" spans="1:54" ht="21.95" customHeight="1" x14ac:dyDescent="0.2">
      <c r="B13" s="213" t="s">
        <v>693</v>
      </c>
      <c r="C13" s="218">
        <v>130</v>
      </c>
      <c r="D13" s="217" t="s">
        <v>248</v>
      </c>
      <c r="E13" s="220">
        <f>SUM(H13:Y13)</f>
        <v>0</v>
      </c>
      <c r="F13" s="305"/>
      <c r="G13" s="1202">
        <f>E13-H13</f>
        <v>0</v>
      </c>
      <c r="H13" s="334"/>
      <c r="I13" s="613"/>
      <c r="J13" s="334"/>
      <c r="K13" s="334"/>
      <c r="L13" s="334"/>
      <c r="M13" s="334"/>
      <c r="O13" s="334"/>
      <c r="Q13" s="334"/>
      <c r="S13" s="228"/>
      <c r="U13" s="334"/>
      <c r="W13" s="334"/>
      <c r="Y13" s="259"/>
    </row>
    <row r="14" spans="1:54" ht="45" customHeight="1" x14ac:dyDescent="0.2">
      <c r="B14" s="336" t="s">
        <v>695</v>
      </c>
      <c r="C14" s="218">
        <v>135</v>
      </c>
      <c r="D14" s="217" t="s">
        <v>248</v>
      </c>
      <c r="E14" s="224">
        <f>SUM(E10:E13)</f>
        <v>0</v>
      </c>
      <c r="F14" s="1011">
        <f>SUM(F10:F13)</f>
        <v>0</v>
      </c>
      <c r="G14" s="1203">
        <f t="shared" ref="G14:M14" si="0">SUM(G10:G13)</f>
        <v>0</v>
      </c>
      <c r="H14" s="224">
        <f t="shared" si="0"/>
        <v>0</v>
      </c>
      <c r="I14" s="616">
        <f t="shared" si="0"/>
        <v>0</v>
      </c>
      <c r="J14" s="224">
        <f t="shared" si="0"/>
        <v>0</v>
      </c>
      <c r="K14" s="224">
        <f t="shared" si="0"/>
        <v>0</v>
      </c>
      <c r="L14" s="224">
        <f t="shared" si="0"/>
        <v>0</v>
      </c>
      <c r="M14" s="224">
        <f t="shared" si="0"/>
        <v>0</v>
      </c>
      <c r="O14" s="224">
        <f>SUM(O10:O13)</f>
        <v>0</v>
      </c>
      <c r="Q14" s="224">
        <f>SUM(Q10:Q13)</f>
        <v>0</v>
      </c>
      <c r="S14" s="224">
        <f>SUM(S10:S13)</f>
        <v>0</v>
      </c>
      <c r="U14" s="224">
        <f>SUM(U10:U13)</f>
        <v>0</v>
      </c>
      <c r="W14" s="224">
        <f>SUM(W10:W13)</f>
        <v>0</v>
      </c>
      <c r="Y14" s="227">
        <f>SUM(Y10:Y13)</f>
        <v>0</v>
      </c>
    </row>
    <row r="15" spans="1:54" ht="21.95" customHeight="1" x14ac:dyDescent="0.2">
      <c r="B15" s="213" t="s">
        <v>696</v>
      </c>
      <c r="C15" s="218">
        <v>140</v>
      </c>
      <c r="D15" s="217" t="s">
        <v>248</v>
      </c>
      <c r="E15" s="228"/>
      <c r="F15" s="305"/>
      <c r="G15" s="1202">
        <f>E15-H15</f>
        <v>0</v>
      </c>
      <c r="H15" s="228"/>
      <c r="I15" s="613"/>
      <c r="J15" s="334"/>
      <c r="K15" s="334"/>
      <c r="L15" s="334"/>
      <c r="M15" s="334"/>
      <c r="O15" s="334"/>
      <c r="Q15" s="334"/>
      <c r="S15" s="334"/>
      <c r="U15" s="334"/>
      <c r="W15" s="334"/>
      <c r="Y15" s="297"/>
    </row>
    <row r="16" spans="1:54" ht="27" customHeight="1" x14ac:dyDescent="0.2">
      <c r="B16" s="245" t="s">
        <v>698</v>
      </c>
      <c r="C16" s="218">
        <v>150</v>
      </c>
      <c r="D16" s="217" t="s">
        <v>248</v>
      </c>
      <c r="E16" s="228"/>
      <c r="F16" s="305"/>
      <c r="G16" s="1202">
        <f>E16-H16</f>
        <v>0</v>
      </c>
      <c r="H16" s="228"/>
      <c r="I16" s="618"/>
      <c r="J16" s="228"/>
      <c r="K16" s="228"/>
      <c r="L16" s="228"/>
      <c r="M16" s="228"/>
      <c r="O16" s="228"/>
      <c r="Q16" s="228"/>
      <c r="S16" s="228"/>
      <c r="U16" s="228"/>
      <c r="W16" s="228"/>
      <c r="Y16" s="297"/>
    </row>
    <row r="17" spans="2:25" ht="27" customHeight="1" x14ac:dyDescent="0.2">
      <c r="B17" s="245" t="s">
        <v>699</v>
      </c>
      <c r="C17" s="218">
        <v>160</v>
      </c>
      <c r="D17" s="217" t="s">
        <v>248</v>
      </c>
      <c r="E17" s="220">
        <f>E177</f>
        <v>0</v>
      </c>
      <c r="F17" s="305"/>
      <c r="G17" s="1202">
        <f>E171</f>
        <v>0</v>
      </c>
      <c r="H17" s="220">
        <f>E176</f>
        <v>0</v>
      </c>
      <c r="I17" s="612">
        <f>I171</f>
        <v>0</v>
      </c>
      <c r="J17" s="220">
        <f>J171</f>
        <v>0</v>
      </c>
      <c r="K17" s="220">
        <f>K171</f>
        <v>0</v>
      </c>
      <c r="L17" s="220">
        <f>L171</f>
        <v>0</v>
      </c>
      <c r="M17" s="220">
        <f>M171</f>
        <v>0</v>
      </c>
      <c r="O17" s="220">
        <f>O171</f>
        <v>0</v>
      </c>
      <c r="Q17" s="220">
        <f>Q171</f>
        <v>0</v>
      </c>
      <c r="S17" s="220">
        <f>S171</f>
        <v>0</v>
      </c>
      <c r="U17" s="220">
        <f>U171</f>
        <v>0</v>
      </c>
      <c r="W17" s="220">
        <f>W171</f>
        <v>0</v>
      </c>
      <c r="Y17" s="222">
        <f>Y171</f>
        <v>0</v>
      </c>
    </row>
    <row r="18" spans="2:25" ht="21.95" customHeight="1" x14ac:dyDescent="0.2">
      <c r="B18" s="213" t="s">
        <v>700</v>
      </c>
      <c r="C18" s="218">
        <v>170</v>
      </c>
      <c r="D18" s="217" t="s">
        <v>248</v>
      </c>
      <c r="E18" s="220">
        <f>E184</f>
        <v>0</v>
      </c>
      <c r="F18" s="305"/>
      <c r="G18" s="1202">
        <f>E178</f>
        <v>0</v>
      </c>
      <c r="H18" s="220">
        <f>E183</f>
        <v>0</v>
      </c>
      <c r="I18" s="612">
        <f>I178</f>
        <v>0</v>
      </c>
      <c r="J18" s="220">
        <f>J178</f>
        <v>0</v>
      </c>
      <c r="K18" s="220">
        <f>K178</f>
        <v>0</v>
      </c>
      <c r="L18" s="220">
        <f>L178</f>
        <v>0</v>
      </c>
      <c r="M18" s="220">
        <f>M178</f>
        <v>0</v>
      </c>
      <c r="O18" s="220">
        <f>O178</f>
        <v>0</v>
      </c>
      <c r="Q18" s="220">
        <f>Q178</f>
        <v>0</v>
      </c>
      <c r="S18" s="220">
        <f>S178</f>
        <v>0</v>
      </c>
      <c r="U18" s="220">
        <f>U178</f>
        <v>0</v>
      </c>
      <c r="W18" s="220">
        <f>W178</f>
        <v>0</v>
      </c>
      <c r="Y18" s="222">
        <f>Y178</f>
        <v>0</v>
      </c>
    </row>
    <row r="19" spans="2:25" ht="21.95" customHeight="1" x14ac:dyDescent="0.2">
      <c r="B19" s="213" t="s">
        <v>701</v>
      </c>
      <c r="C19" s="218">
        <v>180</v>
      </c>
      <c r="D19" s="217" t="s">
        <v>248</v>
      </c>
      <c r="E19" s="228"/>
      <c r="F19" s="305"/>
      <c r="G19" s="1202">
        <f>E19-H19</f>
        <v>0</v>
      </c>
      <c r="H19" s="228"/>
      <c r="I19" s="613"/>
      <c r="J19" s="334"/>
      <c r="K19" s="334"/>
      <c r="L19" s="334"/>
      <c r="M19" s="228"/>
      <c r="O19" s="334"/>
      <c r="Q19" s="334"/>
      <c r="S19" s="228"/>
      <c r="U19" s="334"/>
      <c r="W19" s="334"/>
      <c r="Y19" s="297"/>
    </row>
    <row r="20" spans="2:25" ht="21.95" customHeight="1" x14ac:dyDescent="0.2">
      <c r="B20" s="213" t="s">
        <v>702</v>
      </c>
      <c r="C20" s="218">
        <v>190</v>
      </c>
      <c r="D20" s="217" t="s">
        <v>248</v>
      </c>
      <c r="E20" s="220">
        <f>E191</f>
        <v>0</v>
      </c>
      <c r="F20" s="305"/>
      <c r="G20" s="1202">
        <f>E185</f>
        <v>0</v>
      </c>
      <c r="H20" s="220">
        <f>E190</f>
        <v>0</v>
      </c>
      <c r="I20" s="612">
        <f>I185</f>
        <v>0</v>
      </c>
      <c r="J20" s="220">
        <f>J185</f>
        <v>0</v>
      </c>
      <c r="K20" s="220">
        <f>K185</f>
        <v>0</v>
      </c>
      <c r="L20" s="220">
        <f>L185</f>
        <v>0</v>
      </c>
      <c r="M20" s="220">
        <f>M185</f>
        <v>0</v>
      </c>
      <c r="O20" s="220">
        <f>O185</f>
        <v>0</v>
      </c>
      <c r="Q20" s="220">
        <f>Q185</f>
        <v>0</v>
      </c>
      <c r="S20" s="220">
        <f>S185</f>
        <v>0</v>
      </c>
      <c r="U20" s="220">
        <f>U185</f>
        <v>0</v>
      </c>
      <c r="W20" s="220">
        <f>W185</f>
        <v>0</v>
      </c>
      <c r="Y20" s="222">
        <f>Y185</f>
        <v>0</v>
      </c>
    </row>
    <row r="21" spans="2:25" ht="21.95" customHeight="1" x14ac:dyDescent="0.2">
      <c r="B21" s="213" t="s">
        <v>703</v>
      </c>
      <c r="C21" s="218">
        <v>200</v>
      </c>
      <c r="D21" s="217" t="s">
        <v>248</v>
      </c>
      <c r="E21" s="220">
        <f>E198</f>
        <v>0</v>
      </c>
      <c r="F21" s="305"/>
      <c r="G21" s="1202">
        <f>E192</f>
        <v>0</v>
      </c>
      <c r="H21" s="220">
        <f>E197</f>
        <v>0</v>
      </c>
      <c r="I21" s="612">
        <f>I192</f>
        <v>0</v>
      </c>
      <c r="J21" s="220">
        <f>J192</f>
        <v>0</v>
      </c>
      <c r="K21" s="220">
        <f>K192</f>
        <v>0</v>
      </c>
      <c r="L21" s="220">
        <f>L192</f>
        <v>0</v>
      </c>
      <c r="M21" s="220">
        <f>M192</f>
        <v>0</v>
      </c>
      <c r="O21" s="220">
        <f>O192</f>
        <v>0</v>
      </c>
      <c r="Q21" s="220">
        <f>Q192</f>
        <v>0</v>
      </c>
      <c r="S21" s="220">
        <f>S192</f>
        <v>0</v>
      </c>
      <c r="U21" s="220">
        <f>U192</f>
        <v>0</v>
      </c>
      <c r="W21" s="220">
        <f>W192</f>
        <v>0</v>
      </c>
      <c r="Y21" s="222">
        <f>Y192</f>
        <v>0</v>
      </c>
    </row>
    <row r="22" spans="2:25" ht="27" customHeight="1" x14ac:dyDescent="0.2">
      <c r="B22" s="266" t="s">
        <v>704</v>
      </c>
      <c r="C22" s="218">
        <v>202</v>
      </c>
      <c r="D22" s="219" t="s">
        <v>248</v>
      </c>
      <c r="E22" s="228"/>
      <c r="F22" s="395"/>
      <c r="G22" s="1202">
        <f>E22-H22</f>
        <v>0</v>
      </c>
      <c r="H22" s="228"/>
      <c r="I22" s="613"/>
      <c r="J22" s="334"/>
      <c r="K22" s="334"/>
      <c r="L22" s="334"/>
      <c r="M22" s="324"/>
      <c r="O22" s="334"/>
      <c r="Q22" s="334"/>
      <c r="S22" s="334"/>
      <c r="U22" s="334"/>
      <c r="W22" s="334"/>
      <c r="Y22" s="259"/>
    </row>
    <row r="23" spans="2:25" ht="21.95" customHeight="1" x14ac:dyDescent="0.2">
      <c r="B23" s="231" t="s">
        <v>705</v>
      </c>
      <c r="C23" s="218">
        <v>204</v>
      </c>
      <c r="D23" s="219" t="s">
        <v>248</v>
      </c>
      <c r="E23" s="228"/>
      <c r="F23" s="395"/>
      <c r="G23" s="1202">
        <f>E23-H23</f>
        <v>0</v>
      </c>
      <c r="H23" s="228"/>
      <c r="I23" s="613"/>
      <c r="J23" s="334"/>
      <c r="K23" s="334"/>
      <c r="L23" s="334"/>
      <c r="M23" s="324"/>
      <c r="O23" s="334"/>
      <c r="Q23" s="334"/>
      <c r="S23" s="334"/>
      <c r="U23" s="334"/>
      <c r="W23" s="334"/>
      <c r="Y23" s="259"/>
    </row>
    <row r="24" spans="2:25" ht="27" customHeight="1" x14ac:dyDescent="0.2">
      <c r="B24" s="266" t="s">
        <v>706</v>
      </c>
      <c r="C24" s="218">
        <v>206</v>
      </c>
      <c r="D24" s="219" t="s">
        <v>248</v>
      </c>
      <c r="E24" s="228"/>
      <c r="F24" s="395"/>
      <c r="G24" s="1202">
        <f>E24-H24</f>
        <v>0</v>
      </c>
      <c r="H24" s="228"/>
      <c r="I24" s="613"/>
      <c r="J24" s="334"/>
      <c r="K24" s="334"/>
      <c r="L24" s="334"/>
      <c r="M24" s="324"/>
      <c r="O24" s="334"/>
      <c r="Q24" s="334"/>
      <c r="S24" s="334"/>
      <c r="U24" s="334"/>
      <c r="W24" s="334"/>
      <c r="Y24" s="259"/>
    </row>
    <row r="25" spans="2:25" ht="21.95" customHeight="1" x14ac:dyDescent="0.2">
      <c r="B25" s="231" t="s">
        <v>707</v>
      </c>
      <c r="C25" s="218">
        <v>208</v>
      </c>
      <c r="D25" s="219" t="s">
        <v>248</v>
      </c>
      <c r="E25" s="228"/>
      <c r="F25" s="395"/>
      <c r="G25" s="1202">
        <f>E25-H25</f>
        <v>0</v>
      </c>
      <c r="H25" s="228"/>
      <c r="I25" s="613"/>
      <c r="J25" s="334"/>
      <c r="K25" s="334"/>
      <c r="L25" s="334"/>
      <c r="M25" s="324"/>
      <c r="O25" s="334"/>
      <c r="Q25" s="334"/>
      <c r="S25" s="334"/>
      <c r="U25" s="334"/>
      <c r="W25" s="334"/>
      <c r="Y25" s="259"/>
    </row>
    <row r="26" spans="2:25" ht="21.95" customHeight="1" x14ac:dyDescent="0.2">
      <c r="B26" s="231" t="s">
        <v>708</v>
      </c>
      <c r="C26" s="218">
        <v>209</v>
      </c>
      <c r="D26" s="219" t="s">
        <v>248</v>
      </c>
      <c r="E26" s="220">
        <f>Y26</f>
        <v>0</v>
      </c>
      <c r="F26" s="395"/>
      <c r="G26" s="1202">
        <f>E26-H26</f>
        <v>0</v>
      </c>
      <c r="H26" s="228"/>
      <c r="I26" s="613"/>
      <c r="J26" s="334"/>
      <c r="K26" s="334"/>
      <c r="L26" s="334"/>
      <c r="M26" s="334"/>
      <c r="O26" s="334"/>
      <c r="Q26" s="334"/>
      <c r="S26" s="334"/>
      <c r="U26" s="334"/>
      <c r="W26" s="334"/>
      <c r="Y26" s="297"/>
    </row>
    <row r="27" spans="2:25" ht="21.95" customHeight="1" x14ac:dyDescent="0.2">
      <c r="B27" s="213" t="s">
        <v>709</v>
      </c>
      <c r="C27" s="218">
        <v>210</v>
      </c>
      <c r="D27" s="217" t="s">
        <v>248</v>
      </c>
      <c r="E27" s="220">
        <f>E205</f>
        <v>0</v>
      </c>
      <c r="F27" s="305"/>
      <c r="G27" s="1202">
        <f>E199</f>
        <v>0</v>
      </c>
      <c r="H27" s="220">
        <f>E204</f>
        <v>0</v>
      </c>
      <c r="I27" s="612">
        <f>I199</f>
        <v>0</v>
      </c>
      <c r="J27" s="220">
        <f>J199</f>
        <v>0</v>
      </c>
      <c r="K27" s="220">
        <f>K199</f>
        <v>0</v>
      </c>
      <c r="L27" s="220">
        <f>L199</f>
        <v>0</v>
      </c>
      <c r="M27" s="220">
        <f>M199</f>
        <v>0</v>
      </c>
      <c r="O27" s="220">
        <f>O199</f>
        <v>0</v>
      </c>
      <c r="Q27" s="220">
        <f>Q199</f>
        <v>0</v>
      </c>
      <c r="S27" s="220">
        <f>S199</f>
        <v>0</v>
      </c>
      <c r="U27" s="220">
        <f>U199</f>
        <v>0</v>
      </c>
      <c r="W27" s="220">
        <f>W199</f>
        <v>0</v>
      </c>
      <c r="Y27" s="222">
        <f>Y199</f>
        <v>0</v>
      </c>
    </row>
    <row r="28" spans="2:25" ht="21.95" customHeight="1" x14ac:dyDescent="0.2">
      <c r="B28" s="213" t="s">
        <v>710</v>
      </c>
      <c r="C28" s="218">
        <v>212</v>
      </c>
      <c r="D28" s="217" t="s">
        <v>248</v>
      </c>
      <c r="E28" s="228"/>
      <c r="F28" s="305"/>
      <c r="G28" s="1202">
        <f t="shared" ref="G28:G42" si="1">E28-H28</f>
        <v>0</v>
      </c>
      <c r="H28" s="228"/>
      <c r="I28" s="618"/>
      <c r="J28" s="228"/>
      <c r="K28" s="228"/>
      <c r="L28" s="228"/>
      <c r="M28" s="228"/>
      <c r="O28" s="228"/>
      <c r="Q28" s="228"/>
      <c r="S28" s="228"/>
      <c r="U28" s="228"/>
      <c r="W28" s="228"/>
      <c r="Y28" s="297"/>
    </row>
    <row r="29" spans="2:25" ht="21.95" customHeight="1" x14ac:dyDescent="0.2">
      <c r="B29" s="213" t="s">
        <v>711</v>
      </c>
      <c r="C29" s="218">
        <v>214</v>
      </c>
      <c r="D29" s="217" t="s">
        <v>248</v>
      </c>
      <c r="E29" s="228"/>
      <c r="F29" s="305"/>
      <c r="G29" s="1202">
        <f t="shared" si="1"/>
        <v>0</v>
      </c>
      <c r="H29" s="228"/>
      <c r="I29" s="618"/>
      <c r="J29" s="228"/>
      <c r="K29" s="228"/>
      <c r="L29" s="228"/>
      <c r="M29" s="228"/>
      <c r="O29" s="228"/>
      <c r="Q29" s="228"/>
      <c r="S29" s="228"/>
      <c r="U29" s="228"/>
      <c r="W29" s="228"/>
      <c r="Y29" s="297"/>
    </row>
    <row r="30" spans="2:25" ht="21.95" customHeight="1" x14ac:dyDescent="0.2">
      <c r="B30" s="213" t="s">
        <v>712</v>
      </c>
      <c r="C30" s="218">
        <v>216</v>
      </c>
      <c r="D30" s="217" t="s">
        <v>248</v>
      </c>
      <c r="E30" s="228"/>
      <c r="F30" s="305"/>
      <c r="G30" s="1202">
        <f t="shared" si="1"/>
        <v>0</v>
      </c>
      <c r="H30" s="228"/>
      <c r="I30" s="618"/>
      <c r="J30" s="228"/>
      <c r="K30" s="228"/>
      <c r="L30" s="228"/>
      <c r="M30" s="228"/>
      <c r="O30" s="228"/>
      <c r="Q30" s="228"/>
      <c r="S30" s="228"/>
      <c r="U30" s="228"/>
      <c r="W30" s="228"/>
      <c r="Y30" s="297"/>
    </row>
    <row r="31" spans="2:25" ht="21.95" customHeight="1" x14ac:dyDescent="0.2">
      <c r="B31" s="213" t="s">
        <v>713</v>
      </c>
      <c r="C31" s="218">
        <v>220</v>
      </c>
      <c r="D31" s="217" t="s">
        <v>251</v>
      </c>
      <c r="E31" s="300">
        <f>(('1415TRU16_AST_P13'!E93+'1415TRU16_AST_P13'!E94)*-1)</f>
        <v>0</v>
      </c>
      <c r="F31" s="305"/>
      <c r="G31" s="1202">
        <f t="shared" si="1"/>
        <v>0</v>
      </c>
      <c r="H31" s="334"/>
      <c r="I31" s="618"/>
      <c r="J31" s="228"/>
      <c r="K31" s="228"/>
      <c r="L31" s="228"/>
      <c r="M31" s="228"/>
      <c r="O31" s="228"/>
      <c r="Q31" s="228"/>
      <c r="S31" s="228"/>
      <c r="U31" s="228"/>
      <c r="W31" s="228"/>
      <c r="Y31" s="297"/>
    </row>
    <row r="32" spans="2:25" ht="21.95" customHeight="1" x14ac:dyDescent="0.2">
      <c r="B32" s="213" t="s">
        <v>714</v>
      </c>
      <c r="C32" s="218">
        <v>230</v>
      </c>
      <c r="D32" s="217" t="s">
        <v>248</v>
      </c>
      <c r="E32" s="300">
        <f>(('1415TRU15_ICG_P13'!L102+'1415TRU15_ICG_P13'!L103)*-1)</f>
        <v>0</v>
      </c>
      <c r="F32" s="305"/>
      <c r="G32" s="1202">
        <f t="shared" si="1"/>
        <v>0</v>
      </c>
      <c r="H32" s="334"/>
      <c r="I32" s="613"/>
      <c r="J32" s="334"/>
      <c r="K32" s="334"/>
      <c r="L32" s="334"/>
      <c r="M32" s="334"/>
      <c r="O32" s="334"/>
      <c r="Q32" s="334"/>
      <c r="S32" s="334"/>
      <c r="U32" s="334"/>
      <c r="W32" s="334"/>
      <c r="Y32" s="259"/>
    </row>
    <row r="33" spans="1:25" ht="27" customHeight="1" x14ac:dyDescent="0.2">
      <c r="B33" s="245" t="s">
        <v>715</v>
      </c>
      <c r="C33" s="218">
        <v>235</v>
      </c>
      <c r="D33" s="217" t="s">
        <v>248</v>
      </c>
      <c r="E33" s="220">
        <f>(E35-E34)</f>
        <v>0</v>
      </c>
      <c r="F33" s="305"/>
      <c r="G33" s="1202">
        <f t="shared" si="1"/>
        <v>0</v>
      </c>
      <c r="H33" s="324"/>
      <c r="I33" s="613"/>
      <c r="J33" s="334"/>
      <c r="K33" s="334"/>
      <c r="L33" s="334"/>
      <c r="M33" s="334"/>
      <c r="O33" s="334"/>
      <c r="Q33" s="334"/>
      <c r="S33" s="334"/>
      <c r="U33" s="334"/>
      <c r="W33" s="334"/>
      <c r="Y33" s="259"/>
    </row>
    <row r="34" spans="1:25" ht="21.95" customHeight="1" x14ac:dyDescent="0.2">
      <c r="B34" s="213" t="s">
        <v>716</v>
      </c>
      <c r="C34" s="218">
        <v>236</v>
      </c>
      <c r="D34" s="217" t="s">
        <v>248</v>
      </c>
      <c r="E34" s="228"/>
      <c r="F34" s="305"/>
      <c r="G34" s="1202">
        <f t="shared" si="1"/>
        <v>0</v>
      </c>
      <c r="H34" s="324"/>
      <c r="I34" s="613"/>
      <c r="J34" s="334"/>
      <c r="K34" s="334"/>
      <c r="L34" s="334"/>
      <c r="M34" s="334"/>
      <c r="O34" s="334"/>
      <c r="Q34" s="334"/>
      <c r="S34" s="334"/>
      <c r="U34" s="334"/>
      <c r="W34" s="334"/>
      <c r="Y34" s="259"/>
    </row>
    <row r="35" spans="1:25" ht="21.95" customHeight="1" x14ac:dyDescent="0.2">
      <c r="B35" s="226" t="s">
        <v>717</v>
      </c>
      <c r="C35" s="218">
        <v>240</v>
      </c>
      <c r="D35" s="217" t="s">
        <v>248</v>
      </c>
      <c r="E35" s="461">
        <f>'1415TRU12_PPE_P13'!M52</f>
        <v>0</v>
      </c>
      <c r="F35" s="1011">
        <f>'1415TRU12_PPE_P13'!N52</f>
        <v>0</v>
      </c>
      <c r="G35" s="1203">
        <f t="shared" si="1"/>
        <v>0</v>
      </c>
      <c r="H35" s="334"/>
      <c r="I35" s="613"/>
      <c r="J35" s="334"/>
      <c r="K35" s="334"/>
      <c r="L35" s="334"/>
      <c r="M35" s="334"/>
      <c r="O35" s="334"/>
      <c r="Q35" s="334"/>
      <c r="S35" s="334"/>
      <c r="U35" s="334"/>
      <c r="W35" s="334"/>
      <c r="Y35" s="259"/>
    </row>
    <row r="36" spans="1:25" ht="27" customHeight="1" x14ac:dyDescent="0.2">
      <c r="B36" s="245" t="s">
        <v>718</v>
      </c>
      <c r="C36" s="218">
        <v>245</v>
      </c>
      <c r="D36" s="217" t="s">
        <v>248</v>
      </c>
      <c r="E36" s="220">
        <f>(E38-E37)</f>
        <v>0</v>
      </c>
      <c r="F36" s="305"/>
      <c r="G36" s="1202">
        <f t="shared" si="1"/>
        <v>0</v>
      </c>
      <c r="H36" s="324"/>
      <c r="I36" s="613"/>
      <c r="J36" s="334"/>
      <c r="K36" s="334"/>
      <c r="L36" s="334"/>
      <c r="M36" s="334"/>
      <c r="O36" s="334"/>
      <c r="Q36" s="334"/>
      <c r="S36" s="334"/>
      <c r="U36" s="334"/>
      <c r="W36" s="334"/>
      <c r="Y36" s="259"/>
    </row>
    <row r="37" spans="1:25" ht="21.95" customHeight="1" x14ac:dyDescent="0.2">
      <c r="B37" s="213" t="s">
        <v>719</v>
      </c>
      <c r="C37" s="218">
        <v>246</v>
      </c>
      <c r="D37" s="217" t="s">
        <v>248</v>
      </c>
      <c r="E37" s="228"/>
      <c r="F37" s="305"/>
      <c r="G37" s="1202">
        <f t="shared" si="1"/>
        <v>0</v>
      </c>
      <c r="H37" s="324"/>
      <c r="I37" s="613"/>
      <c r="J37" s="334"/>
      <c r="K37" s="334"/>
      <c r="L37" s="334"/>
      <c r="M37" s="334"/>
      <c r="O37" s="334"/>
      <c r="Q37" s="334"/>
      <c r="S37" s="334"/>
      <c r="U37" s="334"/>
      <c r="W37" s="334"/>
      <c r="Y37" s="259"/>
    </row>
    <row r="38" spans="1:25" ht="21.95" customHeight="1" x14ac:dyDescent="0.2">
      <c r="B38" s="226" t="s">
        <v>720</v>
      </c>
      <c r="C38" s="218">
        <v>250</v>
      </c>
      <c r="D38" s="217" t="s">
        <v>248</v>
      </c>
      <c r="E38" s="461">
        <f>'1415TRU13_INT_P13'!J50</f>
        <v>0</v>
      </c>
      <c r="F38" s="1011">
        <f>'1415TRU13_INT_P13'!K50</f>
        <v>0</v>
      </c>
      <c r="G38" s="1203">
        <f t="shared" si="1"/>
        <v>0</v>
      </c>
      <c r="H38" s="334"/>
      <c r="I38" s="613"/>
      <c r="J38" s="334"/>
      <c r="K38" s="334"/>
      <c r="L38" s="334"/>
      <c r="M38" s="334"/>
      <c r="O38" s="334"/>
      <c r="Q38" s="334"/>
      <c r="S38" s="334"/>
      <c r="U38" s="334"/>
      <c r="W38" s="334"/>
      <c r="Y38" s="259"/>
    </row>
    <row r="39" spans="1:25" ht="27" customHeight="1" x14ac:dyDescent="0.2">
      <c r="B39" s="245" t="s">
        <v>721</v>
      </c>
      <c r="C39" s="218">
        <v>260</v>
      </c>
      <c r="D39" s="217" t="s">
        <v>251</v>
      </c>
      <c r="E39" s="300">
        <f>('1415TRU14_IMP_P13'!E14+'1415TRU14_IMP_P13'!E19)</f>
        <v>0</v>
      </c>
      <c r="F39" s="305"/>
      <c r="G39" s="1202">
        <f t="shared" si="1"/>
        <v>0</v>
      </c>
      <c r="H39" s="334"/>
      <c r="I39" s="613"/>
      <c r="J39" s="334"/>
      <c r="K39" s="334"/>
      <c r="L39" s="334"/>
      <c r="M39" s="334"/>
      <c r="O39" s="334"/>
      <c r="Q39" s="334"/>
      <c r="S39" s="334"/>
      <c r="U39" s="334"/>
      <c r="W39" s="334"/>
      <c r="Y39" s="259"/>
    </row>
    <row r="40" spans="1:25" ht="21.95" customHeight="1" x14ac:dyDescent="0.2">
      <c r="B40" s="213" t="s">
        <v>722</v>
      </c>
      <c r="C40" s="218">
        <v>270</v>
      </c>
      <c r="D40" s="217" t="s">
        <v>251</v>
      </c>
      <c r="E40" s="300">
        <f>('1415TRU14_IMP_P13'!E34+'1415TRU14_IMP_P13'!E39)</f>
        <v>0</v>
      </c>
      <c r="F40" s="305"/>
      <c r="G40" s="1202">
        <f t="shared" si="1"/>
        <v>0</v>
      </c>
      <c r="H40" s="334"/>
      <c r="I40" s="613"/>
      <c r="J40" s="334"/>
      <c r="K40" s="334"/>
      <c r="L40" s="334"/>
      <c r="M40" s="334"/>
      <c r="O40" s="334"/>
      <c r="Q40" s="334"/>
      <c r="S40" s="334"/>
      <c r="U40" s="334"/>
      <c r="W40" s="334"/>
      <c r="Y40" s="259"/>
    </row>
    <row r="41" spans="1:25" ht="21.95" customHeight="1" x14ac:dyDescent="0.2">
      <c r="B41" s="213" t="s">
        <v>723</v>
      </c>
      <c r="C41" s="218">
        <v>280</v>
      </c>
      <c r="D41" s="217" t="s">
        <v>251</v>
      </c>
      <c r="E41" s="300">
        <f>('1415TRU14_IMP_P13'!E52+'1415TRU14_IMP_P13'!E55)</f>
        <v>0</v>
      </c>
      <c r="F41" s="305"/>
      <c r="G41" s="1202">
        <f t="shared" si="1"/>
        <v>0</v>
      </c>
      <c r="H41" s="334"/>
      <c r="I41" s="613"/>
      <c r="J41" s="334"/>
      <c r="K41" s="334"/>
      <c r="L41" s="334"/>
      <c r="M41" s="334"/>
      <c r="O41" s="334"/>
      <c r="Q41" s="334"/>
      <c r="S41" s="334"/>
      <c r="U41" s="334"/>
      <c r="W41" s="334"/>
      <c r="Y41" s="259"/>
    </row>
    <row r="42" spans="1:25" ht="27" customHeight="1" x14ac:dyDescent="0.2">
      <c r="B42" s="244" t="s">
        <v>724</v>
      </c>
      <c r="C42" s="218">
        <v>290</v>
      </c>
      <c r="D42" s="217" t="s">
        <v>251</v>
      </c>
      <c r="E42" s="300">
        <f>('1415TRU14_IMP_P13'!E65+'1415TRU14_IMP_P13'!E70)</f>
        <v>0</v>
      </c>
      <c r="F42" s="305"/>
      <c r="G42" s="1202">
        <f t="shared" si="1"/>
        <v>0</v>
      </c>
      <c r="H42" s="334"/>
      <c r="I42" s="613"/>
      <c r="J42" s="334"/>
      <c r="K42" s="334"/>
      <c r="L42" s="334"/>
      <c r="M42" s="334"/>
      <c r="O42" s="334"/>
      <c r="Q42" s="334"/>
      <c r="S42" s="334"/>
      <c r="U42" s="334"/>
      <c r="W42" s="334"/>
      <c r="Y42" s="335"/>
    </row>
    <row r="43" spans="1:25" hidden="1" x14ac:dyDescent="0.2">
      <c r="A43" s="105"/>
      <c r="B43" t="s">
        <v>726</v>
      </c>
      <c r="C43" s="97">
        <v>300</v>
      </c>
      <c r="D43" t="s">
        <v>251</v>
      </c>
      <c r="F43" s="379"/>
    </row>
    <row r="44" spans="1:25" ht="21.95" customHeight="1" x14ac:dyDescent="0.2">
      <c r="B44" s="188" t="s">
        <v>727</v>
      </c>
      <c r="C44" s="251">
        <v>310</v>
      </c>
      <c r="D44" s="250" t="s">
        <v>248</v>
      </c>
      <c r="E44" s="422"/>
      <c r="F44" s="802"/>
      <c r="G44" s="1204">
        <f t="shared" ref="G44:G49" si="2">E44-H44</f>
        <v>0</v>
      </c>
      <c r="H44" s="422"/>
      <c r="I44" s="621"/>
      <c r="J44" s="622"/>
      <c r="K44" s="622"/>
      <c r="L44" s="622"/>
      <c r="M44" s="422"/>
      <c r="O44" s="622"/>
      <c r="Q44" s="622"/>
      <c r="S44" s="622"/>
      <c r="U44" s="622"/>
      <c r="W44" s="622"/>
      <c r="Y44" s="623"/>
    </row>
    <row r="45" spans="1:25" ht="21.95" customHeight="1" x14ac:dyDescent="0.2">
      <c r="B45" s="213" t="s">
        <v>728</v>
      </c>
      <c r="C45" s="218">
        <v>320</v>
      </c>
      <c r="D45" s="217" t="s">
        <v>248</v>
      </c>
      <c r="E45" s="228"/>
      <c r="F45" s="305"/>
      <c r="G45" s="1202">
        <f t="shared" si="2"/>
        <v>0</v>
      </c>
      <c r="H45" s="228"/>
      <c r="I45" s="613"/>
      <c r="J45" s="334"/>
      <c r="K45" s="334"/>
      <c r="L45" s="334"/>
      <c r="M45" s="228"/>
      <c r="O45" s="334"/>
      <c r="Q45" s="228"/>
      <c r="S45" s="228"/>
      <c r="U45" s="334"/>
      <c r="W45" s="334"/>
      <c r="Y45" s="259"/>
    </row>
    <row r="46" spans="1:25" ht="21.95" customHeight="1" x14ac:dyDescent="0.2">
      <c r="B46" s="213" t="s">
        <v>729</v>
      </c>
      <c r="C46" s="218">
        <v>330</v>
      </c>
      <c r="D46" s="217" t="s">
        <v>248</v>
      </c>
      <c r="E46" s="228"/>
      <c r="F46" s="305"/>
      <c r="G46" s="1202">
        <f t="shared" si="2"/>
        <v>0</v>
      </c>
      <c r="H46" s="334"/>
      <c r="I46" s="613"/>
      <c r="J46" s="334"/>
      <c r="K46" s="334"/>
      <c r="L46" s="334"/>
      <c r="M46" s="334"/>
      <c r="O46" s="334"/>
      <c r="Q46" s="334"/>
      <c r="S46" s="334"/>
      <c r="U46" s="334"/>
      <c r="W46" s="220">
        <f>E46</f>
        <v>0</v>
      </c>
      <c r="Y46" s="259"/>
    </row>
    <row r="47" spans="1:25" ht="21.95" customHeight="1" x14ac:dyDescent="0.2">
      <c r="B47" s="213" t="s">
        <v>730</v>
      </c>
      <c r="C47" s="218">
        <v>340</v>
      </c>
      <c r="D47" s="217" t="s">
        <v>248</v>
      </c>
      <c r="E47" s="228"/>
      <c r="F47" s="305"/>
      <c r="G47" s="1202">
        <f t="shared" si="2"/>
        <v>0</v>
      </c>
      <c r="H47" s="228"/>
      <c r="I47" s="618"/>
      <c r="J47" s="228"/>
      <c r="K47" s="228"/>
      <c r="L47" s="228"/>
      <c r="M47" s="228"/>
      <c r="O47" s="228"/>
      <c r="Q47" s="228"/>
      <c r="S47" s="228"/>
      <c r="U47" s="228"/>
      <c r="W47" s="228"/>
      <c r="Y47" s="297"/>
    </row>
    <row r="48" spans="1:25" ht="21.95" customHeight="1" x14ac:dyDescent="0.2">
      <c r="B48" s="213" t="s">
        <v>731</v>
      </c>
      <c r="C48" s="218">
        <v>350</v>
      </c>
      <c r="D48" s="217" t="s">
        <v>248</v>
      </c>
      <c r="E48" s="228"/>
      <c r="F48" s="305"/>
      <c r="G48" s="1202">
        <f t="shared" si="2"/>
        <v>0</v>
      </c>
      <c r="H48" s="228"/>
      <c r="I48" s="618"/>
      <c r="J48" s="228"/>
      <c r="K48" s="228"/>
      <c r="L48" s="228"/>
      <c r="M48" s="228"/>
      <c r="O48" s="228"/>
      <c r="Q48" s="228"/>
      <c r="S48" s="228"/>
      <c r="U48" s="228"/>
      <c r="W48" s="228"/>
      <c r="Y48" s="297"/>
    </row>
    <row r="49" spans="1:55" ht="21.95" customHeight="1" x14ac:dyDescent="0.2">
      <c r="B49" s="213" t="s">
        <v>732</v>
      </c>
      <c r="C49" s="218">
        <v>355</v>
      </c>
      <c r="D49" s="217" t="s">
        <v>251</v>
      </c>
      <c r="E49" s="300">
        <f>'1415TRU19_PRV_P13'!E23</f>
        <v>0</v>
      </c>
      <c r="F49" s="305"/>
      <c r="G49" s="1202">
        <f t="shared" si="2"/>
        <v>0</v>
      </c>
      <c r="H49" s="324"/>
      <c r="I49" s="613"/>
      <c r="J49" s="334"/>
      <c r="K49" s="334"/>
      <c r="L49" s="334"/>
      <c r="M49" s="334"/>
      <c r="O49" s="334"/>
      <c r="Q49" s="334"/>
      <c r="S49" s="334"/>
      <c r="U49" s="334"/>
      <c r="W49" s="334"/>
      <c r="Y49" s="259"/>
    </row>
    <row r="50" spans="1:55" ht="27" customHeight="1" x14ac:dyDescent="0.2">
      <c r="B50" s="245" t="s">
        <v>733</v>
      </c>
      <c r="C50" s="218">
        <v>356</v>
      </c>
      <c r="D50" s="217" t="s">
        <v>248</v>
      </c>
      <c r="E50" s="220">
        <f>E212</f>
        <v>0</v>
      </c>
      <c r="F50" s="305"/>
      <c r="G50" s="1202">
        <f>E206</f>
        <v>0</v>
      </c>
      <c r="H50" s="220">
        <f>E211</f>
        <v>0</v>
      </c>
      <c r="I50" s="624">
        <f>I206</f>
        <v>0</v>
      </c>
      <c r="J50" s="220">
        <f>J206</f>
        <v>0</v>
      </c>
      <c r="K50" s="220">
        <f>K206</f>
        <v>0</v>
      </c>
      <c r="L50" s="220">
        <f>L206</f>
        <v>0</v>
      </c>
      <c r="M50" s="220">
        <f>M206</f>
        <v>0</v>
      </c>
      <c r="O50" s="220">
        <f>O206</f>
        <v>0</v>
      </c>
      <c r="Q50" s="220">
        <f>Q206</f>
        <v>0</v>
      </c>
      <c r="S50" s="220">
        <f>S206</f>
        <v>0</v>
      </c>
      <c r="U50" s="220">
        <f>U206</f>
        <v>0</v>
      </c>
      <c r="W50" s="220">
        <f>W206</f>
        <v>0</v>
      </c>
      <c r="Y50" s="222">
        <f>Y206</f>
        <v>0</v>
      </c>
    </row>
    <row r="51" spans="1:55" ht="21.95" customHeight="1" x14ac:dyDescent="0.2">
      <c r="B51" s="213" t="s">
        <v>734</v>
      </c>
      <c r="C51" s="218">
        <v>357</v>
      </c>
      <c r="D51" s="217" t="s">
        <v>248</v>
      </c>
      <c r="E51" s="228"/>
      <c r="F51" s="305"/>
      <c r="G51" s="1202">
        <f>E51-H51</f>
        <v>0</v>
      </c>
      <c r="H51" s="324"/>
      <c r="I51" s="618"/>
      <c r="J51" s="228"/>
      <c r="K51" s="228"/>
      <c r="L51" s="228"/>
      <c r="M51" s="228"/>
      <c r="O51" s="228"/>
      <c r="Q51" s="228"/>
      <c r="S51" s="228"/>
      <c r="U51" s="228"/>
      <c r="W51" s="228"/>
      <c r="Y51" s="297"/>
    </row>
    <row r="52" spans="1:55" ht="21.95" customHeight="1" x14ac:dyDescent="0.2">
      <c r="A52" s="97"/>
      <c r="B52" s="223" t="s">
        <v>735</v>
      </c>
      <c r="C52" s="218">
        <v>360</v>
      </c>
      <c r="D52" s="218" t="s">
        <v>248</v>
      </c>
      <c r="E52" s="224">
        <f>SUM(E50:E51)</f>
        <v>0</v>
      </c>
      <c r="F52" s="1011">
        <f>SUM(F50:F51)</f>
        <v>0</v>
      </c>
      <c r="G52" s="1203">
        <f>E52-H52</f>
        <v>0</v>
      </c>
      <c r="H52" s="224">
        <f t="shared" ref="H52:M52" si="3">SUM(H49:H51)</f>
        <v>0</v>
      </c>
      <c r="I52" s="616">
        <f t="shared" si="3"/>
        <v>0</v>
      </c>
      <c r="J52" s="224">
        <f t="shared" si="3"/>
        <v>0</v>
      </c>
      <c r="K52" s="224">
        <f t="shared" si="3"/>
        <v>0</v>
      </c>
      <c r="L52" s="224">
        <f t="shared" si="3"/>
        <v>0</v>
      </c>
      <c r="M52" s="224">
        <f t="shared" si="3"/>
        <v>0</v>
      </c>
      <c r="N52" s="97"/>
      <c r="O52" s="224">
        <f>SUM(O49:O51)</f>
        <v>0</v>
      </c>
      <c r="P52" s="97"/>
      <c r="Q52" s="224">
        <f>SUM(Q49:Q51)</f>
        <v>0</v>
      </c>
      <c r="R52" s="97"/>
      <c r="S52" s="224">
        <f>SUM(S49:S51)</f>
        <v>0</v>
      </c>
      <c r="T52" s="97"/>
      <c r="U52" s="224">
        <f>SUM(U49:U51)</f>
        <v>0</v>
      </c>
      <c r="V52" s="97"/>
      <c r="W52" s="224">
        <f>SUM(W49:W51)</f>
        <v>0</v>
      </c>
      <c r="X52" s="97"/>
      <c r="Y52" s="225">
        <f>SUM(Y49:Y51)</f>
        <v>0</v>
      </c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</row>
    <row r="53" spans="1:55" hidden="1" x14ac:dyDescent="0.2">
      <c r="F53" s="379"/>
    </row>
    <row r="54" spans="1:55" ht="30" customHeight="1" x14ac:dyDescent="0.2">
      <c r="B54" s="355" t="s">
        <v>736</v>
      </c>
      <c r="C54" s="417"/>
      <c r="D54" s="625"/>
      <c r="E54" s="419"/>
      <c r="F54" s="578"/>
      <c r="G54" s="1205"/>
      <c r="H54" s="419"/>
      <c r="I54" s="626"/>
      <c r="J54" s="419"/>
      <c r="K54" s="419"/>
      <c r="L54" s="419"/>
      <c r="M54" s="419"/>
      <c r="O54" s="419"/>
      <c r="Q54" s="419"/>
      <c r="S54" s="419"/>
      <c r="U54" s="419"/>
      <c r="W54" s="419"/>
      <c r="Y54" s="578"/>
    </row>
    <row r="55" spans="1:55" ht="27" hidden="1" customHeight="1" x14ac:dyDescent="0.2">
      <c r="B55" s="354" t="s">
        <v>737</v>
      </c>
      <c r="C55" s="251">
        <v>362</v>
      </c>
      <c r="D55" s="250" t="s">
        <v>248</v>
      </c>
      <c r="E55" s="321"/>
      <c r="F55" s="1213"/>
      <c r="G55" s="1204">
        <f>E172+E179+E186+E193+E200+E207</f>
        <v>0</v>
      </c>
      <c r="H55" s="321"/>
      <c r="I55" s="620">
        <f t="shared" ref="I55:M57" si="4">I172+I179+I186+I193+I200+I207</f>
        <v>0</v>
      </c>
      <c r="J55" s="253">
        <f t="shared" si="4"/>
        <v>0</v>
      </c>
      <c r="K55" s="253">
        <f t="shared" si="4"/>
        <v>0</v>
      </c>
      <c r="L55" s="253">
        <f t="shared" si="4"/>
        <v>0</v>
      </c>
      <c r="M55" s="253">
        <f t="shared" si="4"/>
        <v>0</v>
      </c>
      <c r="O55" s="253">
        <f>O172+O179+O186+O193+O200+O207</f>
        <v>0</v>
      </c>
      <c r="Q55" s="253">
        <f>Q172+Q179+Q186+Q193+Q200+Q207</f>
        <v>0</v>
      </c>
      <c r="S55" s="253">
        <f>S172+S179+S186+S193+S200+S207</f>
        <v>0</v>
      </c>
      <c r="U55" s="253">
        <f>U172+U179+U186+U193+U200+U207</f>
        <v>0</v>
      </c>
      <c r="W55" s="253">
        <f>W172+W179+W186+W193+W200+W207</f>
        <v>0</v>
      </c>
      <c r="Y55" s="255">
        <f>Y172+Y179+Y186+Y193+Y200+Y207</f>
        <v>0</v>
      </c>
    </row>
    <row r="56" spans="1:55" ht="21.95" hidden="1" customHeight="1" x14ac:dyDescent="0.2">
      <c r="B56" s="245" t="s">
        <v>738</v>
      </c>
      <c r="C56" s="218">
        <v>364</v>
      </c>
      <c r="D56" s="217" t="s">
        <v>248</v>
      </c>
      <c r="E56" s="324"/>
      <c r="F56" s="395"/>
      <c r="G56" s="1202">
        <f>E173+E180+E187+E194+E201+E208</f>
        <v>0</v>
      </c>
      <c r="H56" s="324"/>
      <c r="I56" s="612">
        <f t="shared" si="4"/>
        <v>0</v>
      </c>
      <c r="J56" s="220">
        <f t="shared" si="4"/>
        <v>0</v>
      </c>
      <c r="K56" s="220">
        <f t="shared" si="4"/>
        <v>0</v>
      </c>
      <c r="L56" s="220">
        <f t="shared" si="4"/>
        <v>0</v>
      </c>
      <c r="M56" s="220">
        <f t="shared" si="4"/>
        <v>0</v>
      </c>
      <c r="O56" s="220">
        <f>O173+O180+O187+O194+O201+O208</f>
        <v>0</v>
      </c>
      <c r="Q56" s="220">
        <f>Q173+Q180+Q187+Q194+Q201+Q208</f>
        <v>0</v>
      </c>
      <c r="S56" s="220">
        <f>S173+S180+S187+S194+S201+S208</f>
        <v>0</v>
      </c>
      <c r="U56" s="220">
        <f>U173+U180+U187+U194+U201+U208</f>
        <v>0</v>
      </c>
      <c r="W56" s="220">
        <f>W173+W180+W187+W194+W201+W208</f>
        <v>0</v>
      </c>
      <c r="Y56" s="222">
        <f>Y173+Y180+Y187+Y194+Y201+Y208</f>
        <v>0</v>
      </c>
    </row>
    <row r="57" spans="1:55" ht="21.95" hidden="1" customHeight="1" x14ac:dyDescent="0.2">
      <c r="B57" s="245" t="s">
        <v>739</v>
      </c>
      <c r="C57" s="218">
        <v>366</v>
      </c>
      <c r="D57" s="217" t="s">
        <v>248</v>
      </c>
      <c r="E57" s="324"/>
      <c r="F57" s="395"/>
      <c r="G57" s="1202">
        <f>E174+E181+E188+E195+E202+E209</f>
        <v>0</v>
      </c>
      <c r="H57" s="324"/>
      <c r="I57" s="612">
        <f t="shared" si="4"/>
        <v>0</v>
      </c>
      <c r="J57" s="220">
        <f t="shared" si="4"/>
        <v>0</v>
      </c>
      <c r="K57" s="220">
        <f t="shared" si="4"/>
        <v>0</v>
      </c>
      <c r="L57" s="220">
        <f t="shared" si="4"/>
        <v>0</v>
      </c>
      <c r="M57" s="220">
        <f t="shared" si="4"/>
        <v>0</v>
      </c>
      <c r="O57" s="220">
        <f>O174+O181+O188+O195+O202+O209</f>
        <v>0</v>
      </c>
      <c r="Q57" s="220">
        <f>Q174+Q181+Q188+Q195+Q202+Q209</f>
        <v>0</v>
      </c>
      <c r="S57" s="220">
        <f>S174+S181+S188+S195+S202+S209</f>
        <v>0</v>
      </c>
      <c r="U57" s="220">
        <f>U174+U181+U188+U195+U202+U209</f>
        <v>0</v>
      </c>
      <c r="W57" s="220">
        <f>W174+W181+W188+W195+W202+W209</f>
        <v>0</v>
      </c>
      <c r="Y57" s="222">
        <f>Y174+Y181+Y188+Y195+Y202+Y209</f>
        <v>0</v>
      </c>
    </row>
    <row r="58" spans="1:55" ht="30" hidden="1" customHeight="1" x14ac:dyDescent="0.2">
      <c r="B58" s="336" t="s">
        <v>740</v>
      </c>
      <c r="C58" s="218">
        <v>368</v>
      </c>
      <c r="D58" s="217" t="s">
        <v>248</v>
      </c>
      <c r="E58" s="324"/>
      <c r="F58" s="395"/>
      <c r="G58" s="1203">
        <f>SUM(G55:G57)</f>
        <v>0</v>
      </c>
      <c r="H58" s="324"/>
      <c r="I58" s="612">
        <f>SUM(I55:I57)</f>
        <v>0</v>
      </c>
      <c r="J58" s="220">
        <f>SUM(J55:J57)</f>
        <v>0</v>
      </c>
      <c r="K58" s="220">
        <f>SUM(K55:K57)</f>
        <v>0</v>
      </c>
      <c r="L58" s="220">
        <f>SUM(L55:L57)</f>
        <v>0</v>
      </c>
      <c r="M58" s="220">
        <f>SUM(M55:M57)</f>
        <v>0</v>
      </c>
      <c r="O58" s="220">
        <f>SUM(O55:O57)</f>
        <v>0</v>
      </c>
      <c r="Q58" s="220">
        <f>SUM(Q55:Q57)</f>
        <v>0</v>
      </c>
      <c r="S58" s="220">
        <f>SUM(S55:S57)</f>
        <v>0</v>
      </c>
      <c r="U58" s="220">
        <f>SUM(U55:U57)</f>
        <v>0</v>
      </c>
      <c r="W58" s="220">
        <f>SUM(W55:W57)</f>
        <v>0</v>
      </c>
      <c r="Y58" s="222">
        <f>SUM(Y55:Y57)</f>
        <v>0</v>
      </c>
    </row>
    <row r="59" spans="1:55" ht="27" hidden="1" customHeight="1" x14ac:dyDescent="0.2">
      <c r="B59" s="245" t="s">
        <v>741</v>
      </c>
      <c r="C59" s="218">
        <v>370</v>
      </c>
      <c r="D59" s="217" t="s">
        <v>251</v>
      </c>
      <c r="E59" s="324"/>
      <c r="F59" s="395"/>
      <c r="G59" s="1202">
        <f>H62</f>
        <v>0</v>
      </c>
      <c r="H59" s="324"/>
      <c r="I59" s="627"/>
      <c r="J59" s="324"/>
      <c r="K59" s="324"/>
      <c r="L59" s="324"/>
      <c r="M59" s="324"/>
      <c r="O59" s="324"/>
      <c r="Q59" s="324"/>
      <c r="S59" s="324"/>
      <c r="U59" s="324"/>
      <c r="W59" s="324"/>
      <c r="Y59" s="331"/>
    </row>
    <row r="60" spans="1:55" ht="27" hidden="1" customHeight="1" x14ac:dyDescent="0.2">
      <c r="B60" s="244" t="s">
        <v>742</v>
      </c>
      <c r="C60" s="218">
        <v>372</v>
      </c>
      <c r="D60" s="217" t="s">
        <v>251</v>
      </c>
      <c r="E60" s="324"/>
      <c r="F60" s="395"/>
      <c r="G60" s="1202">
        <f>E175+E182+E189+E196+E203+E210</f>
        <v>0</v>
      </c>
      <c r="H60" s="324"/>
      <c r="I60" s="627"/>
      <c r="J60" s="324"/>
      <c r="K60" s="324"/>
      <c r="L60" s="324"/>
      <c r="M60" s="324"/>
      <c r="O60" s="324"/>
      <c r="Q60" s="324"/>
      <c r="S60" s="324"/>
      <c r="U60" s="324"/>
      <c r="W60" s="324"/>
      <c r="Y60" s="395"/>
    </row>
    <row r="61" spans="1:55" hidden="1" x14ac:dyDescent="0.2">
      <c r="F61" s="379"/>
    </row>
    <row r="62" spans="1:55" ht="21.95" customHeight="1" thickBot="1" x14ac:dyDescent="0.25">
      <c r="B62" s="355" t="s">
        <v>743</v>
      </c>
      <c r="C62" s="251">
        <v>374</v>
      </c>
      <c r="D62" s="250" t="s">
        <v>248</v>
      </c>
      <c r="E62" s="628">
        <f>SUM(E10:E13)+SUM(E15:E34)+SUM(E36:E37)+SUM(E39:E51)+SUM(E58:E60)</f>
        <v>0</v>
      </c>
      <c r="F62" s="1214">
        <f>SUM(F10:F13)+SUM(F15:F34)+SUM(F36:F37)+SUM(F39:F51)+SUM(F58:F60)</f>
        <v>0</v>
      </c>
      <c r="G62" s="1206">
        <f t="shared" ref="G62:M62" si="5">SUM(G10:G13)+SUM(G15:G34)+SUM(G36:G37)+SUM(G39:G51)+SUM(G58:G60)</f>
        <v>0</v>
      </c>
      <c r="H62" s="628">
        <f t="shared" si="5"/>
        <v>0</v>
      </c>
      <c r="I62" s="629">
        <f t="shared" si="5"/>
        <v>0</v>
      </c>
      <c r="J62" s="628">
        <f t="shared" si="5"/>
        <v>0</v>
      </c>
      <c r="K62" s="628">
        <f t="shared" si="5"/>
        <v>0</v>
      </c>
      <c r="L62" s="628">
        <f t="shared" si="5"/>
        <v>0</v>
      </c>
      <c r="M62" s="628">
        <f t="shared" si="5"/>
        <v>0</v>
      </c>
      <c r="N62" s="97"/>
      <c r="O62" s="628">
        <f>SUM(O10:O13)+SUM(O15:O34)+SUM(O36:O37)+SUM(O39:O51)+SUM(O58:O60)</f>
        <v>0</v>
      </c>
      <c r="P62" s="97"/>
      <c r="Q62" s="628">
        <f>SUM(Q10:Q13)+SUM(Q15:Q34)+SUM(Q36:Q37)+SUM(Q39:Q51)+SUM(Q58:Q60)</f>
        <v>0</v>
      </c>
      <c r="R62" s="97"/>
      <c r="S62" s="628">
        <f>SUM(S10:S13)+SUM(S15:S34)+SUM(S36:S37)+SUM(S39:S51)+SUM(S58:S60)</f>
        <v>0</v>
      </c>
      <c r="T62" s="97"/>
      <c r="U62" s="628">
        <f>SUM(U10:U13)+SUM(U15:U34)+SUM(U36:U37)+SUM(U39:U51)+SUM(U58:U60)</f>
        <v>0</v>
      </c>
      <c r="V62" s="97"/>
      <c r="W62" s="628">
        <f>SUM(W10:W13)+SUM(W15:W34)+SUM(W36:W37)+SUM(W39:W51)+SUM(W58:W60)</f>
        <v>0</v>
      </c>
      <c r="X62" s="97"/>
      <c r="Y62" s="415">
        <f>SUM(Y10:Y13)+SUM(Y15:Y34)+SUM(Y36:Y37)+SUM(Y39:Y51)+SUM(Y58:Y60)</f>
        <v>0</v>
      </c>
    </row>
    <row r="63" spans="1:55" ht="30" hidden="1" customHeight="1" x14ac:dyDescent="0.2">
      <c r="B63" s="336" t="s">
        <v>744</v>
      </c>
      <c r="C63" s="218">
        <v>376</v>
      </c>
      <c r="D63" s="217" t="s">
        <v>248</v>
      </c>
      <c r="E63" s="324"/>
      <c r="F63" s="395"/>
      <c r="G63" s="1207">
        <f>H63</f>
        <v>0</v>
      </c>
      <c r="H63" s="462">
        <f>'1415TRU09_EMP_P13'!N18</f>
        <v>0</v>
      </c>
      <c r="I63" s="632"/>
      <c r="J63" s="258"/>
      <c r="K63" s="258"/>
      <c r="L63" s="258"/>
      <c r="M63" s="258"/>
      <c r="O63" s="258"/>
      <c r="Q63" s="258"/>
      <c r="S63" s="258"/>
      <c r="U63" s="258"/>
      <c r="W63" s="258"/>
      <c r="Y63" s="331"/>
    </row>
    <row r="64" spans="1:55" ht="30" hidden="1" customHeight="1" thickBot="1" x14ac:dyDescent="0.25">
      <c r="B64" s="336" t="s">
        <v>745</v>
      </c>
      <c r="C64" s="234">
        <v>378</v>
      </c>
      <c r="D64" s="237" t="s">
        <v>248</v>
      </c>
      <c r="E64" s="258"/>
      <c r="F64" s="395"/>
      <c r="G64" s="1207">
        <f>G62+G63</f>
        <v>0</v>
      </c>
      <c r="H64" s="240">
        <f>SUM(H62:H63)</f>
        <v>0</v>
      </c>
      <c r="I64" s="633"/>
      <c r="J64" s="340"/>
      <c r="K64" s="340"/>
      <c r="L64" s="340"/>
      <c r="M64" s="340"/>
      <c r="O64" s="340"/>
      <c r="Q64" s="340"/>
      <c r="S64" s="340"/>
      <c r="U64" s="340"/>
      <c r="W64" s="340"/>
      <c r="Y64" s="372"/>
    </row>
    <row r="65" spans="2:26" ht="27" customHeight="1" thickTop="1" thickBot="1" x14ac:dyDescent="0.25">
      <c r="B65" s="732" t="s">
        <v>746</v>
      </c>
      <c r="C65" s="236">
        <v>380</v>
      </c>
      <c r="D65" s="235" t="s">
        <v>248</v>
      </c>
      <c r="E65" s="396"/>
      <c r="F65" s="298"/>
      <c r="G65" s="373"/>
    </row>
    <row r="66" spans="2:26" ht="14.25" hidden="1" thickTop="1" thickBot="1" x14ac:dyDescent="0.25">
      <c r="E66" s="603" t="s">
        <v>677</v>
      </c>
      <c r="F66" s="1215"/>
      <c r="G66" s="604" t="s">
        <v>678</v>
      </c>
      <c r="H66" s="604"/>
      <c r="I66" s="603" t="s">
        <v>747</v>
      </c>
      <c r="J66" s="634"/>
      <c r="K66" s="635"/>
      <c r="L66" s="634"/>
      <c r="M66" s="635"/>
      <c r="N66" s="108"/>
      <c r="O66" s="635"/>
      <c r="P66" s="108"/>
      <c r="Q66" s="635"/>
      <c r="R66" s="108"/>
      <c r="S66" s="635"/>
      <c r="T66" s="108"/>
      <c r="U66" s="635"/>
      <c r="V66" s="108"/>
      <c r="W66" s="635"/>
      <c r="X66" s="108"/>
      <c r="Y66" s="639"/>
    </row>
    <row r="67" spans="2:26" ht="52.5" thickTop="1" thickBot="1" x14ac:dyDescent="0.25">
      <c r="B67" s="242" t="s">
        <v>748</v>
      </c>
      <c r="C67" s="345"/>
      <c r="D67" s="345"/>
      <c r="E67" s="636" t="s">
        <v>685</v>
      </c>
      <c r="F67" s="1216" t="s">
        <v>240</v>
      </c>
      <c r="G67" s="638" t="s">
        <v>686</v>
      </c>
      <c r="H67" s="638" t="s">
        <v>687</v>
      </c>
      <c r="I67" s="637" t="s">
        <v>587</v>
      </c>
      <c r="J67" s="636" t="s">
        <v>688</v>
      </c>
      <c r="K67" s="636" t="s">
        <v>589</v>
      </c>
      <c r="L67" s="636" t="s">
        <v>590</v>
      </c>
      <c r="M67" s="636" t="s">
        <v>591</v>
      </c>
      <c r="N67" s="97"/>
      <c r="O67" s="636" t="s">
        <v>593</v>
      </c>
      <c r="P67" s="97"/>
      <c r="Q67" s="636" t="s">
        <v>595</v>
      </c>
      <c r="R67" s="97"/>
      <c r="S67" s="636" t="s">
        <v>597</v>
      </c>
      <c r="T67" s="97"/>
      <c r="U67" s="636" t="s">
        <v>599</v>
      </c>
      <c r="V67" s="97"/>
      <c r="W67" s="636" t="s">
        <v>601</v>
      </c>
      <c r="X67" s="97"/>
      <c r="Y67" s="293" t="s">
        <v>603</v>
      </c>
      <c r="Z67" s="100"/>
    </row>
    <row r="68" spans="2:26" ht="27" customHeight="1" x14ac:dyDescent="0.2">
      <c r="B68" s="243" t="s">
        <v>749</v>
      </c>
      <c r="C68" s="207">
        <v>400</v>
      </c>
      <c r="D68" s="206" t="s">
        <v>248</v>
      </c>
      <c r="E68" s="356"/>
      <c r="F68" s="1217"/>
      <c r="G68" s="1208"/>
      <c r="H68" s="593"/>
      <c r="I68" s="640"/>
      <c r="J68" s="356"/>
      <c r="K68" s="356"/>
      <c r="L68" s="356"/>
      <c r="M68" s="356"/>
      <c r="O68" s="356"/>
      <c r="Q68" s="356"/>
      <c r="S68" s="356"/>
      <c r="U68" s="356"/>
      <c r="W68" s="356"/>
      <c r="Y68" s="295"/>
    </row>
    <row r="69" spans="2:26" ht="21.95" customHeight="1" x14ac:dyDescent="0.2">
      <c r="B69" s="213" t="s">
        <v>750</v>
      </c>
      <c r="C69" s="218">
        <v>410</v>
      </c>
      <c r="D69" s="217" t="s">
        <v>248</v>
      </c>
      <c r="E69" s="228"/>
      <c r="F69" s="1218"/>
      <c r="G69" s="1209"/>
      <c r="H69" s="334"/>
      <c r="I69" s="618"/>
      <c r="J69" s="228"/>
      <c r="K69" s="228"/>
      <c r="L69" s="228"/>
      <c r="M69" s="228"/>
      <c r="O69" s="228"/>
      <c r="Q69" s="228"/>
      <c r="S69" s="228"/>
      <c r="U69" s="228"/>
      <c r="W69" s="228"/>
      <c r="Y69" s="297"/>
    </row>
    <row r="70" spans="2:26" ht="21.95" customHeight="1" x14ac:dyDescent="0.2">
      <c r="B70" s="226" t="s">
        <v>751</v>
      </c>
      <c r="C70" s="234">
        <v>420</v>
      </c>
      <c r="D70" s="237" t="s">
        <v>248</v>
      </c>
      <c r="E70" s="239">
        <f>SUM(E68:E69)</f>
        <v>0</v>
      </c>
      <c r="F70" s="227">
        <f>SUM(F68:F69)</f>
        <v>0</v>
      </c>
      <c r="G70" s="1210">
        <f>('1415TRU09_EMP_P13'!E23-'1415TRU09_EMP_P13'!N18)</f>
        <v>0</v>
      </c>
      <c r="H70" s="641"/>
      <c r="I70" s="630">
        <f>SUM(I68:I69)</f>
        <v>0</v>
      </c>
      <c r="J70" s="239">
        <f>SUM(J68:J69)</f>
        <v>0</v>
      </c>
      <c r="K70" s="239">
        <f>SUM(K68:K69)</f>
        <v>0</v>
      </c>
      <c r="L70" s="239">
        <f>SUM(L68:L69)</f>
        <v>0</v>
      </c>
      <c r="M70" s="239">
        <f>SUM(M68:M69)</f>
        <v>0</v>
      </c>
      <c r="N70" s="97"/>
      <c r="O70" s="239">
        <f>SUM(O68:O69)</f>
        <v>0</v>
      </c>
      <c r="P70" s="97"/>
      <c r="Q70" s="239">
        <f>SUM(Q68:Q69)</f>
        <v>0</v>
      </c>
      <c r="R70" s="97"/>
      <c r="S70" s="239">
        <f>SUM(S68:S69)</f>
        <v>0</v>
      </c>
      <c r="T70" s="97"/>
      <c r="U70" s="239">
        <f>SUM(U68:U69)</f>
        <v>0</v>
      </c>
      <c r="V70" s="97"/>
      <c r="W70" s="239">
        <f>SUM(W68:W69)</f>
        <v>0</v>
      </c>
      <c r="X70" s="97"/>
      <c r="Y70" s="227">
        <f>SUM(Y68:Y69)</f>
        <v>0</v>
      </c>
    </row>
    <row r="71" spans="2:26" ht="21.95" customHeight="1" thickBot="1" x14ac:dyDescent="0.25">
      <c r="B71" s="233" t="s">
        <v>752</v>
      </c>
      <c r="C71" s="236">
        <v>430</v>
      </c>
      <c r="D71" s="235" t="s">
        <v>248</v>
      </c>
      <c r="E71" s="240">
        <f>E62+E70</f>
        <v>0</v>
      </c>
      <c r="F71" s="241">
        <f>F62+F70</f>
        <v>0</v>
      </c>
      <c r="G71" s="1211">
        <f>G64+G70</f>
        <v>0</v>
      </c>
      <c r="H71" s="642"/>
      <c r="I71" s="631">
        <f>I62+I70</f>
        <v>0</v>
      </c>
      <c r="J71" s="240">
        <f>J62+J70</f>
        <v>0</v>
      </c>
      <c r="K71" s="240">
        <f>K62+K70</f>
        <v>0</v>
      </c>
      <c r="L71" s="240">
        <f>L62+L70</f>
        <v>0</v>
      </c>
      <c r="M71" s="240">
        <f>M62+M70</f>
        <v>0</v>
      </c>
      <c r="N71" s="97"/>
      <c r="O71" s="240">
        <f>O62+O70</f>
        <v>0</v>
      </c>
      <c r="P71" s="97"/>
      <c r="Q71" s="240">
        <f>Q62+Q70</f>
        <v>0</v>
      </c>
      <c r="R71" s="97"/>
      <c r="S71" s="240">
        <f>S62+S70</f>
        <v>0</v>
      </c>
      <c r="T71" s="97"/>
      <c r="U71" s="240">
        <f>U62+U70</f>
        <v>0</v>
      </c>
      <c r="V71" s="97"/>
      <c r="W71" s="240">
        <f>W62+W70</f>
        <v>0</v>
      </c>
      <c r="X71" s="97"/>
      <c r="Y71" s="241">
        <f>Y62+Y70</f>
        <v>0</v>
      </c>
    </row>
    <row r="72" spans="2:26" ht="13.5" thickTop="1" x14ac:dyDescent="0.2"/>
    <row r="73" spans="2:26" ht="21.95" hidden="1" customHeight="1" thickTop="1" x14ac:dyDescent="0.2">
      <c r="B73" s="581" t="s">
        <v>113</v>
      </c>
      <c r="C73" s="583"/>
      <c r="D73" s="583"/>
      <c r="E73" s="585"/>
      <c r="F73" s="585"/>
      <c r="G73" s="644"/>
      <c r="H73" s="645"/>
      <c r="I73" s="665">
        <f>'1415TRU11_IGF_P13'!O69</f>
        <v>0</v>
      </c>
      <c r="J73" s="597">
        <f>'1415TRU11_IGF_P13'!P69</f>
        <v>0</v>
      </c>
      <c r="K73" s="597">
        <f>'1415TRU11_IGF_P13'!Q69</f>
        <v>0</v>
      </c>
      <c r="L73" s="597">
        <f>'1415TRU11_IGF_P13'!R69</f>
        <v>0</v>
      </c>
      <c r="M73" s="597">
        <f>'1415TRU11_IGF_P13'!S69</f>
        <v>0</v>
      </c>
      <c r="O73" s="597">
        <f>'1415TRU11_IGF_P13'!U69</f>
        <v>0</v>
      </c>
      <c r="Q73" s="597">
        <f>'1415TRU11_IGF_P13'!W69</f>
        <v>0</v>
      </c>
      <c r="S73" s="597">
        <f>'1415TRU11_IGF_P13'!Y69</f>
        <v>0</v>
      </c>
      <c r="U73" s="597">
        <f>'1415TRU11_IGF_P13'!AA69</f>
        <v>0</v>
      </c>
      <c r="W73" s="597">
        <f>'1415TRU11_IGF_P13'!AC69</f>
        <v>0</v>
      </c>
      <c r="Y73" s="666">
        <f>'1415TRU11_IGF_P13'!AE69</f>
        <v>0</v>
      </c>
    </row>
    <row r="74" spans="2:26" hidden="1" x14ac:dyDescent="0.2">
      <c r="B74" s="522"/>
      <c r="C74" s="216"/>
      <c r="D74" s="216"/>
      <c r="E74" s="324"/>
      <c r="F74" s="324"/>
      <c r="G74" s="646"/>
      <c r="H74" s="393"/>
      <c r="I74" s="627"/>
      <c r="J74" s="324"/>
      <c r="K74" s="324"/>
      <c r="L74" s="324"/>
      <c r="M74" s="324"/>
      <c r="O74" s="324"/>
      <c r="Q74" s="324"/>
      <c r="S74" s="324"/>
      <c r="U74" s="324"/>
      <c r="W74" s="324"/>
      <c r="Y74" s="589"/>
    </row>
    <row r="75" spans="2:26" ht="21.95" hidden="1" customHeight="1" x14ac:dyDescent="0.2">
      <c r="B75" s="522" t="s">
        <v>340</v>
      </c>
      <c r="C75" s="216"/>
      <c r="D75" s="216"/>
      <c r="E75" s="324"/>
      <c r="F75" s="324"/>
      <c r="G75" s="646"/>
      <c r="H75" s="393"/>
      <c r="I75" s="612">
        <f>I71+I73</f>
        <v>0</v>
      </c>
      <c r="J75" s="220">
        <f>J71+J73</f>
        <v>0</v>
      </c>
      <c r="K75" s="220">
        <f>K71+K73</f>
        <v>0</v>
      </c>
      <c r="L75" s="220">
        <f>L71+L73</f>
        <v>0</v>
      </c>
      <c r="M75" s="220">
        <f>M71+M73</f>
        <v>0</v>
      </c>
      <c r="O75" s="220">
        <f>O71+O73</f>
        <v>0</v>
      </c>
      <c r="Q75" s="220">
        <f>Q71+Q73</f>
        <v>0</v>
      </c>
      <c r="S75" s="220">
        <f>S71+S73</f>
        <v>0</v>
      </c>
      <c r="U75" s="220">
        <f>U71+U73</f>
        <v>0</v>
      </c>
      <c r="W75" s="220">
        <f>W71+W73</f>
        <v>0</v>
      </c>
      <c r="Y75" s="556">
        <f>Y71+Y73</f>
        <v>0</v>
      </c>
    </row>
    <row r="76" spans="2:26" hidden="1" x14ac:dyDescent="0.2">
      <c r="B76" s="522"/>
      <c r="C76" s="216"/>
      <c r="D76" s="216"/>
      <c r="E76" s="324"/>
      <c r="F76" s="324"/>
      <c r="G76" s="646"/>
      <c r="H76" s="393"/>
      <c r="I76" s="627"/>
      <c r="J76" s="324"/>
      <c r="K76" s="324"/>
      <c r="L76" s="324"/>
      <c r="M76" s="324"/>
      <c r="O76" s="324"/>
      <c r="Q76" s="324"/>
      <c r="S76" s="324"/>
      <c r="U76" s="324"/>
      <c r="W76" s="324"/>
      <c r="Y76" s="589"/>
    </row>
    <row r="77" spans="2:26" ht="21.95" hidden="1" customHeight="1" x14ac:dyDescent="0.2">
      <c r="B77" s="522" t="s">
        <v>649</v>
      </c>
      <c r="C77" s="216"/>
      <c r="D77" s="216"/>
      <c r="E77" s="324"/>
      <c r="F77" s="324"/>
      <c r="G77" s="646"/>
      <c r="H77" s="647"/>
      <c r="I77" s="662" t="e">
        <f>#REF!</f>
        <v>#REF!</v>
      </c>
      <c r="J77" s="300" t="e">
        <f>(#REF!+#REF!)</f>
        <v>#REF!</v>
      </c>
      <c r="K77" s="300" t="e">
        <f>#REF!</f>
        <v>#REF!</v>
      </c>
      <c r="L77" s="300" t="e">
        <f>#REF!</f>
        <v>#REF!</v>
      </c>
      <c r="M77" s="300" t="e">
        <f>(#REF!+#REF!+#REF!)</f>
        <v>#REF!</v>
      </c>
      <c r="O77" s="300" t="e">
        <f>#REF!</f>
        <v>#REF!</v>
      </c>
      <c r="Q77" s="300" t="e">
        <f>#REF!</f>
        <v>#REF!</v>
      </c>
      <c r="S77" s="300" t="e">
        <f>#REF!</f>
        <v>#REF!</v>
      </c>
      <c r="U77" s="300" t="e">
        <f>#REF!</f>
        <v>#REF!</v>
      </c>
      <c r="W77" s="300" t="e">
        <f>#REF!</f>
        <v>#REF!</v>
      </c>
      <c r="Y77" s="572" t="e">
        <f>#REF!</f>
        <v>#REF!</v>
      </c>
    </row>
    <row r="78" spans="2:26" hidden="1" x14ac:dyDescent="0.2">
      <c r="B78" s="522"/>
      <c r="C78" s="216"/>
      <c r="D78" s="216"/>
      <c r="E78" s="324"/>
      <c r="F78" s="324"/>
      <c r="G78" s="646"/>
      <c r="H78" s="393"/>
      <c r="I78" s="627"/>
      <c r="J78" s="324"/>
      <c r="K78" s="324"/>
      <c r="L78" s="324"/>
      <c r="M78" s="324"/>
      <c r="O78" s="324"/>
      <c r="Q78" s="324"/>
      <c r="S78" s="324"/>
      <c r="U78" s="324"/>
      <c r="W78" s="324"/>
      <c r="Y78" s="589"/>
    </row>
    <row r="79" spans="2:26" ht="21.95" hidden="1" customHeight="1" thickBot="1" x14ac:dyDescent="0.25">
      <c r="B79" s="285" t="s">
        <v>650</v>
      </c>
      <c r="C79" s="287"/>
      <c r="D79" s="287"/>
      <c r="E79" s="648"/>
      <c r="F79" s="649"/>
      <c r="G79" s="650"/>
      <c r="H79" s="649"/>
      <c r="I79" s="651" t="e">
        <f>I75-I77</f>
        <v>#REF!</v>
      </c>
      <c r="J79" s="591" t="e">
        <f>J75-J77</f>
        <v>#REF!</v>
      </c>
      <c r="K79" s="591" t="e">
        <f>K75-K77</f>
        <v>#REF!</v>
      </c>
      <c r="L79" s="591" t="e">
        <f>L75-L77</f>
        <v>#REF!</v>
      </c>
      <c r="M79" s="591" t="e">
        <f>M75-M77</f>
        <v>#REF!</v>
      </c>
      <c r="O79" s="591" t="e">
        <f>O75-O77</f>
        <v>#REF!</v>
      </c>
      <c r="Q79" s="591" t="e">
        <f>Q75-Q77</f>
        <v>#REF!</v>
      </c>
      <c r="S79" s="591" t="e">
        <f>S75-S77</f>
        <v>#REF!</v>
      </c>
      <c r="U79" s="591" t="e">
        <f>U75-U77</f>
        <v>#REF!</v>
      </c>
      <c r="W79" s="591" t="e">
        <f>W75-W77</f>
        <v>#REF!</v>
      </c>
      <c r="Y79" s="596" t="e">
        <f>Y75-Y77</f>
        <v>#REF!</v>
      </c>
    </row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2:54" hidden="1" x14ac:dyDescent="0.2"/>
    <row r="162" spans="2:54" hidden="1" x14ac:dyDescent="0.2"/>
    <row r="163" spans="2:54" hidden="1" x14ac:dyDescent="0.2"/>
    <row r="164" spans="2:54" hidden="1" x14ac:dyDescent="0.2"/>
    <row r="167" spans="2:54" ht="13.5" hidden="1" thickBot="1" x14ac:dyDescent="0.25"/>
    <row r="168" spans="2:54" ht="13.5" hidden="1" thickTop="1" x14ac:dyDescent="0.2">
      <c r="B168" s="261"/>
      <c r="C168" s="262"/>
      <c r="D168" s="195" t="s">
        <v>25</v>
      </c>
      <c r="E168" s="197" t="s">
        <v>235</v>
      </c>
      <c r="F168" s="172"/>
      <c r="G168" s="172"/>
      <c r="H168" s="172"/>
      <c r="I168" s="652" t="s">
        <v>295</v>
      </c>
      <c r="J168" s="195" t="s">
        <v>296</v>
      </c>
      <c r="K168" s="195" t="s">
        <v>342</v>
      </c>
      <c r="L168" s="195" t="s">
        <v>297</v>
      </c>
      <c r="M168" s="195" t="s">
        <v>298</v>
      </c>
      <c r="N168" s="97"/>
      <c r="O168" s="195" t="s">
        <v>360</v>
      </c>
      <c r="P168" s="97"/>
      <c r="Q168" s="195" t="s">
        <v>362</v>
      </c>
      <c r="R168" s="97"/>
      <c r="S168" s="195" t="s">
        <v>577</v>
      </c>
      <c r="T168" s="97"/>
      <c r="U168" s="195" t="s">
        <v>579</v>
      </c>
      <c r="V168" s="97"/>
      <c r="W168" s="195" t="s">
        <v>581</v>
      </c>
      <c r="X168" s="97"/>
      <c r="Y168" s="197" t="s">
        <v>583</v>
      </c>
      <c r="BA168" s="97"/>
      <c r="BB168" s="97"/>
    </row>
    <row r="169" spans="2:54" ht="51" hidden="1" x14ac:dyDescent="0.2">
      <c r="B169" s="264" t="s">
        <v>753</v>
      </c>
      <c r="C169" s="199" t="s">
        <v>238</v>
      </c>
      <c r="D169" s="200"/>
      <c r="E169" s="202" t="s">
        <v>685</v>
      </c>
      <c r="F169" s="469"/>
      <c r="G169" s="469"/>
      <c r="H169" s="469"/>
      <c r="I169" s="385" t="s">
        <v>587</v>
      </c>
      <c r="J169" s="201" t="s">
        <v>588</v>
      </c>
      <c r="K169" s="201" t="s">
        <v>589</v>
      </c>
      <c r="L169" s="201" t="s">
        <v>590</v>
      </c>
      <c r="M169" s="201" t="s">
        <v>591</v>
      </c>
      <c r="N169" s="97"/>
      <c r="O169" s="201" t="s">
        <v>593</v>
      </c>
      <c r="P169" s="97"/>
      <c r="Q169" s="201" t="s">
        <v>595</v>
      </c>
      <c r="R169" s="97"/>
      <c r="S169" s="201" t="s">
        <v>597</v>
      </c>
      <c r="T169" s="97"/>
      <c r="U169" s="201" t="s">
        <v>599</v>
      </c>
      <c r="V169" s="97"/>
      <c r="W169" s="201" t="s">
        <v>601</v>
      </c>
      <c r="X169" s="97"/>
      <c r="Y169" s="202" t="s">
        <v>603</v>
      </c>
      <c r="BA169" s="97"/>
      <c r="BB169" s="97"/>
    </row>
    <row r="170" spans="2:54" ht="13.5" hidden="1" thickBot="1" x14ac:dyDescent="0.25">
      <c r="B170" s="264"/>
      <c r="C170" s="204" t="s">
        <v>242</v>
      </c>
      <c r="D170" s="205"/>
      <c r="E170" s="210" t="s">
        <v>243</v>
      </c>
      <c r="F170" s="172"/>
      <c r="G170" s="172"/>
      <c r="H170" s="172"/>
      <c r="I170" s="653" t="s">
        <v>243</v>
      </c>
      <c r="J170" s="204" t="s">
        <v>243</v>
      </c>
      <c r="K170" s="204" t="s">
        <v>243</v>
      </c>
      <c r="L170" s="204" t="s">
        <v>243</v>
      </c>
      <c r="M170" s="204" t="s">
        <v>243</v>
      </c>
      <c r="N170" s="97"/>
      <c r="O170" s="204" t="s">
        <v>243</v>
      </c>
      <c r="P170" s="97"/>
      <c r="Q170" s="204" t="s">
        <v>243</v>
      </c>
      <c r="R170" s="97"/>
      <c r="S170" s="204" t="s">
        <v>243</v>
      </c>
      <c r="T170" s="97"/>
      <c r="U170" s="204" t="s">
        <v>243</v>
      </c>
      <c r="V170" s="97"/>
      <c r="W170" s="204" t="s">
        <v>243</v>
      </c>
      <c r="X170" s="97"/>
      <c r="Y170" s="210" t="s">
        <v>243</v>
      </c>
      <c r="BA170" s="97"/>
      <c r="BB170" s="97"/>
    </row>
    <row r="171" spans="2:54" ht="21.95" hidden="1" customHeight="1" x14ac:dyDescent="0.2">
      <c r="B171" s="654" t="s">
        <v>754</v>
      </c>
      <c r="C171" s="207">
        <v>500</v>
      </c>
      <c r="D171" s="208" t="s">
        <v>248</v>
      </c>
      <c r="E171" s="295"/>
      <c r="I171" s="656"/>
      <c r="J171" s="356"/>
      <c r="K171" s="356"/>
      <c r="L171" s="356"/>
      <c r="M171" s="356"/>
      <c r="O171" s="356"/>
      <c r="Q171" s="356"/>
      <c r="S171" s="356"/>
      <c r="U171" s="356"/>
      <c r="W171" s="356"/>
      <c r="Y171" s="295"/>
    </row>
    <row r="172" spans="2:54" ht="27" hidden="1" customHeight="1" x14ac:dyDescent="0.2">
      <c r="B172" s="266" t="s">
        <v>755</v>
      </c>
      <c r="C172" s="218">
        <v>510</v>
      </c>
      <c r="D172" s="219" t="s">
        <v>248</v>
      </c>
      <c r="E172" s="297"/>
      <c r="I172" s="392"/>
      <c r="J172" s="228"/>
      <c r="K172" s="228"/>
      <c r="L172" s="228"/>
      <c r="M172" s="228"/>
      <c r="O172" s="228"/>
      <c r="Q172" s="228"/>
      <c r="S172" s="228"/>
      <c r="U172" s="228"/>
      <c r="W172" s="228"/>
      <c r="Y172" s="297"/>
    </row>
    <row r="173" spans="2:54" ht="27" hidden="1" customHeight="1" x14ac:dyDescent="0.2">
      <c r="B173" s="266" t="s">
        <v>756</v>
      </c>
      <c r="C173" s="218">
        <v>511</v>
      </c>
      <c r="D173" s="217" t="s">
        <v>248</v>
      </c>
      <c r="E173" s="297"/>
      <c r="I173" s="392"/>
      <c r="J173" s="228"/>
      <c r="K173" s="228"/>
      <c r="L173" s="228"/>
      <c r="M173" s="228"/>
      <c r="O173" s="228"/>
      <c r="Q173" s="228"/>
      <c r="S173" s="228"/>
      <c r="U173" s="228"/>
      <c r="W173" s="228"/>
      <c r="Y173" s="297"/>
    </row>
    <row r="174" spans="2:54" ht="27" hidden="1" customHeight="1" x14ac:dyDescent="0.2">
      <c r="B174" s="266" t="s">
        <v>757</v>
      </c>
      <c r="C174" s="218">
        <v>512</v>
      </c>
      <c r="D174" s="217" t="s">
        <v>248</v>
      </c>
      <c r="E174" s="297"/>
      <c r="I174" s="392"/>
      <c r="J174" s="228"/>
      <c r="K174" s="228"/>
      <c r="L174" s="228"/>
      <c r="M174" s="228"/>
      <c r="O174" s="228"/>
      <c r="Q174" s="228"/>
      <c r="S174" s="228"/>
      <c r="U174" s="228"/>
      <c r="W174" s="228"/>
      <c r="Y174" s="297"/>
    </row>
    <row r="175" spans="2:54" ht="21.95" hidden="1" customHeight="1" x14ac:dyDescent="0.2">
      <c r="B175" s="657" t="s">
        <v>758</v>
      </c>
      <c r="C175" s="218">
        <v>520</v>
      </c>
      <c r="D175" s="219" t="s">
        <v>248</v>
      </c>
      <c r="E175" s="297"/>
      <c r="I175" s="397"/>
      <c r="J175" s="324"/>
      <c r="K175" s="324"/>
      <c r="L175" s="324"/>
      <c r="M175" s="324"/>
      <c r="O175" s="324"/>
      <c r="Q175" s="324"/>
      <c r="S175" s="324"/>
      <c r="U175" s="324"/>
      <c r="W175" s="324"/>
      <c r="Y175" s="331"/>
    </row>
    <row r="176" spans="2:54" ht="21.95" hidden="1" customHeight="1" x14ac:dyDescent="0.2">
      <c r="B176" s="657" t="s">
        <v>759</v>
      </c>
      <c r="C176" s="218">
        <v>530</v>
      </c>
      <c r="D176" s="219" t="s">
        <v>248</v>
      </c>
      <c r="E176" s="297"/>
      <c r="I176" s="397"/>
      <c r="J176" s="324"/>
      <c r="K176" s="324"/>
      <c r="L176" s="324"/>
      <c r="M176" s="324"/>
      <c r="O176" s="324"/>
      <c r="Q176" s="324"/>
      <c r="S176" s="324"/>
      <c r="U176" s="324"/>
      <c r="W176" s="324"/>
      <c r="Y176" s="331"/>
    </row>
    <row r="177" spans="2:25" ht="30" hidden="1" customHeight="1" x14ac:dyDescent="0.2">
      <c r="B177" s="336" t="s">
        <v>760</v>
      </c>
      <c r="C177" s="218">
        <v>540</v>
      </c>
      <c r="D177" s="219" t="s">
        <v>248</v>
      </c>
      <c r="E177" s="222">
        <f>SUM(E171:E176)</f>
        <v>0</v>
      </c>
      <c r="I177" s="658">
        <f>SUM(I171:I176)</f>
        <v>0</v>
      </c>
      <c r="J177" s="220">
        <f>SUM(J171:J176)</f>
        <v>0</v>
      </c>
      <c r="K177" s="220">
        <f>SUM(K171:K176)</f>
        <v>0</v>
      </c>
      <c r="L177" s="220">
        <f>SUM(L171:L176)</f>
        <v>0</v>
      </c>
      <c r="M177" s="220">
        <f>SUM(M171:M176)</f>
        <v>0</v>
      </c>
      <c r="O177" s="220">
        <f>SUM(O171:O176)</f>
        <v>0</v>
      </c>
      <c r="Q177" s="220">
        <f>SUM(Q171:Q176)</f>
        <v>0</v>
      </c>
      <c r="S177" s="220">
        <f>SUM(S171:S176)</f>
        <v>0</v>
      </c>
      <c r="U177" s="220">
        <f>SUM(U171:U176)</f>
        <v>0</v>
      </c>
      <c r="W177" s="220">
        <f>SUM(W171:W176)</f>
        <v>0</v>
      </c>
      <c r="Y177" s="222">
        <f>SUM(Y171:Y176)</f>
        <v>0</v>
      </c>
    </row>
    <row r="178" spans="2:25" ht="21.95" hidden="1" customHeight="1" x14ac:dyDescent="0.2">
      <c r="B178" s="657" t="s">
        <v>761</v>
      </c>
      <c r="C178" s="218">
        <v>550</v>
      </c>
      <c r="D178" s="219" t="s">
        <v>248</v>
      </c>
      <c r="E178" s="297"/>
      <c r="I178" s="392"/>
      <c r="J178" s="228"/>
      <c r="K178" s="228"/>
      <c r="L178" s="228"/>
      <c r="M178" s="228"/>
      <c r="O178" s="228"/>
      <c r="Q178" s="228"/>
      <c r="S178" s="228"/>
      <c r="U178" s="228"/>
      <c r="W178" s="228"/>
      <c r="Y178" s="297"/>
    </row>
    <row r="179" spans="2:25" ht="27" hidden="1" customHeight="1" x14ac:dyDescent="0.2">
      <c r="B179" s="266" t="s">
        <v>762</v>
      </c>
      <c r="C179" s="218">
        <v>560</v>
      </c>
      <c r="D179" s="219" t="s">
        <v>248</v>
      </c>
      <c r="E179" s="297"/>
      <c r="I179" s="392"/>
      <c r="J179" s="228"/>
      <c r="K179" s="228"/>
      <c r="L179" s="228"/>
      <c r="M179" s="228"/>
      <c r="O179" s="228"/>
      <c r="Q179" s="228"/>
      <c r="S179" s="228"/>
      <c r="U179" s="228"/>
      <c r="W179" s="228"/>
      <c r="Y179" s="297"/>
    </row>
    <row r="180" spans="2:25" ht="27" hidden="1" customHeight="1" x14ac:dyDescent="0.2">
      <c r="B180" s="266" t="s">
        <v>763</v>
      </c>
      <c r="C180" s="218">
        <v>561</v>
      </c>
      <c r="D180" s="217" t="s">
        <v>248</v>
      </c>
      <c r="E180" s="297"/>
      <c r="I180" s="392"/>
      <c r="J180" s="228"/>
      <c r="K180" s="228"/>
      <c r="L180" s="228"/>
      <c r="M180" s="228"/>
      <c r="O180" s="228"/>
      <c r="Q180" s="228"/>
      <c r="S180" s="228"/>
      <c r="U180" s="228"/>
      <c r="W180" s="228"/>
      <c r="Y180" s="297"/>
    </row>
    <row r="181" spans="2:25" ht="27" hidden="1" customHeight="1" x14ac:dyDescent="0.2">
      <c r="B181" s="266" t="s">
        <v>764</v>
      </c>
      <c r="C181" s="218">
        <v>562</v>
      </c>
      <c r="D181" s="217" t="s">
        <v>248</v>
      </c>
      <c r="E181" s="297"/>
      <c r="I181" s="392"/>
      <c r="J181" s="228"/>
      <c r="K181" s="228"/>
      <c r="L181" s="228"/>
      <c r="M181" s="228"/>
      <c r="O181" s="228"/>
      <c r="Q181" s="228"/>
      <c r="S181" s="228"/>
      <c r="U181" s="228"/>
      <c r="W181" s="228"/>
      <c r="Y181" s="297"/>
    </row>
    <row r="182" spans="2:25" ht="21.95" hidden="1" customHeight="1" x14ac:dyDescent="0.2">
      <c r="B182" s="657" t="s">
        <v>765</v>
      </c>
      <c r="C182" s="218">
        <v>570</v>
      </c>
      <c r="D182" s="219" t="s">
        <v>248</v>
      </c>
      <c r="E182" s="297"/>
      <c r="I182" s="397"/>
      <c r="J182" s="324"/>
      <c r="K182" s="324"/>
      <c r="L182" s="324"/>
      <c r="M182" s="324"/>
      <c r="O182" s="324"/>
      <c r="Q182" s="324"/>
      <c r="S182" s="324"/>
      <c r="U182" s="324"/>
      <c r="W182" s="324"/>
      <c r="Y182" s="331"/>
    </row>
    <row r="183" spans="2:25" ht="21.95" hidden="1" customHeight="1" x14ac:dyDescent="0.2">
      <c r="B183" s="657" t="s">
        <v>766</v>
      </c>
      <c r="C183" s="218">
        <v>580</v>
      </c>
      <c r="D183" s="219" t="s">
        <v>248</v>
      </c>
      <c r="E183" s="297"/>
      <c r="I183" s="397"/>
      <c r="J183" s="324"/>
      <c r="K183" s="324"/>
      <c r="L183" s="324"/>
      <c r="M183" s="324"/>
      <c r="O183" s="324"/>
      <c r="Q183" s="324"/>
      <c r="S183" s="324"/>
      <c r="U183" s="324"/>
      <c r="W183" s="324"/>
      <c r="Y183" s="331"/>
    </row>
    <row r="184" spans="2:25" ht="30" hidden="1" customHeight="1" x14ac:dyDescent="0.2">
      <c r="B184" s="336" t="s">
        <v>767</v>
      </c>
      <c r="C184" s="218">
        <v>590</v>
      </c>
      <c r="D184" s="219" t="s">
        <v>248</v>
      </c>
      <c r="E184" s="222">
        <f>SUM(E178:E183)</f>
        <v>0</v>
      </c>
      <c r="I184" s="658">
        <f>SUM(I178:I183)</f>
        <v>0</v>
      </c>
      <c r="J184" s="220">
        <f>SUM(J178:J183)</f>
        <v>0</v>
      </c>
      <c r="K184" s="220">
        <f>SUM(K178:K183)</f>
        <v>0</v>
      </c>
      <c r="L184" s="220">
        <f>SUM(L178:L183)</f>
        <v>0</v>
      </c>
      <c r="M184" s="220">
        <f>SUM(M178:M183)</f>
        <v>0</v>
      </c>
      <c r="O184" s="220">
        <f>SUM(O178:O183)</f>
        <v>0</v>
      </c>
      <c r="Q184" s="220">
        <f>SUM(Q178:Q183)</f>
        <v>0</v>
      </c>
      <c r="S184" s="220">
        <f>SUM(S178:S183)</f>
        <v>0</v>
      </c>
      <c r="U184" s="220">
        <f>SUM(U178:U183)</f>
        <v>0</v>
      </c>
      <c r="W184" s="220">
        <f>SUM(W178:W183)</f>
        <v>0</v>
      </c>
      <c r="Y184" s="222">
        <f>SUM(Y178:Y183)</f>
        <v>0</v>
      </c>
    </row>
    <row r="185" spans="2:25" ht="21.95" hidden="1" customHeight="1" x14ac:dyDescent="0.2">
      <c r="B185" s="657" t="s">
        <v>768</v>
      </c>
      <c r="C185" s="218">
        <v>600</v>
      </c>
      <c r="D185" s="219" t="s">
        <v>248</v>
      </c>
      <c r="E185" s="297"/>
      <c r="I185" s="392"/>
      <c r="J185" s="228"/>
      <c r="K185" s="228"/>
      <c r="L185" s="228"/>
      <c r="M185" s="228"/>
      <c r="O185" s="228"/>
      <c r="Q185" s="228"/>
      <c r="S185" s="228"/>
      <c r="U185" s="228"/>
      <c r="W185" s="228"/>
      <c r="Y185" s="297"/>
    </row>
    <row r="186" spans="2:25" ht="21.95" hidden="1" customHeight="1" x14ac:dyDescent="0.2">
      <c r="B186" s="657" t="s">
        <v>769</v>
      </c>
      <c r="C186" s="218">
        <v>610</v>
      </c>
      <c r="D186" s="219" t="s">
        <v>248</v>
      </c>
      <c r="E186" s="297"/>
      <c r="I186" s="392"/>
      <c r="J186" s="228"/>
      <c r="K186" s="228"/>
      <c r="L186" s="228"/>
      <c r="M186" s="228"/>
      <c r="O186" s="228"/>
      <c r="Q186" s="228"/>
      <c r="S186" s="228"/>
      <c r="U186" s="228"/>
      <c r="W186" s="228"/>
      <c r="Y186" s="297"/>
    </row>
    <row r="187" spans="2:25" ht="21.95" hidden="1" customHeight="1" x14ac:dyDescent="0.2">
      <c r="B187" s="657" t="s">
        <v>770</v>
      </c>
      <c r="C187" s="218">
        <v>611</v>
      </c>
      <c r="D187" s="217" t="s">
        <v>248</v>
      </c>
      <c r="E187" s="297"/>
      <c r="I187" s="392"/>
      <c r="J187" s="228"/>
      <c r="K187" s="228"/>
      <c r="L187" s="228"/>
      <c r="M187" s="228"/>
      <c r="O187" s="228"/>
      <c r="Q187" s="228"/>
      <c r="S187" s="228"/>
      <c r="U187" s="228"/>
      <c r="W187" s="228"/>
      <c r="Y187" s="297"/>
    </row>
    <row r="188" spans="2:25" ht="21.95" hidden="1" customHeight="1" x14ac:dyDescent="0.2">
      <c r="B188" s="657" t="s">
        <v>771</v>
      </c>
      <c r="C188" s="218">
        <v>612</v>
      </c>
      <c r="D188" s="217" t="s">
        <v>248</v>
      </c>
      <c r="E188" s="297"/>
      <c r="I188" s="392"/>
      <c r="J188" s="228"/>
      <c r="K188" s="228"/>
      <c r="L188" s="228"/>
      <c r="M188" s="228"/>
      <c r="O188" s="228"/>
      <c r="Q188" s="228"/>
      <c r="S188" s="228"/>
      <c r="U188" s="228"/>
      <c r="W188" s="228"/>
      <c r="Y188" s="297"/>
    </row>
    <row r="189" spans="2:25" ht="21.95" hidden="1" customHeight="1" x14ac:dyDescent="0.2">
      <c r="B189" s="657" t="s">
        <v>772</v>
      </c>
      <c r="C189" s="218">
        <v>620</v>
      </c>
      <c r="D189" s="219" t="s">
        <v>248</v>
      </c>
      <c r="E189" s="297"/>
      <c r="I189" s="397"/>
      <c r="J189" s="324"/>
      <c r="K189" s="324"/>
      <c r="L189" s="324"/>
      <c r="M189" s="324"/>
      <c r="O189" s="324"/>
      <c r="Q189" s="324"/>
      <c r="S189" s="324"/>
      <c r="U189" s="324"/>
      <c r="W189" s="324"/>
      <c r="Y189" s="331"/>
    </row>
    <row r="190" spans="2:25" ht="21.95" hidden="1" customHeight="1" x14ac:dyDescent="0.2">
      <c r="B190" s="657" t="s">
        <v>773</v>
      </c>
      <c r="C190" s="218">
        <v>630</v>
      </c>
      <c r="D190" s="219" t="s">
        <v>248</v>
      </c>
      <c r="E190" s="297"/>
      <c r="I190" s="397"/>
      <c r="J190" s="324"/>
      <c r="K190" s="324"/>
      <c r="L190" s="324"/>
      <c r="M190" s="324"/>
      <c r="O190" s="324"/>
      <c r="Q190" s="324"/>
      <c r="S190" s="324"/>
      <c r="U190" s="324"/>
      <c r="W190" s="324"/>
      <c r="Y190" s="331"/>
    </row>
    <row r="191" spans="2:25" ht="21.95" hidden="1" customHeight="1" x14ac:dyDescent="0.2">
      <c r="B191" s="226" t="s">
        <v>774</v>
      </c>
      <c r="C191" s="218">
        <v>640</v>
      </c>
      <c r="D191" s="219" t="s">
        <v>248</v>
      </c>
      <c r="E191" s="222">
        <f>SUM(E185:E190)</f>
        <v>0</v>
      </c>
      <c r="I191" s="658">
        <f>SUM(I185:I190)</f>
        <v>0</v>
      </c>
      <c r="J191" s="220">
        <f>SUM(J185:J190)</f>
        <v>0</v>
      </c>
      <c r="K191" s="220">
        <f>SUM(K185:K190)</f>
        <v>0</v>
      </c>
      <c r="L191" s="220">
        <f>SUM(L185:L190)</f>
        <v>0</v>
      </c>
      <c r="M191" s="220">
        <f>SUM(M185:M190)</f>
        <v>0</v>
      </c>
      <c r="O191" s="220">
        <f>SUM(O185:O190)</f>
        <v>0</v>
      </c>
      <c r="Q191" s="220">
        <f>SUM(Q185:Q190)</f>
        <v>0</v>
      </c>
      <c r="S191" s="220">
        <f>SUM(S185:S190)</f>
        <v>0</v>
      </c>
      <c r="U191" s="220">
        <f>SUM(U185:U190)</f>
        <v>0</v>
      </c>
      <c r="W191" s="220">
        <f>SUM(W185:W190)</f>
        <v>0</v>
      </c>
      <c r="Y191" s="222">
        <f>SUM(Y185:Y190)</f>
        <v>0</v>
      </c>
    </row>
    <row r="192" spans="2:25" ht="21.95" hidden="1" customHeight="1" x14ac:dyDescent="0.2">
      <c r="B192" s="657" t="s">
        <v>775</v>
      </c>
      <c r="C192" s="218">
        <v>650</v>
      </c>
      <c r="D192" s="219" t="s">
        <v>248</v>
      </c>
      <c r="E192" s="297"/>
      <c r="I192" s="392"/>
      <c r="J192" s="228"/>
      <c r="K192" s="228"/>
      <c r="L192" s="228"/>
      <c r="M192" s="228"/>
      <c r="O192" s="228"/>
      <c r="Q192" s="228"/>
      <c r="S192" s="228"/>
      <c r="U192" s="228"/>
      <c r="W192" s="228"/>
      <c r="Y192" s="297"/>
    </row>
    <row r="193" spans="2:25" ht="21.95" hidden="1" customHeight="1" x14ac:dyDescent="0.2">
      <c r="B193" s="657" t="s">
        <v>776</v>
      </c>
      <c r="C193" s="218">
        <v>660</v>
      </c>
      <c r="D193" s="219" t="s">
        <v>248</v>
      </c>
      <c r="E193" s="297"/>
      <c r="I193" s="392"/>
      <c r="J193" s="228"/>
      <c r="K193" s="228"/>
      <c r="L193" s="228"/>
      <c r="M193" s="228"/>
      <c r="O193" s="228"/>
      <c r="Q193" s="228"/>
      <c r="S193" s="228"/>
      <c r="U193" s="228"/>
      <c r="W193" s="228"/>
      <c r="Y193" s="297"/>
    </row>
    <row r="194" spans="2:25" ht="21.95" hidden="1" customHeight="1" x14ac:dyDescent="0.2">
      <c r="B194" s="657" t="s">
        <v>777</v>
      </c>
      <c r="C194" s="218">
        <v>661</v>
      </c>
      <c r="D194" s="217" t="s">
        <v>248</v>
      </c>
      <c r="E194" s="297"/>
      <c r="I194" s="392"/>
      <c r="J194" s="228"/>
      <c r="K194" s="228"/>
      <c r="L194" s="228"/>
      <c r="M194" s="228"/>
      <c r="O194" s="228"/>
      <c r="Q194" s="228"/>
      <c r="S194" s="228"/>
      <c r="U194" s="228"/>
      <c r="W194" s="228"/>
      <c r="Y194" s="297"/>
    </row>
    <row r="195" spans="2:25" ht="21.95" hidden="1" customHeight="1" x14ac:dyDescent="0.2">
      <c r="B195" s="657" t="s">
        <v>778</v>
      </c>
      <c r="C195" s="218">
        <v>662</v>
      </c>
      <c r="D195" s="217" t="s">
        <v>248</v>
      </c>
      <c r="E195" s="297"/>
      <c r="I195" s="392"/>
      <c r="J195" s="228"/>
      <c r="K195" s="228"/>
      <c r="L195" s="228"/>
      <c r="M195" s="228"/>
      <c r="O195" s="228"/>
      <c r="Q195" s="228"/>
      <c r="S195" s="228"/>
      <c r="U195" s="228"/>
      <c r="W195" s="228"/>
      <c r="Y195" s="297"/>
    </row>
    <row r="196" spans="2:25" ht="21.95" hidden="1" customHeight="1" x14ac:dyDescent="0.2">
      <c r="B196" s="657" t="s">
        <v>779</v>
      </c>
      <c r="C196" s="218">
        <v>670</v>
      </c>
      <c r="D196" s="219" t="s">
        <v>248</v>
      </c>
      <c r="E196" s="297"/>
      <c r="I196" s="397"/>
      <c r="J196" s="324"/>
      <c r="K196" s="324"/>
      <c r="L196" s="324"/>
      <c r="M196" s="324"/>
      <c r="O196" s="324"/>
      <c r="Q196" s="324"/>
      <c r="S196" s="324"/>
      <c r="U196" s="324"/>
      <c r="W196" s="324"/>
      <c r="Y196" s="331"/>
    </row>
    <row r="197" spans="2:25" ht="21.95" hidden="1" customHeight="1" x14ac:dyDescent="0.2">
      <c r="B197" s="657" t="s">
        <v>780</v>
      </c>
      <c r="C197" s="218">
        <v>680</v>
      </c>
      <c r="D197" s="219" t="s">
        <v>248</v>
      </c>
      <c r="E197" s="297"/>
      <c r="I197" s="397"/>
      <c r="J197" s="324"/>
      <c r="K197" s="324"/>
      <c r="L197" s="324"/>
      <c r="M197" s="324"/>
      <c r="O197" s="324"/>
      <c r="Q197" s="324"/>
      <c r="S197" s="324"/>
      <c r="U197" s="324"/>
      <c r="W197" s="324"/>
      <c r="Y197" s="331"/>
    </row>
    <row r="198" spans="2:25" ht="21.95" hidden="1" customHeight="1" x14ac:dyDescent="0.2">
      <c r="B198" s="226" t="s">
        <v>781</v>
      </c>
      <c r="C198" s="218">
        <v>690</v>
      </c>
      <c r="D198" s="219" t="s">
        <v>248</v>
      </c>
      <c r="E198" s="222">
        <f>SUM(E192:E197)</f>
        <v>0</v>
      </c>
      <c r="I198" s="658">
        <f>SUM(I192:I197)</f>
        <v>0</v>
      </c>
      <c r="J198" s="220">
        <f>SUM(J192:J197)</f>
        <v>0</v>
      </c>
      <c r="K198" s="220">
        <f>SUM(K192:K197)</f>
        <v>0</v>
      </c>
      <c r="L198" s="220">
        <f>SUM(L192:L197)</f>
        <v>0</v>
      </c>
      <c r="M198" s="220">
        <f>SUM(M192:M197)</f>
        <v>0</v>
      </c>
      <c r="O198" s="220">
        <f>SUM(O192:O197)</f>
        <v>0</v>
      </c>
      <c r="Q198" s="220">
        <f>SUM(Q192:Q197)</f>
        <v>0</v>
      </c>
      <c r="S198" s="220">
        <f>SUM(S192:S197)</f>
        <v>0</v>
      </c>
      <c r="U198" s="220">
        <f>SUM(U192:U197)</f>
        <v>0</v>
      </c>
      <c r="W198" s="220">
        <f>SUM(W192:W197)</f>
        <v>0</v>
      </c>
      <c r="Y198" s="222">
        <f>SUM(Y192:Y197)</f>
        <v>0</v>
      </c>
    </row>
    <row r="199" spans="2:25" ht="21.95" hidden="1" customHeight="1" x14ac:dyDescent="0.2">
      <c r="B199" s="657" t="s">
        <v>782</v>
      </c>
      <c r="C199" s="218">
        <v>700</v>
      </c>
      <c r="D199" s="219" t="s">
        <v>248</v>
      </c>
      <c r="E199" s="297"/>
      <c r="I199" s="392"/>
      <c r="J199" s="228"/>
      <c r="K199" s="228"/>
      <c r="L199" s="228"/>
      <c r="M199" s="228"/>
      <c r="O199" s="228"/>
      <c r="Q199" s="228"/>
      <c r="S199" s="228"/>
      <c r="U199" s="228"/>
      <c r="W199" s="228"/>
      <c r="Y199" s="297"/>
    </row>
    <row r="200" spans="2:25" ht="21.95" hidden="1" customHeight="1" x14ac:dyDescent="0.2">
      <c r="B200" s="657" t="s">
        <v>783</v>
      </c>
      <c r="C200" s="218">
        <v>710</v>
      </c>
      <c r="D200" s="219" t="s">
        <v>248</v>
      </c>
      <c r="E200" s="297"/>
      <c r="I200" s="392"/>
      <c r="J200" s="228"/>
      <c r="K200" s="228"/>
      <c r="L200" s="228"/>
      <c r="M200" s="228"/>
      <c r="O200" s="228"/>
      <c r="Q200" s="228"/>
      <c r="S200" s="228"/>
      <c r="U200" s="228"/>
      <c r="W200" s="228"/>
      <c r="Y200" s="297"/>
    </row>
    <row r="201" spans="2:25" ht="21.95" hidden="1" customHeight="1" x14ac:dyDescent="0.2">
      <c r="B201" s="657" t="s">
        <v>784</v>
      </c>
      <c r="C201" s="218">
        <v>711</v>
      </c>
      <c r="D201" s="217" t="s">
        <v>248</v>
      </c>
      <c r="E201" s="297"/>
      <c r="I201" s="392"/>
      <c r="J201" s="228"/>
      <c r="K201" s="228"/>
      <c r="L201" s="228"/>
      <c r="M201" s="228"/>
      <c r="O201" s="228"/>
      <c r="Q201" s="228"/>
      <c r="S201" s="228"/>
      <c r="U201" s="228"/>
      <c r="W201" s="228"/>
      <c r="Y201" s="297"/>
    </row>
    <row r="202" spans="2:25" ht="21.95" hidden="1" customHeight="1" x14ac:dyDescent="0.2">
      <c r="B202" s="657" t="s">
        <v>785</v>
      </c>
      <c r="C202" s="218">
        <v>712</v>
      </c>
      <c r="D202" s="217" t="s">
        <v>248</v>
      </c>
      <c r="E202" s="297"/>
      <c r="I202" s="392"/>
      <c r="J202" s="228"/>
      <c r="K202" s="228"/>
      <c r="L202" s="228"/>
      <c r="M202" s="228"/>
      <c r="O202" s="228"/>
      <c r="Q202" s="228"/>
      <c r="S202" s="228"/>
      <c r="U202" s="228"/>
      <c r="W202" s="228"/>
      <c r="Y202" s="297"/>
    </row>
    <row r="203" spans="2:25" ht="21.95" hidden="1" customHeight="1" x14ac:dyDescent="0.2">
      <c r="B203" s="657" t="s">
        <v>786</v>
      </c>
      <c r="C203" s="218">
        <v>720</v>
      </c>
      <c r="D203" s="219" t="s">
        <v>248</v>
      </c>
      <c r="E203" s="297"/>
      <c r="I203" s="397"/>
      <c r="J203" s="324"/>
      <c r="K203" s="324"/>
      <c r="L203" s="324"/>
      <c r="M203" s="324"/>
      <c r="O203" s="324"/>
      <c r="Q203" s="324"/>
      <c r="S203" s="324"/>
      <c r="U203" s="324"/>
      <c r="W203" s="324"/>
      <c r="Y203" s="331"/>
    </row>
    <row r="204" spans="2:25" ht="21.95" hidden="1" customHeight="1" x14ac:dyDescent="0.2">
      <c r="B204" s="657" t="s">
        <v>787</v>
      </c>
      <c r="C204" s="218">
        <v>730</v>
      </c>
      <c r="D204" s="219" t="s">
        <v>248</v>
      </c>
      <c r="E204" s="297"/>
      <c r="I204" s="397"/>
      <c r="J204" s="324"/>
      <c r="K204" s="324"/>
      <c r="L204" s="324"/>
      <c r="M204" s="324"/>
      <c r="O204" s="324"/>
      <c r="Q204" s="324"/>
      <c r="S204" s="324"/>
      <c r="U204" s="324"/>
      <c r="W204" s="324"/>
      <c r="Y204" s="331"/>
    </row>
    <row r="205" spans="2:25" ht="21.95" hidden="1" customHeight="1" x14ac:dyDescent="0.2">
      <c r="B205" s="226" t="s">
        <v>788</v>
      </c>
      <c r="C205" s="218">
        <v>740</v>
      </c>
      <c r="D205" s="219" t="s">
        <v>248</v>
      </c>
      <c r="E205" s="222">
        <f>SUM(E199:E204)</f>
        <v>0</v>
      </c>
      <c r="I205" s="658">
        <f>SUM(I199:I204)</f>
        <v>0</v>
      </c>
      <c r="J205" s="220">
        <f>SUM(J199:J204)</f>
        <v>0</v>
      </c>
      <c r="K205" s="220">
        <f>SUM(K199:K204)</f>
        <v>0</v>
      </c>
      <c r="L205" s="220">
        <f>SUM(L199:L204)</f>
        <v>0</v>
      </c>
      <c r="M205" s="220">
        <f>SUM(M199:M204)</f>
        <v>0</v>
      </c>
      <c r="O205" s="338">
        <f>SUM(O199:O204)</f>
        <v>0</v>
      </c>
      <c r="Q205" s="338">
        <f>SUM(Q199:Q204)</f>
        <v>0</v>
      </c>
      <c r="S205" s="338">
        <f>SUM(S199:S204)</f>
        <v>0</v>
      </c>
      <c r="U205" s="338">
        <f>SUM(U199:U204)</f>
        <v>0</v>
      </c>
      <c r="W205" s="220">
        <f>SUM(W199:W204)</f>
        <v>0</v>
      </c>
      <c r="Y205" s="222">
        <f>SUM(Y199:Y204)</f>
        <v>0</v>
      </c>
    </row>
    <row r="206" spans="2:25" ht="21.95" hidden="1" customHeight="1" x14ac:dyDescent="0.2">
      <c r="B206" s="657" t="s">
        <v>789</v>
      </c>
      <c r="C206" s="218">
        <v>750</v>
      </c>
      <c r="D206" s="219" t="s">
        <v>248</v>
      </c>
      <c r="E206" s="297"/>
      <c r="I206" s="392"/>
      <c r="J206" s="228"/>
      <c r="K206" s="228"/>
      <c r="L206" s="228"/>
      <c r="M206" s="228"/>
      <c r="O206" s="228"/>
      <c r="Q206" s="228"/>
      <c r="S206" s="228"/>
      <c r="U206" s="228"/>
      <c r="W206" s="228"/>
      <c r="Y206" s="297"/>
    </row>
    <row r="207" spans="2:25" ht="27" hidden="1" customHeight="1" x14ac:dyDescent="0.2">
      <c r="B207" s="266" t="s">
        <v>790</v>
      </c>
      <c r="C207" s="218">
        <v>760</v>
      </c>
      <c r="D207" s="219" t="s">
        <v>248</v>
      </c>
      <c r="E207" s="297"/>
      <c r="I207" s="392"/>
      <c r="J207" s="228"/>
      <c r="K207" s="228"/>
      <c r="L207" s="228"/>
      <c r="M207" s="228"/>
      <c r="O207" s="228"/>
      <c r="Q207" s="228"/>
      <c r="S207" s="228"/>
      <c r="U207" s="228"/>
      <c r="W207" s="228"/>
      <c r="Y207" s="297"/>
    </row>
    <row r="208" spans="2:25" ht="27" hidden="1" customHeight="1" x14ac:dyDescent="0.2">
      <c r="B208" s="266" t="s">
        <v>791</v>
      </c>
      <c r="C208" s="218">
        <v>761</v>
      </c>
      <c r="D208" s="217" t="s">
        <v>248</v>
      </c>
      <c r="E208" s="297"/>
      <c r="I208" s="392"/>
      <c r="J208" s="228"/>
      <c r="K208" s="228"/>
      <c r="L208" s="228"/>
      <c r="M208" s="228"/>
      <c r="O208" s="228"/>
      <c r="Q208" s="228"/>
      <c r="S208" s="228"/>
      <c r="U208" s="228"/>
      <c r="W208" s="228"/>
      <c r="Y208" s="297"/>
    </row>
    <row r="209" spans="2:25" ht="27" hidden="1" customHeight="1" x14ac:dyDescent="0.2">
      <c r="B209" s="266" t="s">
        <v>792</v>
      </c>
      <c r="C209" s="218">
        <v>762</v>
      </c>
      <c r="D209" s="217" t="s">
        <v>248</v>
      </c>
      <c r="E209" s="297"/>
      <c r="I209" s="392"/>
      <c r="J209" s="228"/>
      <c r="K209" s="228"/>
      <c r="L209" s="228"/>
      <c r="M209" s="228"/>
      <c r="O209" s="228"/>
      <c r="Q209" s="228"/>
      <c r="S209" s="228"/>
      <c r="U209" s="228"/>
      <c r="W209" s="228"/>
      <c r="Y209" s="297"/>
    </row>
    <row r="210" spans="2:25" ht="21.95" hidden="1" customHeight="1" x14ac:dyDescent="0.2">
      <c r="B210" s="657" t="s">
        <v>793</v>
      </c>
      <c r="C210" s="218">
        <v>770</v>
      </c>
      <c r="D210" s="219" t="s">
        <v>248</v>
      </c>
      <c r="E210" s="297"/>
      <c r="I210" s="397"/>
      <c r="J210" s="324"/>
      <c r="K210" s="324"/>
      <c r="L210" s="324"/>
      <c r="M210" s="324"/>
      <c r="O210" s="324"/>
      <c r="Q210" s="324"/>
      <c r="S210" s="324"/>
      <c r="U210" s="324"/>
      <c r="W210" s="324"/>
      <c r="Y210" s="331"/>
    </row>
    <row r="211" spans="2:25" ht="21.95" hidden="1" customHeight="1" x14ac:dyDescent="0.2">
      <c r="B211" s="657" t="s">
        <v>794</v>
      </c>
      <c r="C211" s="218">
        <v>780</v>
      </c>
      <c r="D211" s="219" t="s">
        <v>248</v>
      </c>
      <c r="E211" s="297"/>
      <c r="I211" s="397"/>
      <c r="J211" s="324"/>
      <c r="K211" s="324"/>
      <c r="L211" s="324"/>
      <c r="M211" s="324"/>
      <c r="O211" s="324"/>
      <c r="Q211" s="324"/>
      <c r="S211" s="324"/>
      <c r="U211" s="324"/>
      <c r="W211" s="324"/>
      <c r="Y211" s="331"/>
    </row>
    <row r="212" spans="2:25" ht="30" hidden="1" customHeight="1" x14ac:dyDescent="0.2">
      <c r="B212" s="336" t="s">
        <v>795</v>
      </c>
      <c r="C212" s="234">
        <v>790</v>
      </c>
      <c r="D212" s="267" t="s">
        <v>248</v>
      </c>
      <c r="E212" s="222">
        <f>SUM(E206:E211)</f>
        <v>0</v>
      </c>
      <c r="I212" s="658">
        <f>SUM(I206:I211)</f>
        <v>0</v>
      </c>
      <c r="J212" s="268">
        <f>SUM(J206:J211)</f>
        <v>0</v>
      </c>
      <c r="K212" s="268">
        <f>SUM(K206:K211)</f>
        <v>0</v>
      </c>
      <c r="L212" s="268">
        <f>SUM(L206:L211)</f>
        <v>0</v>
      </c>
      <c r="M212" s="268">
        <f>SUM(M206:M211)</f>
        <v>0</v>
      </c>
      <c r="O212" s="660">
        <f>SUM(O206:O211)</f>
        <v>0</v>
      </c>
      <c r="Q212" s="660">
        <f>SUM(Q206:Q211)</f>
        <v>0</v>
      </c>
      <c r="S212" s="660">
        <f>SUM(S206:S211)</f>
        <v>0</v>
      </c>
      <c r="U212" s="660">
        <f>SUM(U206:U211)</f>
        <v>0</v>
      </c>
      <c r="W212" s="660">
        <f>SUM(W206:W211)</f>
        <v>0</v>
      </c>
      <c r="Y212" s="661">
        <f>SUM(Y206:Y211)</f>
        <v>0</v>
      </c>
    </row>
    <row r="213" spans="2:25" ht="21.95" hidden="1" customHeight="1" thickBot="1" x14ac:dyDescent="0.25">
      <c r="B213" s="233" t="s">
        <v>358</v>
      </c>
      <c r="C213" s="236">
        <v>800</v>
      </c>
      <c r="D213" s="238" t="s">
        <v>248</v>
      </c>
      <c r="E213" s="241">
        <f>E177+E184+E191+E198+E205+E212</f>
        <v>0</v>
      </c>
      <c r="I213" s="659">
        <f>I177+I184+I191+I198+I205+I212</f>
        <v>0</v>
      </c>
      <c r="J213" s="240">
        <f>J177+J184+J191+J198+J205+J212</f>
        <v>0</v>
      </c>
      <c r="K213" s="240">
        <f>K177+K184+K191+K198+K205+K212</f>
        <v>0</v>
      </c>
      <c r="L213" s="240">
        <f>L177+L184+L191+L198+L205+L212</f>
        <v>0</v>
      </c>
      <c r="M213" s="240">
        <f>M177+M184+M191+M198+M205+M212</f>
        <v>0</v>
      </c>
      <c r="O213" s="240">
        <f>O177+O184+O191+O198+O205+O212</f>
        <v>0</v>
      </c>
      <c r="Q213" s="240">
        <f>Q177+Q184+Q191+Q198+Q205+Q212</f>
        <v>0</v>
      </c>
      <c r="S213" s="240">
        <f>S177+S184+S191+S198+S205+S212</f>
        <v>0</v>
      </c>
      <c r="U213" s="240">
        <f>U177+U184+U191+U198+U205+U212</f>
        <v>0</v>
      </c>
      <c r="W213" s="240">
        <f>W177+W184+W191+W198+W205+W212</f>
        <v>0</v>
      </c>
      <c r="Y213" s="241">
        <f>Y177+Y184+Y191+Y198+Y205+Y212</f>
        <v>0</v>
      </c>
    </row>
    <row r="214" spans="2:25" ht="13.5" hidden="1" thickTop="1" x14ac:dyDescent="0.2">
      <c r="B214" s="108"/>
      <c r="C214" s="108"/>
      <c r="D214" s="108"/>
    </row>
    <row r="215" spans="2:25" x14ac:dyDescent="0.2">
      <c r="B215" s="108"/>
      <c r="C215" s="108"/>
      <c r="D215" s="108"/>
    </row>
    <row r="216" spans="2:25" x14ac:dyDescent="0.2">
      <c r="B216" s="108"/>
      <c r="C216" s="108"/>
      <c r="D216" s="108"/>
    </row>
    <row r="217" spans="2:25" x14ac:dyDescent="0.2">
      <c r="B217" s="108"/>
      <c r="C217" s="108"/>
    </row>
    <row r="218" spans="2:25" x14ac:dyDescent="0.2">
      <c r="B218" s="108"/>
      <c r="C218" s="108"/>
    </row>
    <row r="219" spans="2:25" x14ac:dyDescent="0.2">
      <c r="B219" s="108"/>
      <c r="C219" s="108"/>
    </row>
    <row r="220" spans="2:25" x14ac:dyDescent="0.2">
      <c r="B220" s="108"/>
      <c r="C220" s="108"/>
    </row>
    <row r="223" spans="2:25" x14ac:dyDescent="0.2">
      <c r="D223" s="108"/>
    </row>
  </sheetData>
  <sheetProtection password="8EBD" sheet="1" objects="1" scenarios="1"/>
  <dataValidations count="4">
    <dataValidation type="decimal" allowBlank="1" showErrorMessage="1" errorTitle="Number Only" error="Error : This cell can only accept a numeric value with a max of 12 digits." sqref="N1 I212:M213 Y212:Y213 W212:W213 U212:U213 S212:S213 Q212:Q213 O212:O213 E212:E213 Y205 W205 U205 S205 Q205 O205 I205:M205 E205 Y198 W198 U198 S198 Q198 O198 I198:M198 E198 Y191 W191 U191 S191 Q191 O191 I191:M191 E191 Y184 W184 U184 S184 Q184 O184 I184:M184 E184 Y177 W177 U177 S177 Q177 O177 I177:M177 E177 Y79 W79 U79 S79 Q79 O79 I79:M79 Y77 W77 U77 S77 Q77 O77 H77:M77 Y75 W75 U75 S75 Q75 O75 I75:M75 Y73 W73 U73 S73 Q73 O73 H73:M73 E70:M71 Y70:Y71 W70:W71 U70:U71 S70:S71 Q70:Q71 O70:O71 F68:H69 F65 G63:H64 Y62 W62 U62 S62 Q62 O62 E62:M62 I55:M58 Y55:Y58 W55:W58 U55:U58 S55:S58 Q55:Q58 O55:O58 G55:G60 Y52 W52 U52 S52 Q52 O52 E52:M52 F51:G51 J50:M50 H50 E49:G50 Y49:Y50 W49:W50 U49:U50 S49:S50 Q49:Q50 O49:O50 I49:M49 F44:G48 S46 Q46 H46:M46 I44:L45 Y44:Y46 W44:W46 U44:U46 S44 Q44 O44:O46 A43 H38:M42 E38:E42 I36:M37 H35:M35 E35:E36 I32:M34 Y32:Y42 W32:W42 U32:U42 S32:S42 Q32:Q42 O32:O42 H31:H32 E31:E33 Y27 H27:L27 F27:F42 M26:M27 I22:L26 E26:E27 G22:G42 E20:M21 Y20:Y25 S20:S27 I19:L19 F19:G19 E17:M18 Y17:Y18 W17:W27 U17:U27 S17:S18 Q17:Q27 O17:O27 F15:G16 I13:M15 S14:S15 E12:H14 W13:W15 U13:U15 O13:O15 Q11:Q15 K11:M11 E11:I11 Y10:Y14 W10:W11 U10:U11 S10:S12 O10:O11 E10:M10 X1 V1 T1 R1 P1">
      <formula1>-1000000000000</formula1>
      <formula2>1000000000000</formula2>
    </dataValidation>
    <dataValidation type="whole" allowBlank="1" showErrorMessage="1" errorTitle="Number Only" error="Error : This cell can only accept a numeric value with a max of 12 digits." sqref="B5">
      <formula1>-1000000000000</formula1>
      <formula2>1000000000000</formula2>
    </dataValidation>
    <dataValidation type="custom" allowBlank="1" showErrorMessage="1" errorTitle="Numeric Only" error="Error: This cell can only accept a numeric value with a max of 12 digits" sqref="I12">
      <formula1>-1000000000000</formula1>
    </dataValidation>
    <dataValidation type="whole" allowBlank="1" showErrorMessage="1" errorTitle="Decimal Entry Error" error="Decimal entry not allowed - please enter a whole number only" sqref="Q10 I206:M209 Y206:Y209 W206:W209 U206:U209 S206:S209 Q206:Q209 O206:O209 E206:E211 I199:M202 I192:M195 Y192:Y195 W192:W195 U192:U195 S192:S195 Q192:Q195 O192:O195 E192:E197 I185:M188 Y185:Y188 W185:W188 U185:U188 S185:S188 Q185:Q188 O185:O188 E185:E190 I178:M181 Y178:Y181 W178:W181 U178:U181 S178:S181 Q178:Q181 O178:O181 E178:E183 I171:M174 Y171:Y174 W171:W174 U171:U174 S171:S174 Q171:Q174 O171:O174 E171:E176 Y199:Y202 W199:W202 U199:U202 S199:S202 Q199:Q202 O199:O202 E199:E204 I68:M69 Y68:Y69 W68:W69 U68:U69 S68:S69 Q68:Q69 O68:O69 E68:E69 E65 Y51 W51 U51 S51 Q51 O51 I51:M51 E51 H47:M48 Y47:Y48 W47:W48 U47:U48 S47:S48 Q47:Q48 O47:O48 S45 Q45 M44:M45 H44:H45 E44:E48 E37 E34 I31:M31 H28:M30 Y28:Y31 W28:W31 U28:U31 S28:S31 Q28:Q31 O28:O31 E28:E30 Y26 H22:H26 E22:E25 Y19 S19 M19 H19 E19 W16 U16 S16 Q16 O16 I16:M16 Y15:Y16 H15:H16 E15:E16 S13 W12 U12 O12 K12:M12 J11:J12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31" fitToHeight="2" orientation="landscape" horizontalDpi="90" verticalDpi="90" r:id="rId1"/>
  <rowBreaks count="1" manualBreakCount="1">
    <brk id="65" max="5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B61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5.140625" customWidth="1"/>
    <col min="2" max="2" width="57.7109375" customWidth="1"/>
    <col min="3" max="4" width="10.140625" customWidth="1"/>
    <col min="5" max="8" width="15" customWidth="1"/>
    <col min="9" max="9" width="5" hidden="1" customWidth="1"/>
    <col min="10" max="10" width="6.42578125" hidden="1" customWidth="1"/>
    <col min="11" max="54" width="3.140625" hidden="1" customWidth="1"/>
  </cols>
  <sheetData>
    <row r="1" spans="1:14" ht="15.75" x14ac:dyDescent="0.25">
      <c r="A1" s="1143" t="s">
        <v>3726</v>
      </c>
      <c r="B1" s="1159" t="str">
        <f>OrgName</f>
        <v>ZZZ NHS TRUST</v>
      </c>
      <c r="C1" s="1152"/>
      <c r="D1" s="1134"/>
      <c r="E1" s="1177" t="str">
        <f>HYPERLINK(CHAR(35)&amp;"1415TRU_Index_P13"&amp;"!A1","GoTo Index tab")</f>
        <v>GoTo Index tab</v>
      </c>
      <c r="I1" s="99"/>
      <c r="J1" s="99"/>
      <c r="K1" s="99"/>
      <c r="L1" s="99"/>
      <c r="M1" s="99"/>
      <c r="N1" s="99"/>
    </row>
    <row r="2" spans="1:14" x14ac:dyDescent="0.2">
      <c r="A2" s="1143" t="s">
        <v>3727</v>
      </c>
      <c r="B2" s="1157" t="str">
        <f>"Org Code: " &amp; Orgcode</f>
        <v>Org Code: ZZZ</v>
      </c>
      <c r="C2" s="1151"/>
      <c r="D2" s="1132"/>
      <c r="E2" s="1155"/>
      <c r="I2" s="99"/>
      <c r="J2" s="99"/>
      <c r="K2" s="99"/>
      <c r="L2" s="99"/>
      <c r="M2" s="99"/>
      <c r="N2" s="99"/>
    </row>
    <row r="3" spans="1:14" x14ac:dyDescent="0.2">
      <c r="A3" s="1143" t="s">
        <v>3735</v>
      </c>
      <c r="B3" s="1158" t="s">
        <v>3725</v>
      </c>
      <c r="C3" s="1153"/>
      <c r="D3" s="1154"/>
      <c r="E3" s="1156"/>
      <c r="I3" s="99"/>
      <c r="J3" s="99"/>
      <c r="K3" s="99"/>
      <c r="L3" s="99"/>
      <c r="M3" s="99"/>
      <c r="N3" s="99"/>
    </row>
    <row r="4" spans="1:14" x14ac:dyDescent="0.2">
      <c r="A4" s="99"/>
      <c r="B4" s="102" t="s">
        <v>796</v>
      </c>
      <c r="C4" s="102"/>
      <c r="D4" s="100"/>
      <c r="E4" s="99"/>
      <c r="I4" s="99"/>
      <c r="J4" s="99"/>
      <c r="K4" s="99"/>
      <c r="L4" s="99"/>
      <c r="M4" s="99"/>
      <c r="N4" s="99"/>
    </row>
    <row r="5" spans="1:14" x14ac:dyDescent="0.2">
      <c r="A5" s="99"/>
      <c r="B5" s="103" t="s">
        <v>66</v>
      </c>
      <c r="C5" s="102"/>
      <c r="D5" s="100"/>
      <c r="E5" s="99"/>
      <c r="I5" s="99"/>
      <c r="J5" s="99"/>
      <c r="K5" s="99"/>
      <c r="L5" s="99"/>
      <c r="M5" s="99"/>
      <c r="N5" s="99"/>
    </row>
    <row r="6" spans="1:14" ht="13.5" thickBot="1" x14ac:dyDescent="0.25">
      <c r="A6" s="99"/>
      <c r="B6" s="99"/>
      <c r="C6" s="102"/>
      <c r="D6" s="100"/>
      <c r="E6" s="99"/>
      <c r="I6" s="99"/>
      <c r="J6" s="99"/>
      <c r="K6" s="99"/>
      <c r="L6" s="99"/>
      <c r="M6" s="99"/>
      <c r="N6" s="99"/>
    </row>
    <row r="7" spans="1:14" ht="13.5" thickTop="1" x14ac:dyDescent="0.2">
      <c r="A7" s="99"/>
      <c r="B7" s="261" t="s">
        <v>797</v>
      </c>
      <c r="C7" s="262"/>
      <c r="D7" s="195" t="s">
        <v>25</v>
      </c>
      <c r="E7" s="195" t="s">
        <v>235</v>
      </c>
      <c r="F7" s="195" t="s">
        <v>236</v>
      </c>
      <c r="G7" s="195" t="s">
        <v>293</v>
      </c>
      <c r="H7" s="667" t="s">
        <v>294</v>
      </c>
      <c r="J7" s="99"/>
      <c r="K7" s="99"/>
      <c r="L7" s="99"/>
      <c r="M7" s="99"/>
      <c r="N7" s="99"/>
    </row>
    <row r="8" spans="1:14" ht="38.25" x14ac:dyDescent="0.2">
      <c r="A8" s="99"/>
      <c r="B8" s="264" t="s">
        <v>798</v>
      </c>
      <c r="C8" s="199" t="s">
        <v>238</v>
      </c>
      <c r="D8" s="200"/>
      <c r="E8" s="201" t="s">
        <v>799</v>
      </c>
      <c r="F8" s="201" t="s">
        <v>800</v>
      </c>
      <c r="G8" s="201" t="s">
        <v>801</v>
      </c>
      <c r="H8" s="202" t="s">
        <v>802</v>
      </c>
      <c r="J8" s="99"/>
      <c r="K8" s="99"/>
      <c r="L8" s="99"/>
      <c r="M8" s="99"/>
      <c r="N8" s="99"/>
    </row>
    <row r="9" spans="1:14" ht="13.5" thickBot="1" x14ac:dyDescent="0.25">
      <c r="A9" s="99"/>
      <c r="B9" s="264"/>
      <c r="C9" s="204" t="s">
        <v>242</v>
      </c>
      <c r="D9" s="205"/>
      <c r="E9" s="204" t="s">
        <v>243</v>
      </c>
      <c r="F9" s="204" t="s">
        <v>243</v>
      </c>
      <c r="G9" s="204" t="s">
        <v>243</v>
      </c>
      <c r="H9" s="670" t="s">
        <v>243</v>
      </c>
      <c r="J9" s="99"/>
      <c r="K9" s="99"/>
      <c r="L9" s="99"/>
      <c r="M9" s="99"/>
      <c r="N9" s="99"/>
    </row>
    <row r="10" spans="1:14" ht="30" customHeight="1" x14ac:dyDescent="0.2">
      <c r="B10" s="1005" t="s">
        <v>803</v>
      </c>
      <c r="C10" s="668"/>
      <c r="D10" s="316"/>
      <c r="E10" s="669"/>
      <c r="F10" s="669"/>
      <c r="G10" s="669"/>
      <c r="H10" s="318"/>
      <c r="J10" s="99"/>
      <c r="K10" s="99"/>
      <c r="L10" s="99"/>
      <c r="M10" s="99"/>
      <c r="N10" s="99"/>
    </row>
    <row r="11" spans="1:14" ht="21.95" customHeight="1" x14ac:dyDescent="0.2">
      <c r="B11" s="263" t="s">
        <v>804</v>
      </c>
      <c r="C11" s="251">
        <v>100</v>
      </c>
      <c r="D11" s="252" t="s">
        <v>248</v>
      </c>
      <c r="E11" s="453">
        <f>'1415TRU06_EXP_P13'!G55</f>
        <v>0</v>
      </c>
      <c r="F11" s="321"/>
      <c r="G11" s="321"/>
      <c r="H11" s="307"/>
      <c r="J11" s="99"/>
      <c r="K11" s="99"/>
      <c r="L11" s="99"/>
      <c r="M11" s="99"/>
      <c r="N11" s="99"/>
    </row>
    <row r="12" spans="1:14" ht="21.95" customHeight="1" x14ac:dyDescent="0.2">
      <c r="B12" s="246" t="s">
        <v>805</v>
      </c>
      <c r="C12" s="218">
        <v>110</v>
      </c>
      <c r="D12" s="219" t="s">
        <v>248</v>
      </c>
      <c r="E12" s="458">
        <f>'1415TRU06_EXP_P13'!G56</f>
        <v>0</v>
      </c>
      <c r="F12" s="324"/>
      <c r="G12" s="324"/>
      <c r="H12" s="298"/>
      <c r="J12" s="99"/>
      <c r="K12" s="99"/>
      <c r="L12" s="99"/>
      <c r="M12" s="99"/>
      <c r="N12" s="99"/>
    </row>
    <row r="13" spans="1:14" ht="21.95" customHeight="1" x14ac:dyDescent="0.2">
      <c r="B13" s="246" t="s">
        <v>806</v>
      </c>
      <c r="C13" s="218">
        <v>120</v>
      </c>
      <c r="D13" s="219" t="s">
        <v>248</v>
      </c>
      <c r="E13" s="458">
        <f>'1415TRU06_EXP_P13'!G57</f>
        <v>0</v>
      </c>
      <c r="F13" s="324"/>
      <c r="G13" s="324"/>
      <c r="H13" s="298"/>
      <c r="J13" s="99"/>
      <c r="K13" s="99"/>
      <c r="L13" s="99"/>
      <c r="M13" s="99"/>
      <c r="N13" s="99"/>
    </row>
    <row r="14" spans="1:14" ht="21.95" customHeight="1" x14ac:dyDescent="0.2">
      <c r="B14" s="445" t="s">
        <v>340</v>
      </c>
      <c r="C14" s="218">
        <v>130</v>
      </c>
      <c r="D14" s="219" t="s">
        <v>248</v>
      </c>
      <c r="E14" s="448">
        <f>SUM(E11:E13)</f>
        <v>0</v>
      </c>
      <c r="F14" s="324"/>
      <c r="G14" s="324"/>
      <c r="H14" s="457">
        <f>SUM(H11:H13)</f>
        <v>0</v>
      </c>
      <c r="J14" s="99"/>
      <c r="K14" s="99"/>
      <c r="L14" s="99"/>
      <c r="M14" s="99"/>
      <c r="N14" s="99"/>
    </row>
    <row r="15" spans="1:14" ht="30" customHeight="1" x14ac:dyDescent="0.2">
      <c r="B15" s="336" t="s">
        <v>807</v>
      </c>
      <c r="C15" s="258"/>
      <c r="D15" s="258"/>
      <c r="E15" s="258"/>
      <c r="F15" s="671"/>
      <c r="G15" s="671"/>
      <c r="H15" s="331"/>
    </row>
    <row r="16" spans="1:14" ht="21.95" customHeight="1" x14ac:dyDescent="0.2">
      <c r="B16" s="264" t="s">
        <v>808</v>
      </c>
      <c r="C16" s="672"/>
      <c r="D16" s="673"/>
      <c r="E16" s="674"/>
      <c r="F16" s="675"/>
      <c r="G16" s="675"/>
      <c r="H16" s="676"/>
      <c r="J16" s="99"/>
      <c r="K16" s="99"/>
      <c r="L16" s="99"/>
      <c r="M16" s="99"/>
      <c r="N16" s="99"/>
    </row>
    <row r="17" spans="2:14" ht="21.95" customHeight="1" x14ac:dyDescent="0.2">
      <c r="B17" s="263" t="s">
        <v>809</v>
      </c>
      <c r="C17" s="251">
        <v>140</v>
      </c>
      <c r="D17" s="252" t="s">
        <v>248</v>
      </c>
      <c r="E17" s="431">
        <f>SUM(F17:G17)</f>
        <v>0</v>
      </c>
      <c r="F17" s="677"/>
      <c r="G17" s="677"/>
      <c r="H17" s="307"/>
      <c r="J17" s="99"/>
      <c r="K17" s="99"/>
      <c r="L17" s="99"/>
      <c r="M17" s="99"/>
      <c r="N17" s="99"/>
    </row>
    <row r="18" spans="2:14" ht="21.95" customHeight="1" x14ac:dyDescent="0.2">
      <c r="B18" s="246" t="s">
        <v>810</v>
      </c>
      <c r="C18" s="218">
        <v>150</v>
      </c>
      <c r="D18" s="219" t="s">
        <v>248</v>
      </c>
      <c r="E18" s="440">
        <f>SUM(F18:G18)</f>
        <v>0</v>
      </c>
      <c r="F18" s="580"/>
      <c r="G18" s="580"/>
      <c r="H18" s="298"/>
      <c r="J18" s="99"/>
      <c r="K18" s="99"/>
      <c r="L18" s="99"/>
      <c r="M18" s="99"/>
      <c r="N18" s="99"/>
    </row>
    <row r="19" spans="2:14" ht="21.95" customHeight="1" x14ac:dyDescent="0.2">
      <c r="B19" s="246" t="s">
        <v>811</v>
      </c>
      <c r="C19" s="218">
        <v>160</v>
      </c>
      <c r="D19" s="219" t="s">
        <v>248</v>
      </c>
      <c r="E19" s="440">
        <f>SUM(F19:G19)</f>
        <v>0</v>
      </c>
      <c r="F19" s="580"/>
      <c r="G19" s="580"/>
      <c r="H19" s="298"/>
      <c r="J19" s="99"/>
      <c r="K19" s="99"/>
      <c r="L19" s="99"/>
      <c r="M19" s="99"/>
      <c r="N19" s="99"/>
    </row>
    <row r="20" spans="2:14" ht="21.95" customHeight="1" x14ac:dyDescent="0.2">
      <c r="B20" s="445" t="s">
        <v>340</v>
      </c>
      <c r="C20" s="218">
        <v>170</v>
      </c>
      <c r="D20" s="219" t="s">
        <v>248</v>
      </c>
      <c r="E20" s="448">
        <f>SUM(E17:E19)</f>
        <v>0</v>
      </c>
      <c r="F20" s="448">
        <f>SUM(F17:F19)</f>
        <v>0</v>
      </c>
      <c r="G20" s="448">
        <f>SUM(G17:G19)</f>
        <v>0</v>
      </c>
      <c r="H20" s="299">
        <f>SUM(H17:H19)</f>
        <v>0</v>
      </c>
    </row>
    <row r="21" spans="2:14" ht="30" customHeight="1" x14ac:dyDescent="0.2">
      <c r="B21" s="336" t="s">
        <v>812</v>
      </c>
      <c r="C21" s="258"/>
      <c r="D21" s="258"/>
      <c r="E21" s="258"/>
      <c r="F21" s="671"/>
      <c r="G21" s="671"/>
      <c r="H21" s="331"/>
    </row>
    <row r="22" spans="2:14" ht="21.95" customHeight="1" x14ac:dyDescent="0.2">
      <c r="B22" s="264" t="s">
        <v>808</v>
      </c>
      <c r="C22" s="672"/>
      <c r="D22" s="673"/>
      <c r="E22" s="678"/>
      <c r="F22" s="675"/>
      <c r="G22" s="675"/>
      <c r="H22" s="623"/>
    </row>
    <row r="23" spans="2:14" ht="21.95" customHeight="1" x14ac:dyDescent="0.2">
      <c r="B23" s="263" t="s">
        <v>809</v>
      </c>
      <c r="C23" s="251">
        <v>180</v>
      </c>
      <c r="D23" s="252" t="s">
        <v>248</v>
      </c>
      <c r="E23" s="431">
        <f>SUM(F23:G23)</f>
        <v>0</v>
      </c>
      <c r="F23" s="677"/>
      <c r="G23" s="677"/>
      <c r="H23" s="307"/>
    </row>
    <row r="24" spans="2:14" ht="21.95" customHeight="1" x14ac:dyDescent="0.2">
      <c r="B24" s="246" t="s">
        <v>810</v>
      </c>
      <c r="C24" s="218">
        <v>190</v>
      </c>
      <c r="D24" s="219" t="s">
        <v>248</v>
      </c>
      <c r="E24" s="440">
        <f>SUM(F24:G24)</f>
        <v>0</v>
      </c>
      <c r="F24" s="580"/>
      <c r="G24" s="580"/>
      <c r="H24" s="298"/>
    </row>
    <row r="25" spans="2:14" ht="21.95" customHeight="1" x14ac:dyDescent="0.2">
      <c r="B25" s="246" t="s">
        <v>811</v>
      </c>
      <c r="C25" s="218">
        <v>200</v>
      </c>
      <c r="D25" s="219" t="s">
        <v>248</v>
      </c>
      <c r="E25" s="440">
        <f>SUM(F25:G25)</f>
        <v>0</v>
      </c>
      <c r="F25" s="580"/>
      <c r="G25" s="580"/>
      <c r="H25" s="298"/>
    </row>
    <row r="26" spans="2:14" ht="21.95" customHeight="1" x14ac:dyDescent="0.2">
      <c r="B26" s="445" t="s">
        <v>340</v>
      </c>
      <c r="C26" s="218">
        <v>210</v>
      </c>
      <c r="D26" s="219" t="s">
        <v>248</v>
      </c>
      <c r="E26" s="448">
        <f>SUM(E23:E25)</f>
        <v>0</v>
      </c>
      <c r="F26" s="448">
        <f>SUM(F23:F25)</f>
        <v>0</v>
      </c>
      <c r="G26" s="448">
        <f>SUM(G23:G25)</f>
        <v>0</v>
      </c>
      <c r="H26" s="299">
        <f>SUM(H23:H25)</f>
        <v>0</v>
      </c>
    </row>
    <row r="27" spans="2:14" ht="30" customHeight="1" x14ac:dyDescent="0.2">
      <c r="B27" s="336" t="s">
        <v>813</v>
      </c>
      <c r="C27" s="258"/>
      <c r="D27" s="258"/>
      <c r="E27" s="258"/>
      <c r="F27" s="671"/>
      <c r="G27" s="671"/>
      <c r="H27" s="331"/>
    </row>
    <row r="28" spans="2:14" ht="21.95" customHeight="1" x14ac:dyDescent="0.2">
      <c r="B28" s="264" t="s">
        <v>808</v>
      </c>
      <c r="C28" s="672"/>
      <c r="D28" s="673"/>
      <c r="E28" s="678"/>
      <c r="F28" s="675"/>
      <c r="G28" s="675"/>
      <c r="H28" s="623"/>
    </row>
    <row r="29" spans="2:14" ht="21.95" customHeight="1" x14ac:dyDescent="0.2">
      <c r="B29" s="263" t="s">
        <v>809</v>
      </c>
      <c r="C29" s="251">
        <v>220</v>
      </c>
      <c r="D29" s="252" t="s">
        <v>248</v>
      </c>
      <c r="E29" s="431">
        <f>SUM(F29:G29)</f>
        <v>0</v>
      </c>
      <c r="F29" s="677"/>
      <c r="G29" s="677"/>
      <c r="H29" s="307"/>
    </row>
    <row r="30" spans="2:14" ht="21.95" customHeight="1" x14ac:dyDescent="0.2">
      <c r="B30" s="246" t="s">
        <v>810</v>
      </c>
      <c r="C30" s="218">
        <v>230</v>
      </c>
      <c r="D30" s="219" t="s">
        <v>248</v>
      </c>
      <c r="E30" s="440">
        <f>SUM(F30:G30)</f>
        <v>0</v>
      </c>
      <c r="F30" s="580"/>
      <c r="G30" s="580"/>
      <c r="H30" s="298"/>
    </row>
    <row r="31" spans="2:14" ht="21.95" customHeight="1" x14ac:dyDescent="0.2">
      <c r="B31" s="246" t="s">
        <v>811</v>
      </c>
      <c r="C31" s="218">
        <v>240</v>
      </c>
      <c r="D31" s="219" t="s">
        <v>248</v>
      </c>
      <c r="E31" s="440">
        <f>SUM(F31:G31)</f>
        <v>0</v>
      </c>
      <c r="F31" s="580"/>
      <c r="G31" s="580"/>
      <c r="H31" s="298"/>
    </row>
    <row r="32" spans="2:14" ht="21.95" customHeight="1" x14ac:dyDescent="0.2">
      <c r="B32" s="445" t="s">
        <v>358</v>
      </c>
      <c r="C32" s="234">
        <v>250</v>
      </c>
      <c r="D32" s="267" t="s">
        <v>248</v>
      </c>
      <c r="E32" s="679">
        <f>SUM(E29:E31)</f>
        <v>0</v>
      </c>
      <c r="F32" s="679">
        <f>SUM(F29:F31)</f>
        <v>0</v>
      </c>
      <c r="G32" s="679">
        <f>SUM(G29:G31)</f>
        <v>0</v>
      </c>
      <c r="H32" s="457">
        <f>SUM(H29:H31)</f>
        <v>0</v>
      </c>
      <c r="J32" s="99"/>
      <c r="K32" s="99"/>
      <c r="L32" s="99"/>
      <c r="M32" s="99"/>
      <c r="N32" s="99"/>
    </row>
    <row r="33" spans="2:14" ht="21.95" customHeight="1" thickBot="1" x14ac:dyDescent="0.25">
      <c r="B33" s="364" t="s">
        <v>814</v>
      </c>
      <c r="C33" s="236">
        <v>260</v>
      </c>
      <c r="D33" s="238" t="s">
        <v>248</v>
      </c>
      <c r="E33" s="680">
        <f>SUM(F33:G33)</f>
        <v>0</v>
      </c>
      <c r="F33" s="681"/>
      <c r="G33" s="681"/>
      <c r="H33" s="685"/>
      <c r="J33" s="99"/>
      <c r="K33" s="99"/>
      <c r="L33" s="99"/>
      <c r="M33" s="99"/>
      <c r="N33" s="99"/>
    </row>
    <row r="34" spans="2:14" ht="13.5" thickTop="1" x14ac:dyDescent="0.2">
      <c r="J34" s="99"/>
      <c r="K34" s="99"/>
      <c r="L34" s="99"/>
      <c r="M34" s="99"/>
      <c r="N34" s="99"/>
    </row>
    <row r="36" spans="2:14" ht="13.5" thickBot="1" x14ac:dyDescent="0.25">
      <c r="B36" s="99"/>
      <c r="C36" s="102"/>
      <c r="D36" s="100"/>
      <c r="E36" s="99"/>
      <c r="J36" s="99"/>
      <c r="K36" s="99"/>
      <c r="L36" s="99"/>
      <c r="M36" s="99"/>
      <c r="N36" s="99"/>
    </row>
    <row r="37" spans="2:14" ht="13.5" thickTop="1" x14ac:dyDescent="0.2">
      <c r="B37" s="261" t="s">
        <v>797</v>
      </c>
      <c r="C37" s="262"/>
      <c r="D37" s="195" t="s">
        <v>25</v>
      </c>
      <c r="E37" s="195" t="s">
        <v>235</v>
      </c>
      <c r="F37" s="195" t="s">
        <v>236</v>
      </c>
      <c r="G37" s="195" t="s">
        <v>293</v>
      </c>
      <c r="H37" s="667" t="s">
        <v>294</v>
      </c>
      <c r="J37" s="99"/>
      <c r="K37" s="99"/>
      <c r="L37" s="99"/>
      <c r="M37" s="99"/>
      <c r="N37" s="99"/>
    </row>
    <row r="38" spans="2:14" ht="38.25" x14ac:dyDescent="0.2">
      <c r="B38" s="264" t="s">
        <v>815</v>
      </c>
      <c r="C38" s="199" t="s">
        <v>238</v>
      </c>
      <c r="D38" s="200"/>
      <c r="E38" s="201" t="s">
        <v>799</v>
      </c>
      <c r="F38" s="201" t="s">
        <v>800</v>
      </c>
      <c r="G38" s="201" t="s">
        <v>801</v>
      </c>
      <c r="H38" s="202" t="s">
        <v>802</v>
      </c>
      <c r="J38" s="99"/>
      <c r="K38" s="99"/>
      <c r="L38" s="99"/>
      <c r="M38" s="99"/>
      <c r="N38" s="99"/>
    </row>
    <row r="39" spans="2:14" ht="13.5" thickBot="1" x14ac:dyDescent="0.25">
      <c r="B39" s="264"/>
      <c r="C39" s="204" t="s">
        <v>242</v>
      </c>
      <c r="D39" s="205"/>
      <c r="E39" s="204" t="s">
        <v>243</v>
      </c>
      <c r="F39" s="204" t="s">
        <v>243</v>
      </c>
      <c r="G39" s="204" t="s">
        <v>243</v>
      </c>
      <c r="H39" s="670" t="s">
        <v>243</v>
      </c>
      <c r="J39" s="99"/>
      <c r="K39" s="99"/>
      <c r="L39" s="99"/>
      <c r="M39" s="99"/>
      <c r="N39" s="99"/>
    </row>
    <row r="40" spans="2:14" ht="21.95" customHeight="1" x14ac:dyDescent="0.2">
      <c r="B40" s="314" t="s">
        <v>165</v>
      </c>
      <c r="C40" s="317"/>
      <c r="D40" s="317"/>
      <c r="E40" s="317"/>
      <c r="F40" s="669"/>
      <c r="G40" s="669"/>
      <c r="H40" s="318"/>
    </row>
    <row r="41" spans="2:14" ht="21.95" customHeight="1" x14ac:dyDescent="0.2">
      <c r="B41" s="264" t="s">
        <v>816</v>
      </c>
      <c r="C41" s="672"/>
      <c r="D41" s="673"/>
      <c r="E41" s="675"/>
      <c r="F41" s="675"/>
      <c r="G41" s="675"/>
      <c r="H41" s="578"/>
      <c r="J41" s="99"/>
      <c r="K41" s="99"/>
      <c r="L41" s="99"/>
      <c r="M41" s="99"/>
      <c r="N41" s="99"/>
    </row>
    <row r="42" spans="2:14" ht="21.95" customHeight="1" x14ac:dyDescent="0.2">
      <c r="B42" s="263" t="s">
        <v>663</v>
      </c>
      <c r="C42" s="251">
        <v>270</v>
      </c>
      <c r="D42" s="252" t="s">
        <v>248</v>
      </c>
      <c r="E42" s="453">
        <f>'1415TRU05_REV_P13'!E43</f>
        <v>0</v>
      </c>
      <c r="F42" s="321"/>
      <c r="G42" s="321"/>
      <c r="H42" s="307"/>
      <c r="J42" s="99"/>
      <c r="K42" s="99"/>
      <c r="L42" s="99"/>
      <c r="M42" s="99"/>
      <c r="N42" s="99"/>
    </row>
    <row r="43" spans="2:14" ht="21.95" customHeight="1" x14ac:dyDescent="0.2">
      <c r="B43" s="246" t="s">
        <v>660</v>
      </c>
      <c r="C43" s="218">
        <v>280</v>
      </c>
      <c r="D43" s="219" t="s">
        <v>248</v>
      </c>
      <c r="E43" s="458">
        <f>'1415TRU05_REV_P13'!E44</f>
        <v>0</v>
      </c>
      <c r="F43" s="324"/>
      <c r="G43" s="324"/>
      <c r="H43" s="298"/>
      <c r="J43" s="99"/>
      <c r="K43" s="99"/>
      <c r="L43" s="99"/>
      <c r="M43" s="99"/>
      <c r="N43" s="99"/>
    </row>
    <row r="44" spans="2:14" ht="21.95" customHeight="1" x14ac:dyDescent="0.2">
      <c r="B44" s="445" t="s">
        <v>661</v>
      </c>
      <c r="C44" s="218">
        <v>290</v>
      </c>
      <c r="D44" s="219" t="s">
        <v>248</v>
      </c>
      <c r="E44" s="448">
        <f>SUM(E42:E43)</f>
        <v>0</v>
      </c>
      <c r="F44" s="324"/>
      <c r="G44" s="324"/>
      <c r="H44" s="457">
        <f>SUM(H42:H43)</f>
        <v>0</v>
      </c>
      <c r="J44" s="99"/>
      <c r="K44" s="99"/>
      <c r="L44" s="99"/>
      <c r="M44" s="99"/>
      <c r="N44" s="99"/>
    </row>
    <row r="45" spans="2:14" ht="21.95" customHeight="1" x14ac:dyDescent="0.2">
      <c r="B45" s="226" t="s">
        <v>817</v>
      </c>
      <c r="C45" s="258"/>
      <c r="D45" s="258"/>
      <c r="E45" s="258"/>
      <c r="F45" s="671"/>
      <c r="G45" s="671"/>
      <c r="H45" s="331"/>
    </row>
    <row r="46" spans="2:14" ht="21.95" customHeight="1" x14ac:dyDescent="0.2">
      <c r="B46" s="264" t="s">
        <v>818</v>
      </c>
      <c r="C46" s="672"/>
      <c r="D46" s="673"/>
      <c r="E46" s="674"/>
      <c r="F46" s="675"/>
      <c r="G46" s="675"/>
      <c r="H46" s="676"/>
      <c r="J46" s="99"/>
      <c r="K46" s="99"/>
      <c r="L46" s="99"/>
      <c r="M46" s="99"/>
      <c r="N46" s="99"/>
    </row>
    <row r="47" spans="2:14" ht="21.95" customHeight="1" x14ac:dyDescent="0.2">
      <c r="B47" s="263" t="s">
        <v>809</v>
      </c>
      <c r="C47" s="251">
        <v>300</v>
      </c>
      <c r="D47" s="252" t="s">
        <v>248</v>
      </c>
      <c r="E47" s="431">
        <f>SUM(F47:G47)</f>
        <v>0</v>
      </c>
      <c r="F47" s="677"/>
      <c r="G47" s="677"/>
      <c r="H47" s="307"/>
      <c r="J47" s="99"/>
      <c r="K47" s="99"/>
      <c r="L47" s="99"/>
      <c r="M47" s="99"/>
      <c r="N47" s="99"/>
    </row>
    <row r="48" spans="2:14" ht="21.95" customHeight="1" x14ac:dyDescent="0.2">
      <c r="B48" s="246" t="s">
        <v>810</v>
      </c>
      <c r="C48" s="218">
        <v>310</v>
      </c>
      <c r="D48" s="219" t="s">
        <v>248</v>
      </c>
      <c r="E48" s="440">
        <f>SUM(F48:G48)</f>
        <v>0</v>
      </c>
      <c r="F48" s="580"/>
      <c r="G48" s="580"/>
      <c r="H48" s="298"/>
      <c r="J48" s="99"/>
      <c r="K48" s="99"/>
      <c r="L48" s="99"/>
      <c r="M48" s="99"/>
      <c r="N48" s="99"/>
    </row>
    <row r="49" spans="2:14" ht="21.95" customHeight="1" x14ac:dyDescent="0.2">
      <c r="B49" s="246" t="s">
        <v>811</v>
      </c>
      <c r="C49" s="234">
        <v>320</v>
      </c>
      <c r="D49" s="267" t="s">
        <v>248</v>
      </c>
      <c r="E49" s="683">
        <f>SUM(F49:G49)</f>
        <v>0</v>
      </c>
      <c r="F49" s="684"/>
      <c r="G49" s="684"/>
      <c r="H49" s="298"/>
      <c r="J49" s="99"/>
      <c r="K49" s="99"/>
      <c r="L49" s="99"/>
      <c r="M49" s="99"/>
      <c r="N49" s="99"/>
    </row>
    <row r="50" spans="2:14" ht="21.95" customHeight="1" thickBot="1" x14ac:dyDescent="0.25">
      <c r="B50" s="497" t="s">
        <v>358</v>
      </c>
      <c r="C50" s="236">
        <v>330</v>
      </c>
      <c r="D50" s="238" t="s">
        <v>248</v>
      </c>
      <c r="E50" s="502">
        <f>SUM(E47:E49)</f>
        <v>0</v>
      </c>
      <c r="F50" s="502">
        <f>SUM(F47:F49)</f>
        <v>0</v>
      </c>
      <c r="G50" s="502">
        <f>SUM(G47:G49)</f>
        <v>0</v>
      </c>
      <c r="H50" s="570">
        <f>SUM(H47:H49)</f>
        <v>0</v>
      </c>
      <c r="J50" s="99"/>
      <c r="K50" s="99"/>
      <c r="L50" s="99"/>
      <c r="M50" s="99"/>
      <c r="N50" s="99"/>
    </row>
    <row r="51" spans="2:14" ht="13.5" thickTop="1" x14ac:dyDescent="0.2">
      <c r="B51" s="99"/>
      <c r="C51" s="102"/>
      <c r="D51" s="100"/>
      <c r="E51" s="99"/>
      <c r="I51" s="99"/>
      <c r="J51" s="99"/>
      <c r="K51" s="99"/>
      <c r="L51" s="99"/>
      <c r="M51" s="99"/>
      <c r="N51" s="99"/>
    </row>
    <row r="52" spans="2:14" x14ac:dyDescent="0.2">
      <c r="B52" s="99"/>
      <c r="C52" s="102"/>
      <c r="D52" s="100"/>
      <c r="E52" s="99"/>
      <c r="I52" s="99"/>
      <c r="J52" s="99"/>
      <c r="K52" s="99"/>
      <c r="L52" s="99"/>
      <c r="M52" s="99"/>
      <c r="N52" s="99"/>
    </row>
    <row r="53" spans="2:14" x14ac:dyDescent="0.2">
      <c r="D53" s="100"/>
    </row>
    <row r="54" spans="2:14" x14ac:dyDescent="0.2">
      <c r="D54" s="100"/>
    </row>
    <row r="55" spans="2:14" x14ac:dyDescent="0.2">
      <c r="D55" s="100"/>
    </row>
    <row r="56" spans="2:14" x14ac:dyDescent="0.2">
      <c r="D56" s="100"/>
    </row>
    <row r="57" spans="2:14" x14ac:dyDescent="0.2">
      <c r="D57" s="100"/>
    </row>
    <row r="58" spans="2:14" x14ac:dyDescent="0.2">
      <c r="D58" s="100"/>
    </row>
    <row r="59" spans="2:14" x14ac:dyDescent="0.2">
      <c r="D59" s="100"/>
    </row>
    <row r="60" spans="2:14" x14ac:dyDescent="0.2">
      <c r="D60" s="100"/>
    </row>
    <row r="61" spans="2:14" x14ac:dyDescent="0.2">
      <c r="D61" s="100"/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F50:G50 H46:H50 E46:E50 H42:H44 E42:E44 E33 H28:H33 E28:E31 H22:H26 E22:E25 H16:H20 E16:E20 E11:E13 H11:H14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F47:G49 F33:G33 F29:G31 F23:G25 F17:G19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orientation="landscape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B134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3.7109375" customWidth="1"/>
    <col min="2" max="2" width="57.7109375" customWidth="1"/>
    <col min="3" max="4" width="10.140625" customWidth="1"/>
    <col min="5" max="9" width="14.85546875" customWidth="1"/>
    <col min="10" max="10" width="15.85546875" customWidth="1"/>
    <col min="11" max="11" width="16.7109375" hidden="1" customWidth="1"/>
    <col min="12" max="23" width="14.85546875" hidden="1" customWidth="1"/>
    <col min="24" max="24" width="3.140625" hidden="1" customWidth="1"/>
    <col min="25" max="25" width="14.85546875" hidden="1" customWidth="1"/>
    <col min="26" max="26" width="3.140625" hidden="1" customWidth="1"/>
    <col min="27" max="27" width="14.85546875" hidden="1" customWidth="1"/>
    <col min="28" max="28" width="3.140625" hidden="1" customWidth="1"/>
    <col min="29" max="29" width="14.85546875" hidden="1" customWidth="1"/>
    <col min="30" max="30" width="3.140625" hidden="1" customWidth="1"/>
    <col min="31" max="31" width="14.85546875" hidden="1" customWidth="1"/>
    <col min="32" max="32" width="3.140625" hidden="1" customWidth="1"/>
    <col min="33" max="33" width="14.85546875" hidden="1" customWidth="1"/>
    <col min="34" max="34" width="3.140625" hidden="1" customWidth="1"/>
    <col min="35" max="35" width="14.85546875" hidden="1" customWidth="1"/>
    <col min="36" max="36" width="5.5703125" customWidth="1"/>
    <col min="37" max="54" width="2.85546875" hidden="1" customWidth="1"/>
    <col min="55" max="56" width="11.7109375" customWidth="1"/>
  </cols>
  <sheetData>
    <row r="1" spans="1:35" ht="15.75" x14ac:dyDescent="0.25">
      <c r="A1" s="1147" t="s">
        <v>3726</v>
      </c>
      <c r="B1" s="1139" t="str">
        <f>OrgName</f>
        <v>ZZZ NHS TRUST</v>
      </c>
      <c r="C1" s="1122"/>
      <c r="D1" s="1122"/>
      <c r="E1" s="1177" t="str">
        <f>HYPERLINK(CHAR(35)&amp;"1415TRU_Index_P13"&amp;"!A1","GoTo Index tab")</f>
        <v>GoTo Index tab</v>
      </c>
      <c r="N1" s="686"/>
      <c r="O1" s="466"/>
      <c r="P1" s="686"/>
      <c r="X1" s="157"/>
      <c r="Z1" s="157"/>
      <c r="AB1" s="157"/>
      <c r="AD1" s="157"/>
      <c r="AF1" s="157"/>
      <c r="AH1" s="157"/>
    </row>
    <row r="2" spans="1:35" x14ac:dyDescent="0.2">
      <c r="A2" s="1131" t="s">
        <v>3727</v>
      </c>
      <c r="B2" s="1137" t="str">
        <f>"Org Code: " &amp; Orgcode</f>
        <v>Org Code: ZZZ</v>
      </c>
      <c r="C2" s="1119"/>
      <c r="D2" s="1119"/>
      <c r="E2" s="1135"/>
    </row>
    <row r="3" spans="1:35" x14ac:dyDescent="0.2">
      <c r="A3" s="1131" t="s">
        <v>3736</v>
      </c>
      <c r="B3" s="1138" t="s">
        <v>3725</v>
      </c>
      <c r="C3" s="1125"/>
      <c r="D3" s="1125"/>
      <c r="E3" s="1136"/>
    </row>
    <row r="4" spans="1:35" x14ac:dyDescent="0.2">
      <c r="B4" s="97" t="s">
        <v>819</v>
      </c>
    </row>
    <row r="5" spans="1:35" ht="13.5" thickBot="1" x14ac:dyDescent="0.25">
      <c r="B5" s="103" t="s">
        <v>66</v>
      </c>
      <c r="C5" s="157"/>
      <c r="D5" s="157"/>
    </row>
    <row r="6" spans="1:35" ht="14.25" thickTop="1" thickBot="1" x14ac:dyDescent="0.25">
      <c r="C6" s="157"/>
      <c r="D6" s="157"/>
      <c r="E6" s="376" t="s">
        <v>820</v>
      </c>
      <c r="F6" s="377"/>
      <c r="G6" s="377"/>
      <c r="H6" s="377"/>
      <c r="I6" s="377"/>
      <c r="J6" s="376"/>
      <c r="K6" s="377"/>
      <c r="L6" s="634"/>
      <c r="M6" s="377"/>
      <c r="N6" s="377"/>
      <c r="O6" s="377"/>
      <c r="P6" s="377"/>
      <c r="Q6" s="376" t="s">
        <v>821</v>
      </c>
      <c r="R6" s="377"/>
      <c r="S6" s="377"/>
      <c r="T6" s="377"/>
      <c r="U6" s="377"/>
      <c r="V6" s="377"/>
      <c r="W6" s="377"/>
      <c r="Y6" s="377"/>
      <c r="AA6" s="377"/>
      <c r="AC6" s="377"/>
      <c r="AE6" s="377"/>
      <c r="AG6" s="377"/>
      <c r="AI6" s="381"/>
    </row>
    <row r="7" spans="1:35" ht="13.5" thickTop="1" x14ac:dyDescent="0.2">
      <c r="B7" s="242"/>
      <c r="C7" s="195"/>
      <c r="D7" s="195" t="s">
        <v>25</v>
      </c>
      <c r="E7" s="353" t="s">
        <v>235</v>
      </c>
      <c r="F7" s="353" t="s">
        <v>236</v>
      </c>
      <c r="G7" s="353" t="s">
        <v>293</v>
      </c>
      <c r="H7" s="353" t="s">
        <v>294</v>
      </c>
      <c r="I7" s="353" t="s">
        <v>295</v>
      </c>
      <c r="J7" s="710"/>
      <c r="K7" s="353" t="s">
        <v>342</v>
      </c>
      <c r="L7" s="353" t="s">
        <v>297</v>
      </c>
      <c r="M7" s="353" t="s">
        <v>298</v>
      </c>
      <c r="N7" s="687" t="s">
        <v>299</v>
      </c>
      <c r="O7" s="353" t="s">
        <v>360</v>
      </c>
      <c r="P7" s="353" t="s">
        <v>361</v>
      </c>
      <c r="Q7" s="607" t="s">
        <v>362</v>
      </c>
      <c r="R7" s="195" t="s">
        <v>576</v>
      </c>
      <c r="S7" s="353" t="s">
        <v>577</v>
      </c>
      <c r="T7" s="195" t="s">
        <v>578</v>
      </c>
      <c r="U7" s="353" t="s">
        <v>579</v>
      </c>
      <c r="V7" s="195" t="s">
        <v>580</v>
      </c>
      <c r="W7" s="353" t="s">
        <v>581</v>
      </c>
      <c r="X7" s="97" t="s">
        <v>582</v>
      </c>
      <c r="Y7" s="353" t="s">
        <v>583</v>
      </c>
      <c r="Z7" s="97" t="s">
        <v>584</v>
      </c>
      <c r="AA7" s="353" t="s">
        <v>823</v>
      </c>
      <c r="AB7" s="97" t="s">
        <v>824</v>
      </c>
      <c r="AC7" s="353" t="s">
        <v>825</v>
      </c>
      <c r="AD7" s="97" t="s">
        <v>826</v>
      </c>
      <c r="AE7" s="353" t="s">
        <v>827</v>
      </c>
      <c r="AF7" s="97" t="s">
        <v>828</v>
      </c>
      <c r="AG7" s="353" t="s">
        <v>829</v>
      </c>
      <c r="AH7" s="97" t="s">
        <v>830</v>
      </c>
      <c r="AI7" s="293" t="s">
        <v>831</v>
      </c>
    </row>
    <row r="8" spans="1:35" ht="38.25" x14ac:dyDescent="0.2">
      <c r="B8" s="198" t="s">
        <v>837</v>
      </c>
      <c r="C8" s="199"/>
      <c r="D8" s="199"/>
      <c r="E8" s="201" t="s">
        <v>838</v>
      </c>
      <c r="F8" s="201" t="s">
        <v>839</v>
      </c>
      <c r="G8" s="201" t="s">
        <v>352</v>
      </c>
      <c r="H8" s="201" t="s">
        <v>840</v>
      </c>
      <c r="I8" s="201" t="s">
        <v>841</v>
      </c>
      <c r="J8" s="710"/>
      <c r="K8" s="201" t="s">
        <v>842</v>
      </c>
      <c r="L8" s="201" t="s">
        <v>840</v>
      </c>
      <c r="M8" s="201" t="s">
        <v>841</v>
      </c>
      <c r="N8" s="608" t="s">
        <v>843</v>
      </c>
      <c r="O8" s="201" t="s">
        <v>844</v>
      </c>
      <c r="P8" s="201" t="s">
        <v>845</v>
      </c>
      <c r="Q8" s="608" t="s">
        <v>846</v>
      </c>
      <c r="R8" s="201" t="s">
        <v>847</v>
      </c>
      <c r="S8" s="201" t="s">
        <v>848</v>
      </c>
      <c r="T8" s="201" t="s">
        <v>849</v>
      </c>
      <c r="U8" s="201" t="s">
        <v>850</v>
      </c>
      <c r="V8" s="201" t="s">
        <v>851</v>
      </c>
      <c r="W8" s="201" t="s">
        <v>852</v>
      </c>
      <c r="X8" s="97" t="s">
        <v>592</v>
      </c>
      <c r="Y8" s="201" t="s">
        <v>853</v>
      </c>
      <c r="Z8" s="97" t="s">
        <v>594</v>
      </c>
      <c r="AA8" s="201" t="s">
        <v>854</v>
      </c>
      <c r="AB8" s="97" t="s">
        <v>596</v>
      </c>
      <c r="AC8" s="201" t="s">
        <v>855</v>
      </c>
      <c r="AD8" s="97" t="s">
        <v>598</v>
      </c>
      <c r="AE8" s="201" t="s">
        <v>856</v>
      </c>
      <c r="AF8" s="97" t="s">
        <v>600</v>
      </c>
      <c r="AG8" s="201" t="s">
        <v>857</v>
      </c>
      <c r="AH8" s="97" t="s">
        <v>602</v>
      </c>
      <c r="AI8" s="202" t="s">
        <v>858</v>
      </c>
    </row>
    <row r="9" spans="1:35" ht="13.5" thickBot="1" x14ac:dyDescent="0.25">
      <c r="B9" s="198"/>
      <c r="C9" s="199" t="s">
        <v>238</v>
      </c>
      <c r="D9" s="199"/>
      <c r="E9" s="201"/>
      <c r="F9" s="201"/>
      <c r="G9" s="201"/>
      <c r="H9" s="201"/>
      <c r="I9" s="201"/>
      <c r="J9" s="710"/>
      <c r="K9" s="201"/>
      <c r="L9" s="201"/>
      <c r="M9" s="201"/>
      <c r="N9" s="608" t="s">
        <v>861</v>
      </c>
      <c r="O9" s="201" t="s">
        <v>861</v>
      </c>
      <c r="P9" s="201" t="s">
        <v>861</v>
      </c>
      <c r="Q9" s="608"/>
      <c r="R9" s="201"/>
      <c r="S9" s="201"/>
      <c r="T9" s="199"/>
      <c r="U9" s="201"/>
      <c r="V9" s="199"/>
      <c r="W9" s="201"/>
      <c r="X9" s="97"/>
      <c r="Y9" s="201"/>
      <c r="Z9" s="97"/>
      <c r="AA9" s="201"/>
      <c r="AB9" s="97"/>
      <c r="AC9" s="201"/>
      <c r="AD9" s="97"/>
      <c r="AE9" s="201"/>
      <c r="AF9" s="97"/>
      <c r="AG9" s="201"/>
      <c r="AH9" s="97"/>
      <c r="AI9" s="202"/>
    </row>
    <row r="10" spans="1:35" ht="13.5" thickBot="1" x14ac:dyDescent="0.25">
      <c r="B10" s="198"/>
      <c r="C10" s="204" t="s">
        <v>242</v>
      </c>
      <c r="D10" s="204"/>
      <c r="E10" s="278" t="s">
        <v>243</v>
      </c>
      <c r="F10" s="278" t="s">
        <v>243</v>
      </c>
      <c r="G10" s="278" t="s">
        <v>243</v>
      </c>
      <c r="H10" s="278" t="s">
        <v>243</v>
      </c>
      <c r="I10" s="278" t="s">
        <v>243</v>
      </c>
      <c r="J10" s="318"/>
      <c r="K10" s="278" t="s">
        <v>243</v>
      </c>
      <c r="L10" s="278" t="s">
        <v>243</v>
      </c>
      <c r="M10" s="278" t="s">
        <v>243</v>
      </c>
      <c r="N10" s="688" t="s">
        <v>243</v>
      </c>
      <c r="O10" s="278" t="s">
        <v>243</v>
      </c>
      <c r="P10" s="278" t="s">
        <v>243</v>
      </c>
      <c r="Q10" s="609" t="s">
        <v>243</v>
      </c>
      <c r="R10" s="204" t="s">
        <v>243</v>
      </c>
      <c r="S10" s="278" t="s">
        <v>243</v>
      </c>
      <c r="T10" s="204" t="s">
        <v>243</v>
      </c>
      <c r="U10" s="278" t="s">
        <v>243</v>
      </c>
      <c r="V10" s="204" t="s">
        <v>243</v>
      </c>
      <c r="W10" s="278" t="s">
        <v>243</v>
      </c>
      <c r="X10" s="97" t="s">
        <v>243</v>
      </c>
      <c r="Y10" s="278" t="s">
        <v>243</v>
      </c>
      <c r="Z10" s="97" t="s">
        <v>243</v>
      </c>
      <c r="AA10" s="278" t="s">
        <v>243</v>
      </c>
      <c r="AB10" s="97" t="s">
        <v>243</v>
      </c>
      <c r="AC10" s="278" t="s">
        <v>243</v>
      </c>
      <c r="AD10" s="97" t="s">
        <v>243</v>
      </c>
      <c r="AE10" s="278" t="s">
        <v>243</v>
      </c>
      <c r="AF10" s="97" t="s">
        <v>243</v>
      </c>
      <c r="AG10" s="278" t="s">
        <v>243</v>
      </c>
      <c r="AH10" s="97" t="s">
        <v>243</v>
      </c>
      <c r="AI10" s="202" t="s">
        <v>243</v>
      </c>
    </row>
    <row r="11" spans="1:35" ht="21.95" customHeight="1" x14ac:dyDescent="0.2">
      <c r="B11" s="189" t="s">
        <v>862</v>
      </c>
      <c r="C11" s="207">
        <v>100</v>
      </c>
      <c r="D11" s="206" t="s">
        <v>248</v>
      </c>
      <c r="E11" s="281">
        <f>F11+G11</f>
        <v>0</v>
      </c>
      <c r="F11" s="689"/>
      <c r="G11" s="281">
        <f>H11+I11</f>
        <v>0</v>
      </c>
      <c r="H11" s="689"/>
      <c r="I11" s="689"/>
      <c r="J11" s="331"/>
      <c r="K11" s="209">
        <f>F11-O11</f>
        <v>0</v>
      </c>
      <c r="L11" s="209">
        <f>H11</f>
        <v>0</v>
      </c>
      <c r="M11" s="209">
        <f>I11-P11</f>
        <v>0</v>
      </c>
      <c r="N11" s="690">
        <f>O11+P11</f>
        <v>0</v>
      </c>
      <c r="O11" s="356"/>
      <c r="P11" s="356"/>
      <c r="Q11" s="611"/>
      <c r="R11" s="356"/>
      <c r="S11" s="356"/>
      <c r="T11" s="356"/>
      <c r="U11" s="356"/>
      <c r="V11" s="356"/>
      <c r="W11" s="356"/>
      <c r="Y11" s="356"/>
      <c r="AA11" s="356"/>
      <c r="AC11" s="356"/>
      <c r="AE11" s="356"/>
      <c r="AG11" s="356"/>
      <c r="AI11" s="295"/>
    </row>
    <row r="12" spans="1:35" ht="21.95" customHeight="1" x14ac:dyDescent="0.2">
      <c r="B12" s="213" t="s">
        <v>863</v>
      </c>
      <c r="C12" s="218">
        <v>110</v>
      </c>
      <c r="D12" s="217" t="s">
        <v>248</v>
      </c>
      <c r="E12" s="338">
        <f>F12+G12</f>
        <v>0</v>
      </c>
      <c r="F12" s="338">
        <f>Q12</f>
        <v>0</v>
      </c>
      <c r="G12" s="338">
        <f>H12+I12</f>
        <v>0</v>
      </c>
      <c r="H12" s="334"/>
      <c r="I12" s="561"/>
      <c r="J12" s="331"/>
      <c r="K12" s="338">
        <f>F12-O12</f>
        <v>0</v>
      </c>
      <c r="L12" s="334"/>
      <c r="M12" s="220">
        <f>I12-P12</f>
        <v>0</v>
      </c>
      <c r="N12" s="616">
        <f>O12+P12</f>
        <v>0</v>
      </c>
      <c r="O12" s="334"/>
      <c r="P12" s="334"/>
      <c r="Q12" s="618"/>
      <c r="R12" s="334"/>
      <c r="S12" s="228"/>
      <c r="T12" s="228"/>
      <c r="U12" s="228"/>
      <c r="V12" s="228"/>
      <c r="W12" s="228"/>
      <c r="Y12" s="228"/>
      <c r="AA12" s="228"/>
      <c r="AC12" s="228"/>
      <c r="AE12" s="228"/>
      <c r="AG12" s="228"/>
      <c r="AI12" s="297"/>
    </row>
    <row r="13" spans="1:35" ht="21.95" customHeight="1" x14ac:dyDescent="0.2">
      <c r="B13" s="213" t="s">
        <v>864</v>
      </c>
      <c r="C13" s="218">
        <v>120</v>
      </c>
      <c r="D13" s="217" t="s">
        <v>248</v>
      </c>
      <c r="E13" s="338">
        <f>F13+G13</f>
        <v>0</v>
      </c>
      <c r="F13" s="338">
        <f>Q13</f>
        <v>0</v>
      </c>
      <c r="G13" s="338">
        <f>H13+I13</f>
        <v>0</v>
      </c>
      <c r="H13" s="334"/>
      <c r="I13" s="561"/>
      <c r="J13" s="395"/>
      <c r="K13" s="338">
        <f>F13-O13</f>
        <v>0</v>
      </c>
      <c r="L13" s="334"/>
      <c r="M13" s="338">
        <f>I13-P13</f>
        <v>0</v>
      </c>
      <c r="N13" s="616">
        <f>O13+P13</f>
        <v>0</v>
      </c>
      <c r="O13" s="334"/>
      <c r="P13" s="334"/>
      <c r="Q13" s="618"/>
      <c r="R13" s="334"/>
      <c r="S13" s="228"/>
      <c r="T13" s="228"/>
      <c r="U13" s="228"/>
      <c r="V13" s="228"/>
      <c r="W13" s="228"/>
      <c r="Y13" s="228"/>
      <c r="AA13" s="228"/>
      <c r="AC13" s="228"/>
      <c r="AE13" s="228"/>
      <c r="AG13" s="228"/>
      <c r="AI13" s="297"/>
    </row>
    <row r="14" spans="1:35" ht="21.95" customHeight="1" x14ac:dyDescent="0.2">
      <c r="B14" s="214" t="s">
        <v>865</v>
      </c>
      <c r="C14" s="218">
        <v>130</v>
      </c>
      <c r="D14" s="217" t="s">
        <v>248</v>
      </c>
      <c r="E14" s="338">
        <f>F14+G14</f>
        <v>0</v>
      </c>
      <c r="F14" s="561"/>
      <c r="G14" s="338">
        <f>H14+I14</f>
        <v>0</v>
      </c>
      <c r="H14" s="334"/>
      <c r="I14" s="561"/>
      <c r="J14" s="331"/>
      <c r="K14" s="338">
        <f>F14-O14</f>
        <v>0</v>
      </c>
      <c r="L14" s="334"/>
      <c r="M14" s="338">
        <f>I14-P14</f>
        <v>0</v>
      </c>
      <c r="N14" s="616">
        <f>O14+P14</f>
        <v>0</v>
      </c>
      <c r="O14" s="334"/>
      <c r="P14" s="334"/>
      <c r="Q14" s="618"/>
      <c r="R14" s="334"/>
      <c r="S14" s="228"/>
      <c r="T14" s="228"/>
      <c r="U14" s="228"/>
      <c r="V14" s="228"/>
      <c r="W14" s="228"/>
      <c r="Y14" s="228"/>
      <c r="AA14" s="228"/>
      <c r="AC14" s="228"/>
      <c r="AE14" s="228"/>
      <c r="AG14" s="228"/>
      <c r="AI14" s="296"/>
    </row>
    <row r="15" spans="1:35" hidden="1" x14ac:dyDescent="0.2">
      <c r="A15" s="99"/>
      <c r="B15" t="s">
        <v>866</v>
      </c>
      <c r="C15" s="172">
        <v>140</v>
      </c>
      <c r="D15" s="157" t="s">
        <v>248</v>
      </c>
      <c r="E15" s="97"/>
      <c r="F15" s="97"/>
      <c r="G15" s="97"/>
      <c r="J15" s="331"/>
      <c r="N15" s="97"/>
    </row>
    <row r="16" spans="1:35" hidden="1" x14ac:dyDescent="0.2">
      <c r="A16" s="99"/>
      <c r="B16" t="s">
        <v>867</v>
      </c>
      <c r="C16" s="172">
        <v>150</v>
      </c>
      <c r="D16" s="157" t="s">
        <v>251</v>
      </c>
      <c r="E16" s="97"/>
      <c r="F16" s="97"/>
      <c r="G16" s="97"/>
      <c r="J16" s="331"/>
      <c r="N16" s="97"/>
    </row>
    <row r="17" spans="1:35" ht="21.95" customHeight="1" x14ac:dyDescent="0.2">
      <c r="B17" s="188" t="s">
        <v>868</v>
      </c>
      <c r="C17" s="251">
        <v>160</v>
      </c>
      <c r="D17" s="250" t="s">
        <v>248</v>
      </c>
      <c r="E17" s="337">
        <f>F17+G17</f>
        <v>0</v>
      </c>
      <c r="F17" s="691"/>
      <c r="G17" s="337">
        <f>H17+I17</f>
        <v>0</v>
      </c>
      <c r="H17" s="622"/>
      <c r="I17" s="691"/>
      <c r="J17" s="331"/>
      <c r="K17" s="337">
        <f>F17-O17</f>
        <v>0</v>
      </c>
      <c r="L17" s="622"/>
      <c r="M17" s="253">
        <f>I17-P17</f>
        <v>0</v>
      </c>
      <c r="N17" s="629">
        <f>O17+P17</f>
        <v>0</v>
      </c>
      <c r="O17" s="422"/>
      <c r="P17" s="422"/>
      <c r="Q17" s="692"/>
      <c r="R17" s="622"/>
      <c r="S17" s="422"/>
      <c r="T17" s="422"/>
      <c r="U17" s="422"/>
      <c r="V17" s="422"/>
      <c r="W17" s="422"/>
      <c r="Y17" s="422"/>
      <c r="AA17" s="422"/>
      <c r="AC17" s="422"/>
      <c r="AE17" s="422"/>
      <c r="AG17" s="422"/>
      <c r="AI17" s="694"/>
    </row>
    <row r="18" spans="1:35" ht="21.95" customHeight="1" thickBot="1" x14ac:dyDescent="0.25">
      <c r="B18" s="693" t="s">
        <v>869</v>
      </c>
      <c r="C18" s="289">
        <v>170</v>
      </c>
      <c r="D18" s="288" t="s">
        <v>248</v>
      </c>
      <c r="E18" s="342">
        <f t="shared" ref="E18:W18" si="0">SUM(E11:E17)</f>
        <v>0</v>
      </c>
      <c r="F18" s="342">
        <f t="shared" si="0"/>
        <v>0</v>
      </c>
      <c r="G18" s="342">
        <f t="shared" si="0"/>
        <v>0</v>
      </c>
      <c r="H18" s="342">
        <f t="shared" si="0"/>
        <v>0</v>
      </c>
      <c r="I18" s="342">
        <f t="shared" si="0"/>
        <v>0</v>
      </c>
      <c r="J18" s="331"/>
      <c r="K18" s="342">
        <f t="shared" si="0"/>
        <v>0</v>
      </c>
      <c r="L18" s="342">
        <f t="shared" si="0"/>
        <v>0</v>
      </c>
      <c r="M18" s="342">
        <f t="shared" si="0"/>
        <v>0</v>
      </c>
      <c r="N18" s="643">
        <f t="shared" si="0"/>
        <v>0</v>
      </c>
      <c r="O18" s="342">
        <f t="shared" si="0"/>
        <v>0</v>
      </c>
      <c r="P18" s="342">
        <f t="shared" si="0"/>
        <v>0</v>
      </c>
      <c r="Q18" s="643">
        <f t="shared" si="0"/>
        <v>0</v>
      </c>
      <c r="R18" s="342">
        <f t="shared" si="0"/>
        <v>0</v>
      </c>
      <c r="S18" s="342">
        <f t="shared" si="0"/>
        <v>0</v>
      </c>
      <c r="T18" s="342">
        <f t="shared" si="0"/>
        <v>0</v>
      </c>
      <c r="U18" s="342">
        <f t="shared" si="0"/>
        <v>0</v>
      </c>
      <c r="V18" s="342">
        <f t="shared" si="0"/>
        <v>0</v>
      </c>
      <c r="W18" s="342">
        <f t="shared" si="0"/>
        <v>0</v>
      </c>
      <c r="X18" s="97"/>
      <c r="Y18" s="342">
        <f>SUM(Y11:Y17)</f>
        <v>0</v>
      </c>
      <c r="Z18" s="97"/>
      <c r="AA18" s="342">
        <f>SUM(AA11:AA17)</f>
        <v>0</v>
      </c>
      <c r="AB18" s="97"/>
      <c r="AC18" s="342">
        <f>SUM(AC11:AC17)</f>
        <v>0</v>
      </c>
      <c r="AD18" s="97"/>
      <c r="AE18" s="342">
        <f>SUM(AE11:AE17)</f>
        <v>0</v>
      </c>
      <c r="AF18" s="97"/>
      <c r="AG18" s="342">
        <f>SUM(AG11:AG17)</f>
        <v>0</v>
      </c>
      <c r="AH18" s="97"/>
      <c r="AI18" s="695">
        <f>SUM(AI11:AI17)</f>
        <v>0</v>
      </c>
    </row>
    <row r="19" spans="1:35" ht="13.5" hidden="1" thickTop="1" x14ac:dyDescent="0.2">
      <c r="A19" s="99"/>
      <c r="B19" s="97" t="s">
        <v>870</v>
      </c>
      <c r="C19" s="172">
        <v>180</v>
      </c>
      <c r="D19" s="157" t="s">
        <v>245</v>
      </c>
      <c r="E19" s="97"/>
      <c r="F19" s="97"/>
      <c r="G19" s="97"/>
      <c r="J19" s="331"/>
      <c r="K19" s="97"/>
      <c r="M19" s="97"/>
      <c r="N19" s="97"/>
      <c r="O19" s="97"/>
      <c r="P19" s="97"/>
      <c r="Q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</row>
    <row r="20" spans="1:35" ht="13.5" hidden="1" thickTop="1" x14ac:dyDescent="0.2">
      <c r="A20" s="99"/>
      <c r="B20" s="97" t="s">
        <v>871</v>
      </c>
      <c r="C20" s="172">
        <v>190</v>
      </c>
      <c r="D20" s="157" t="s">
        <v>248</v>
      </c>
      <c r="E20" s="97"/>
      <c r="F20" s="97"/>
      <c r="G20" s="97"/>
      <c r="J20" s="331"/>
      <c r="K20" s="97"/>
      <c r="M20" s="97"/>
      <c r="N20" s="97"/>
      <c r="O20" s="97"/>
      <c r="P20" s="97"/>
      <c r="Q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5" ht="21.95" customHeight="1" thickTop="1" x14ac:dyDescent="0.2">
      <c r="B21" s="188" t="s">
        <v>872</v>
      </c>
      <c r="C21" s="417"/>
      <c r="D21" s="418"/>
      <c r="E21" s="698"/>
      <c r="F21" s="419"/>
      <c r="G21" s="419"/>
      <c r="H21" s="419"/>
      <c r="I21" s="419"/>
      <c r="J21" s="331"/>
      <c r="AI21" s="379"/>
    </row>
    <row r="22" spans="1:35" ht="21.95" customHeight="1" x14ac:dyDescent="0.2">
      <c r="B22" s="188" t="s">
        <v>873</v>
      </c>
      <c r="C22" s="199">
        <v>200</v>
      </c>
      <c r="D22" s="131" t="s">
        <v>248</v>
      </c>
      <c r="E22" s="699">
        <f>F22+G22</f>
        <v>0</v>
      </c>
      <c r="F22" s="700"/>
      <c r="G22" s="699">
        <f>H22+I22</f>
        <v>0</v>
      </c>
      <c r="H22" s="700"/>
      <c r="I22" s="700"/>
      <c r="J22" s="331"/>
      <c r="N22" s="97"/>
      <c r="AI22" s="379"/>
    </row>
    <row r="23" spans="1:35" ht="21.95" customHeight="1" thickBot="1" x14ac:dyDescent="0.25">
      <c r="B23" s="233" t="s">
        <v>874</v>
      </c>
      <c r="C23" s="236">
        <v>210</v>
      </c>
      <c r="D23" s="235" t="s">
        <v>248</v>
      </c>
      <c r="E23" s="240">
        <f>E18-E22</f>
        <v>0</v>
      </c>
      <c r="F23" s="240">
        <f>F18-F22</f>
        <v>0</v>
      </c>
      <c r="G23" s="240">
        <f>G18-G22</f>
        <v>0</v>
      </c>
      <c r="H23" s="240">
        <f>H18-H22</f>
        <v>0</v>
      </c>
      <c r="I23" s="240">
        <f>I18-I22</f>
        <v>0</v>
      </c>
      <c r="J23" s="331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97"/>
      <c r="Y23" s="702"/>
      <c r="Z23" s="97"/>
      <c r="AA23" s="702"/>
      <c r="AB23" s="97"/>
      <c r="AC23" s="702"/>
      <c r="AD23" s="97"/>
      <c r="AE23" s="702"/>
      <c r="AF23" s="97"/>
      <c r="AG23" s="702"/>
      <c r="AH23" s="97"/>
      <c r="AI23" s="703"/>
    </row>
    <row r="24" spans="1:35" ht="13.5" hidden="1" thickTop="1" x14ac:dyDescent="0.2">
      <c r="A24" s="99"/>
      <c r="B24" t="s">
        <v>872</v>
      </c>
      <c r="C24" s="172"/>
      <c r="D24" s="157"/>
      <c r="E24" s="97"/>
    </row>
    <row r="25" spans="1:35" ht="13.5" hidden="1" thickTop="1" x14ac:dyDescent="0.2">
      <c r="A25" s="99"/>
      <c r="B25" t="s">
        <v>875</v>
      </c>
      <c r="C25" s="172">
        <v>220</v>
      </c>
      <c r="D25" s="157" t="s">
        <v>248</v>
      </c>
      <c r="E25" s="97"/>
      <c r="J25" s="97"/>
      <c r="N25" s="97"/>
    </row>
    <row r="26" spans="1:35" ht="13.5" hidden="1" thickTop="1" x14ac:dyDescent="0.2">
      <c r="A26" s="99"/>
      <c r="B26" t="s">
        <v>876</v>
      </c>
      <c r="C26" s="172">
        <v>230</v>
      </c>
      <c r="D26" s="157" t="s">
        <v>248</v>
      </c>
      <c r="E26" s="108"/>
    </row>
    <row r="27" spans="1:35" ht="13.5" hidden="1" thickTop="1" x14ac:dyDescent="0.2">
      <c r="A27" s="99"/>
      <c r="B27" s="97" t="s">
        <v>877</v>
      </c>
      <c r="C27" s="172">
        <v>240</v>
      </c>
      <c r="D27" s="157" t="s">
        <v>248</v>
      </c>
      <c r="E27" s="97"/>
      <c r="F27" s="97"/>
      <c r="G27" s="97"/>
      <c r="J27" s="97"/>
      <c r="K27" s="97"/>
      <c r="M27" s="97"/>
      <c r="N27" s="97"/>
      <c r="O27" s="97"/>
      <c r="P27" s="97"/>
      <c r="Q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</row>
    <row r="28" spans="1:35" ht="21.95" hidden="1" customHeight="1" thickTop="1" thickBot="1" x14ac:dyDescent="0.25">
      <c r="B28" s="424" t="s">
        <v>878</v>
      </c>
      <c r="C28" s="426">
        <v>220</v>
      </c>
      <c r="D28" s="425" t="s">
        <v>248</v>
      </c>
      <c r="E28" s="704"/>
      <c r="F28" s="704"/>
      <c r="G28" s="704"/>
      <c r="H28" s="704"/>
      <c r="I28" s="704"/>
      <c r="J28" s="705"/>
      <c r="K28" s="704"/>
      <c r="L28" s="704"/>
      <c r="M28" s="704"/>
      <c r="N28" s="705"/>
      <c r="O28" s="704"/>
      <c r="P28" s="704"/>
      <c r="Q28" s="706"/>
      <c r="R28" s="704"/>
      <c r="S28" s="752">
        <f>'1415TRU06_EXP_P13'!I70</f>
        <v>0</v>
      </c>
      <c r="T28" s="752">
        <f>'1415TRU06_EXP_P13'!J70</f>
        <v>0</v>
      </c>
      <c r="U28" s="752">
        <f>'1415TRU06_EXP_P13'!K70</f>
        <v>0</v>
      </c>
      <c r="V28" s="752">
        <f>'1415TRU06_EXP_P13'!L70</f>
        <v>0</v>
      </c>
      <c r="W28" s="752">
        <f>'1415TRU06_EXP_P13'!M70</f>
        <v>0</v>
      </c>
      <c r="Y28" s="752">
        <f>'1415TRU06_EXP_P13'!O70</f>
        <v>0</v>
      </c>
      <c r="AA28" s="752">
        <f>'1415TRU06_EXP_P13'!Q70</f>
        <v>0</v>
      </c>
      <c r="AC28" s="752">
        <f>'1415TRU06_EXP_P13'!S70</f>
        <v>0</v>
      </c>
      <c r="AE28" s="752">
        <f>'1415TRU06_EXP_P13'!U70</f>
        <v>0</v>
      </c>
      <c r="AG28" s="752">
        <f>'1415TRU06_EXP_P13'!W70</f>
        <v>0</v>
      </c>
      <c r="AI28" s="753">
        <f>'1415TRU06_EXP_P13'!Y70</f>
        <v>0</v>
      </c>
    </row>
    <row r="29" spans="1:35" ht="13.5" thickTop="1" x14ac:dyDescent="0.2">
      <c r="C29" s="157"/>
      <c r="D29" s="157"/>
    </row>
    <row r="30" spans="1:35" hidden="1" x14ac:dyDescent="0.2">
      <c r="A30" s="99"/>
    </row>
    <row r="31" spans="1:35" hidden="1" x14ac:dyDescent="0.2">
      <c r="A31" s="423"/>
      <c r="B31" s="97"/>
      <c r="C31" s="97"/>
      <c r="D31" s="172" t="s">
        <v>25</v>
      </c>
      <c r="E31" s="97" t="s">
        <v>235</v>
      </c>
      <c r="F31" s="97" t="s">
        <v>236</v>
      </c>
      <c r="G31" s="97" t="s">
        <v>293</v>
      </c>
      <c r="J31" s="97"/>
      <c r="K31" s="97"/>
      <c r="M31" s="97"/>
      <c r="N31" s="97"/>
      <c r="O31" s="97"/>
      <c r="P31" s="97"/>
      <c r="Q31" s="97" t="s">
        <v>362</v>
      </c>
      <c r="S31" s="97" t="s">
        <v>577</v>
      </c>
      <c r="T31" s="97" t="s">
        <v>578</v>
      </c>
      <c r="U31" s="97" t="s">
        <v>579</v>
      </c>
      <c r="V31" s="97" t="s">
        <v>580</v>
      </c>
      <c r="W31" s="97" t="s">
        <v>581</v>
      </c>
      <c r="X31" s="97" t="s">
        <v>582</v>
      </c>
      <c r="Y31" s="97" t="s">
        <v>583</v>
      </c>
      <c r="Z31" s="97" t="s">
        <v>584</v>
      </c>
      <c r="AA31" s="97" t="s">
        <v>823</v>
      </c>
      <c r="AB31" s="97" t="s">
        <v>824</v>
      </c>
      <c r="AC31" s="97" t="s">
        <v>825</v>
      </c>
      <c r="AD31" s="97" t="s">
        <v>826</v>
      </c>
      <c r="AE31" s="97" t="s">
        <v>827</v>
      </c>
      <c r="AF31" s="97" t="s">
        <v>828</v>
      </c>
      <c r="AG31" s="97" t="s">
        <v>829</v>
      </c>
      <c r="AH31" s="97" t="s">
        <v>830</v>
      </c>
      <c r="AI31" s="97" t="s">
        <v>831</v>
      </c>
    </row>
    <row r="32" spans="1:35" hidden="1" x14ac:dyDescent="0.2">
      <c r="A32" s="423"/>
      <c r="B32" s="97" t="s">
        <v>879</v>
      </c>
      <c r="C32" s="97"/>
      <c r="D32" s="97"/>
      <c r="E32" s="97" t="s">
        <v>880</v>
      </c>
      <c r="F32" s="97" t="s">
        <v>839</v>
      </c>
      <c r="G32" s="97" t="s">
        <v>881</v>
      </c>
      <c r="J32" s="97"/>
      <c r="K32" s="97"/>
      <c r="M32" s="97"/>
      <c r="N32" s="97"/>
      <c r="O32" s="97"/>
      <c r="P32" s="97"/>
      <c r="Q32" s="97" t="s">
        <v>846</v>
      </c>
      <c r="S32" s="97" t="s">
        <v>848</v>
      </c>
      <c r="T32" s="97" t="s">
        <v>849</v>
      </c>
      <c r="U32" s="97" t="s">
        <v>850</v>
      </c>
      <c r="V32" s="97" t="s">
        <v>851</v>
      </c>
      <c r="W32" s="97" t="s">
        <v>852</v>
      </c>
      <c r="X32" s="97" t="s">
        <v>592</v>
      </c>
      <c r="Y32" s="97" t="s">
        <v>853</v>
      </c>
      <c r="Z32" s="97" t="s">
        <v>594</v>
      </c>
      <c r="AA32" s="97" t="s">
        <v>854</v>
      </c>
      <c r="AB32" s="97" t="s">
        <v>596</v>
      </c>
      <c r="AC32" s="97" t="s">
        <v>855</v>
      </c>
      <c r="AD32" s="97" t="s">
        <v>598</v>
      </c>
      <c r="AE32" s="97" t="s">
        <v>856</v>
      </c>
      <c r="AF32" s="97" t="s">
        <v>600</v>
      </c>
      <c r="AG32" s="97" t="s">
        <v>857</v>
      </c>
      <c r="AH32" s="97" t="s">
        <v>602</v>
      </c>
      <c r="AI32" s="97" t="s">
        <v>858</v>
      </c>
    </row>
    <row r="33" spans="1:35" hidden="1" x14ac:dyDescent="0.2">
      <c r="A33" s="423"/>
      <c r="B33" s="97"/>
      <c r="C33" s="172" t="s">
        <v>238</v>
      </c>
      <c r="D33" s="97"/>
      <c r="E33" s="97" t="s">
        <v>882</v>
      </c>
      <c r="F33" s="97" t="s">
        <v>882</v>
      </c>
      <c r="G33" s="97" t="s">
        <v>882</v>
      </c>
      <c r="J33" s="97"/>
      <c r="K33" s="97"/>
      <c r="M33" s="97"/>
      <c r="N33" s="97"/>
      <c r="O33" s="97"/>
      <c r="P33" s="97"/>
      <c r="Q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</row>
    <row r="34" spans="1:35" hidden="1" x14ac:dyDescent="0.2">
      <c r="A34" s="423"/>
      <c r="B34" s="97"/>
      <c r="C34" s="172" t="s">
        <v>242</v>
      </c>
      <c r="D34" s="97"/>
      <c r="E34" s="97" t="s">
        <v>243</v>
      </c>
      <c r="F34" s="97" t="s">
        <v>243</v>
      </c>
      <c r="G34" s="97" t="s">
        <v>243</v>
      </c>
      <c r="J34" s="97"/>
      <c r="K34" s="97"/>
      <c r="M34" s="97"/>
      <c r="N34" s="97"/>
      <c r="O34" s="97"/>
      <c r="P34" s="97"/>
      <c r="Q34" s="97" t="s">
        <v>243</v>
      </c>
      <c r="S34" s="97" t="s">
        <v>243</v>
      </c>
      <c r="T34" s="97" t="s">
        <v>243</v>
      </c>
      <c r="U34" s="97" t="s">
        <v>243</v>
      </c>
      <c r="V34" s="97" t="s">
        <v>243</v>
      </c>
      <c r="W34" s="97" t="s">
        <v>243</v>
      </c>
      <c r="X34" s="97" t="s">
        <v>243</v>
      </c>
      <c r="Y34" s="97" t="s">
        <v>243</v>
      </c>
      <c r="Z34" s="97" t="s">
        <v>243</v>
      </c>
      <c r="AA34" s="97" t="s">
        <v>243</v>
      </c>
      <c r="AB34" s="97" t="s">
        <v>243</v>
      </c>
      <c r="AC34" s="97" t="s">
        <v>243</v>
      </c>
      <c r="AD34" s="97" t="s">
        <v>243</v>
      </c>
      <c r="AE34" s="97" t="s">
        <v>243</v>
      </c>
      <c r="AF34" s="97" t="s">
        <v>243</v>
      </c>
      <c r="AG34" s="97" t="s">
        <v>243</v>
      </c>
      <c r="AH34" s="97" t="s">
        <v>243</v>
      </c>
      <c r="AI34" s="97" t="s">
        <v>243</v>
      </c>
    </row>
    <row r="35" spans="1:35" hidden="1" x14ac:dyDescent="0.2">
      <c r="A35" s="99"/>
      <c r="B35" t="s">
        <v>862</v>
      </c>
      <c r="C35" s="172">
        <v>250</v>
      </c>
      <c r="D35" s="157" t="s">
        <v>248</v>
      </c>
      <c r="E35" s="97"/>
      <c r="F35" s="97"/>
      <c r="G35" s="97"/>
      <c r="J35" s="97"/>
      <c r="N35" s="97"/>
    </row>
    <row r="36" spans="1:35" hidden="1" x14ac:dyDescent="0.2">
      <c r="A36" s="99"/>
      <c r="B36" t="s">
        <v>863</v>
      </c>
      <c r="C36" s="172">
        <v>260</v>
      </c>
      <c r="D36" s="157" t="s">
        <v>248</v>
      </c>
      <c r="E36" s="97"/>
      <c r="F36" s="97"/>
      <c r="G36" s="97"/>
      <c r="J36" s="97"/>
      <c r="N36" s="97"/>
    </row>
    <row r="37" spans="1:35" hidden="1" x14ac:dyDescent="0.2">
      <c r="A37" s="99"/>
      <c r="B37" t="s">
        <v>883</v>
      </c>
      <c r="C37" s="172">
        <v>270</v>
      </c>
      <c r="D37" s="157" t="s">
        <v>248</v>
      </c>
      <c r="E37" s="97"/>
      <c r="F37" s="97"/>
      <c r="G37" s="97"/>
      <c r="J37" s="97"/>
      <c r="N37" s="97"/>
    </row>
    <row r="38" spans="1:35" hidden="1" x14ac:dyDescent="0.2">
      <c r="A38" s="99"/>
      <c r="B38" t="s">
        <v>865</v>
      </c>
      <c r="C38" s="172">
        <v>280</v>
      </c>
      <c r="D38" s="157" t="s">
        <v>248</v>
      </c>
      <c r="E38" s="97"/>
      <c r="F38" s="97"/>
      <c r="G38" s="97"/>
      <c r="J38" s="97"/>
      <c r="N38" s="97"/>
    </row>
    <row r="39" spans="1:35" hidden="1" x14ac:dyDescent="0.2">
      <c r="A39" s="99"/>
      <c r="B39" t="s">
        <v>866</v>
      </c>
      <c r="C39" s="172">
        <v>290</v>
      </c>
      <c r="D39" s="157" t="s">
        <v>248</v>
      </c>
      <c r="E39" s="97"/>
      <c r="F39" s="97"/>
      <c r="G39" s="97"/>
      <c r="J39" s="97"/>
      <c r="N39" s="97"/>
    </row>
    <row r="40" spans="1:35" hidden="1" x14ac:dyDescent="0.2">
      <c r="A40" s="99"/>
      <c r="B40" t="s">
        <v>867</v>
      </c>
      <c r="C40" s="172">
        <v>300</v>
      </c>
      <c r="D40" s="157" t="s">
        <v>251</v>
      </c>
      <c r="E40" s="97"/>
      <c r="F40" s="97"/>
      <c r="G40" s="97"/>
      <c r="J40" s="97"/>
      <c r="N40" s="97"/>
    </row>
    <row r="41" spans="1:35" hidden="1" x14ac:dyDescent="0.2">
      <c r="A41" s="99"/>
      <c r="B41" t="s">
        <v>868</v>
      </c>
      <c r="C41" s="172">
        <v>310</v>
      </c>
      <c r="D41" s="157" t="s">
        <v>248</v>
      </c>
      <c r="E41" s="97"/>
      <c r="F41" s="97"/>
      <c r="G41" s="97"/>
      <c r="J41" s="97"/>
      <c r="N41" s="97"/>
    </row>
    <row r="42" spans="1:35" hidden="1" x14ac:dyDescent="0.2">
      <c r="A42" s="99"/>
      <c r="B42" s="97" t="s">
        <v>884</v>
      </c>
      <c r="C42" s="172">
        <v>320</v>
      </c>
      <c r="D42" s="157" t="s">
        <v>248</v>
      </c>
      <c r="E42" s="97"/>
      <c r="F42" s="97"/>
      <c r="G42" s="97"/>
      <c r="J42" s="97"/>
      <c r="K42" s="97"/>
      <c r="M42" s="97"/>
      <c r="N42" s="97"/>
      <c r="O42" s="97"/>
      <c r="P42" s="97"/>
      <c r="Q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</row>
    <row r="43" spans="1:35" hidden="1" x14ac:dyDescent="0.2">
      <c r="A43" s="99"/>
    </row>
    <row r="44" spans="1:35" x14ac:dyDescent="0.2">
      <c r="C44" s="157"/>
      <c r="D44" s="157"/>
    </row>
    <row r="45" spans="1:35" ht="13.5" thickBot="1" x14ac:dyDescent="0.25">
      <c r="C45" s="157"/>
      <c r="D45" s="157"/>
    </row>
    <row r="46" spans="1:35" ht="13.5" thickTop="1" x14ac:dyDescent="0.2">
      <c r="B46" s="242"/>
      <c r="C46" s="195"/>
      <c r="D46" s="195" t="s">
        <v>25</v>
      </c>
      <c r="E46" s="353" t="s">
        <v>235</v>
      </c>
      <c r="F46" s="687" t="s">
        <v>236</v>
      </c>
      <c r="G46" s="353" t="s">
        <v>293</v>
      </c>
      <c r="H46" s="707"/>
      <c r="I46" s="707"/>
      <c r="J46" s="708"/>
      <c r="K46" s="97"/>
      <c r="L46" s="97"/>
      <c r="M46" s="97"/>
    </row>
    <row r="47" spans="1:35" ht="25.5" x14ac:dyDescent="0.2">
      <c r="B47" s="198" t="s">
        <v>103</v>
      </c>
      <c r="C47" s="199"/>
      <c r="D47" s="199"/>
      <c r="E47" s="201" t="s">
        <v>880</v>
      </c>
      <c r="F47" s="201" t="s">
        <v>839</v>
      </c>
      <c r="G47" s="201" t="s">
        <v>881</v>
      </c>
      <c r="H47" s="709"/>
      <c r="I47" s="709"/>
      <c r="J47" s="710"/>
      <c r="K47" s="97"/>
      <c r="L47" s="97"/>
      <c r="M47" s="97"/>
    </row>
    <row r="48" spans="1:35" x14ac:dyDescent="0.2">
      <c r="B48" s="198"/>
      <c r="C48" s="199" t="s">
        <v>238</v>
      </c>
      <c r="D48" s="199"/>
      <c r="E48" s="201"/>
      <c r="F48" s="201"/>
      <c r="G48" s="201"/>
      <c r="H48" s="709"/>
      <c r="I48" s="709"/>
      <c r="J48" s="710"/>
      <c r="K48" s="97"/>
      <c r="L48" s="97"/>
      <c r="M48" s="97"/>
    </row>
    <row r="49" spans="1:13" ht="13.5" thickBot="1" x14ac:dyDescent="0.25">
      <c r="B49" s="198"/>
      <c r="C49" s="204" t="s">
        <v>242</v>
      </c>
      <c r="D49" s="204"/>
      <c r="E49" s="278" t="s">
        <v>243</v>
      </c>
      <c r="F49" s="278" t="s">
        <v>243</v>
      </c>
      <c r="G49" s="278" t="s">
        <v>243</v>
      </c>
      <c r="H49" s="711"/>
      <c r="I49" s="711"/>
      <c r="J49" s="710"/>
      <c r="K49" s="97"/>
      <c r="L49" s="97"/>
      <c r="M49" s="97"/>
    </row>
    <row r="50" spans="1:13" ht="21.95" customHeight="1" x14ac:dyDescent="0.2">
      <c r="B50" s="243" t="s">
        <v>862</v>
      </c>
      <c r="C50" s="207">
        <v>330</v>
      </c>
      <c r="D50" s="206" t="s">
        <v>248</v>
      </c>
      <c r="E50" s="302"/>
      <c r="F50" s="302"/>
      <c r="G50" s="302"/>
      <c r="H50" s="362"/>
      <c r="I50" s="362"/>
      <c r="J50" s="318"/>
    </row>
    <row r="51" spans="1:13" ht="21.95" customHeight="1" x14ac:dyDescent="0.2">
      <c r="B51" s="213" t="s">
        <v>863</v>
      </c>
      <c r="C51" s="218">
        <v>340</v>
      </c>
      <c r="D51" s="217" t="s">
        <v>248</v>
      </c>
      <c r="E51" s="300"/>
      <c r="F51" s="664"/>
      <c r="G51" s="664"/>
      <c r="H51" s="324"/>
      <c r="I51" s="324"/>
      <c r="J51" s="331"/>
    </row>
    <row r="52" spans="1:13" ht="21.95" customHeight="1" x14ac:dyDescent="0.2">
      <c r="B52" s="213" t="s">
        <v>864</v>
      </c>
      <c r="C52" s="218">
        <v>350</v>
      </c>
      <c r="D52" s="217" t="s">
        <v>248</v>
      </c>
      <c r="E52" s="300"/>
      <c r="F52" s="664"/>
      <c r="G52" s="664"/>
      <c r="H52" s="324"/>
      <c r="I52" s="324"/>
      <c r="J52" s="331"/>
    </row>
    <row r="53" spans="1:13" ht="21.95" customHeight="1" x14ac:dyDescent="0.2">
      <c r="B53" s="214" t="s">
        <v>865</v>
      </c>
      <c r="C53" s="218">
        <v>360</v>
      </c>
      <c r="D53" s="217" t="s">
        <v>248</v>
      </c>
      <c r="E53" s="300"/>
      <c r="F53" s="664"/>
      <c r="G53" s="664"/>
      <c r="H53" s="324"/>
      <c r="I53" s="324"/>
      <c r="J53" s="395"/>
    </row>
    <row r="54" spans="1:13" hidden="1" x14ac:dyDescent="0.2">
      <c r="A54" s="99"/>
      <c r="B54" t="s">
        <v>866</v>
      </c>
      <c r="C54" s="172">
        <v>370</v>
      </c>
      <c r="D54" s="157" t="s">
        <v>248</v>
      </c>
    </row>
    <row r="55" spans="1:13" hidden="1" x14ac:dyDescent="0.2">
      <c r="A55" s="99"/>
      <c r="B55" t="s">
        <v>867</v>
      </c>
      <c r="C55" s="172">
        <v>380</v>
      </c>
      <c r="D55" s="157" t="s">
        <v>251</v>
      </c>
    </row>
    <row r="56" spans="1:13" ht="21.95" customHeight="1" x14ac:dyDescent="0.2">
      <c r="B56" s="188" t="s">
        <v>868</v>
      </c>
      <c r="C56" s="251">
        <v>390</v>
      </c>
      <c r="D56" s="250" t="s">
        <v>248</v>
      </c>
      <c r="E56" s="306"/>
      <c r="F56" s="750"/>
      <c r="G56" s="750"/>
      <c r="H56" s="321"/>
      <c r="I56" s="321"/>
      <c r="J56" s="578"/>
    </row>
    <row r="57" spans="1:13" ht="21.95" customHeight="1" x14ac:dyDescent="0.2">
      <c r="B57" s="223" t="s">
        <v>869</v>
      </c>
      <c r="C57" s="218">
        <v>400</v>
      </c>
      <c r="D57" s="217" t="s">
        <v>248</v>
      </c>
      <c r="E57" s="461"/>
      <c r="F57" s="461"/>
      <c r="G57" s="461"/>
      <c r="H57" s="324"/>
      <c r="I57" s="712"/>
      <c r="J57" s="395"/>
      <c r="L57" s="97"/>
    </row>
    <row r="58" spans="1:13" hidden="1" x14ac:dyDescent="0.2">
      <c r="A58" s="423"/>
      <c r="B58" t="s">
        <v>885</v>
      </c>
      <c r="C58" s="172">
        <v>402</v>
      </c>
      <c r="D58" s="157" t="s">
        <v>245</v>
      </c>
      <c r="F58" s="108"/>
      <c r="G58" s="108"/>
    </row>
    <row r="59" spans="1:13" hidden="1" x14ac:dyDescent="0.2">
      <c r="B59" s="97" t="s">
        <v>871</v>
      </c>
      <c r="C59" s="172">
        <v>404</v>
      </c>
      <c r="D59" s="157" t="s">
        <v>248</v>
      </c>
      <c r="E59" s="713"/>
      <c r="F59" s="713"/>
      <c r="G59" s="713"/>
    </row>
    <row r="60" spans="1:13" ht="21.95" customHeight="1" x14ac:dyDescent="0.2">
      <c r="B60" s="254" t="s">
        <v>872</v>
      </c>
      <c r="C60" s="714"/>
      <c r="D60" s="715"/>
      <c r="E60" s="716"/>
      <c r="F60" s="717"/>
      <c r="G60" s="717"/>
      <c r="H60" s="321"/>
      <c r="I60" s="321"/>
      <c r="J60" s="578"/>
    </row>
    <row r="61" spans="1:13" ht="21.95" customHeight="1" x14ac:dyDescent="0.2">
      <c r="B61" s="213" t="s">
        <v>873</v>
      </c>
      <c r="C61" s="234">
        <v>410</v>
      </c>
      <c r="D61" s="237" t="s">
        <v>248</v>
      </c>
      <c r="E61" s="403"/>
      <c r="F61" s="751"/>
      <c r="G61" s="751"/>
      <c r="H61" s="330"/>
      <c r="I61" s="258"/>
      <c r="J61" s="259"/>
    </row>
    <row r="62" spans="1:13" ht="21.95" customHeight="1" thickBot="1" x14ac:dyDescent="0.25">
      <c r="B62" s="233" t="s">
        <v>874</v>
      </c>
      <c r="C62" s="236">
        <v>420</v>
      </c>
      <c r="D62" s="235" t="s">
        <v>248</v>
      </c>
      <c r="E62" s="464"/>
      <c r="F62" s="464"/>
      <c r="G62" s="464"/>
      <c r="H62" s="718"/>
      <c r="I62" s="340"/>
      <c r="J62" s="719"/>
    </row>
    <row r="63" spans="1:13" ht="13.5" hidden="1" thickTop="1" x14ac:dyDescent="0.2">
      <c r="A63" s="99"/>
      <c r="B63" t="s">
        <v>872</v>
      </c>
      <c r="C63" s="172">
        <v>440</v>
      </c>
      <c r="D63" s="157"/>
      <c r="E63" s="97"/>
    </row>
    <row r="64" spans="1:13" ht="13.5" hidden="1" thickTop="1" x14ac:dyDescent="0.2">
      <c r="A64" s="99"/>
      <c r="B64" s="97" t="s">
        <v>886</v>
      </c>
      <c r="C64" s="172">
        <v>430</v>
      </c>
      <c r="D64" s="157" t="s">
        <v>248</v>
      </c>
      <c r="E64" s="97"/>
    </row>
    <row r="65" spans="1:10" ht="13.5" hidden="1" thickTop="1" x14ac:dyDescent="0.2">
      <c r="A65" s="99"/>
      <c r="B65" t="s">
        <v>887</v>
      </c>
      <c r="C65" s="172">
        <v>440</v>
      </c>
      <c r="D65" s="157" t="s">
        <v>248</v>
      </c>
    </row>
    <row r="66" spans="1:10" ht="13.5" hidden="1" thickTop="1" x14ac:dyDescent="0.2">
      <c r="A66" s="99"/>
      <c r="B66" s="97" t="s">
        <v>874</v>
      </c>
      <c r="C66" s="172">
        <v>450</v>
      </c>
      <c r="D66" s="157" t="s">
        <v>248</v>
      </c>
    </row>
    <row r="67" spans="1:10" ht="14.25" thickTop="1" thickBot="1" x14ac:dyDescent="0.25">
      <c r="C67" s="157"/>
      <c r="D67" s="157"/>
    </row>
    <row r="68" spans="1:10" ht="13.5" thickTop="1" x14ac:dyDescent="0.2">
      <c r="B68" s="242"/>
      <c r="C68" s="195"/>
      <c r="D68" s="195" t="s">
        <v>25</v>
      </c>
      <c r="E68" s="353" t="s">
        <v>235</v>
      </c>
      <c r="F68" s="353" t="s">
        <v>236</v>
      </c>
      <c r="G68" s="353" t="s">
        <v>293</v>
      </c>
      <c r="H68" s="353" t="s">
        <v>294</v>
      </c>
      <c r="I68" s="353" t="s">
        <v>295</v>
      </c>
      <c r="J68" s="293" t="s">
        <v>296</v>
      </c>
    </row>
    <row r="69" spans="1:10" x14ac:dyDescent="0.2">
      <c r="B69" s="198" t="s">
        <v>888</v>
      </c>
      <c r="C69" s="199"/>
      <c r="D69" s="199"/>
      <c r="E69" s="201" t="s">
        <v>340</v>
      </c>
      <c r="F69" s="201" t="s">
        <v>889</v>
      </c>
      <c r="G69" s="201" t="s">
        <v>352</v>
      </c>
      <c r="H69" s="201" t="s">
        <v>340</v>
      </c>
      <c r="I69" s="201" t="s">
        <v>889</v>
      </c>
      <c r="J69" s="202" t="s">
        <v>352</v>
      </c>
    </row>
    <row r="70" spans="1:10" x14ac:dyDescent="0.2">
      <c r="B70" s="198"/>
      <c r="C70" s="199" t="s">
        <v>238</v>
      </c>
      <c r="D70" s="199"/>
      <c r="E70" s="201" t="s">
        <v>300</v>
      </c>
      <c r="F70" s="201" t="s">
        <v>890</v>
      </c>
      <c r="G70" s="201"/>
      <c r="H70" s="201" t="s">
        <v>240</v>
      </c>
      <c r="I70" s="201" t="s">
        <v>890</v>
      </c>
      <c r="J70" s="202"/>
    </row>
    <row r="71" spans="1:10" ht="13.5" thickBot="1" x14ac:dyDescent="0.25">
      <c r="B71" s="198"/>
      <c r="C71" s="204" t="s">
        <v>242</v>
      </c>
      <c r="D71" s="204"/>
      <c r="E71" s="278" t="s">
        <v>891</v>
      </c>
      <c r="F71" s="278" t="s">
        <v>891</v>
      </c>
      <c r="G71" s="278" t="s">
        <v>891</v>
      </c>
      <c r="H71" s="278" t="s">
        <v>891</v>
      </c>
      <c r="I71" s="278" t="s">
        <v>891</v>
      </c>
      <c r="J71" s="202" t="s">
        <v>891</v>
      </c>
    </row>
    <row r="72" spans="1:10" ht="21.95" customHeight="1" x14ac:dyDescent="0.2">
      <c r="B72" s="189" t="s">
        <v>892</v>
      </c>
      <c r="C72" s="207">
        <v>460</v>
      </c>
      <c r="D72" s="206" t="s">
        <v>248</v>
      </c>
      <c r="E72" s="209">
        <f t="shared" ref="E72:E80" si="1">F72+G72</f>
        <v>0</v>
      </c>
      <c r="F72" s="356"/>
      <c r="G72" s="356"/>
      <c r="H72" s="302"/>
      <c r="I72" s="302"/>
      <c r="J72" s="304"/>
    </row>
    <row r="73" spans="1:10" ht="21.95" customHeight="1" x14ac:dyDescent="0.2">
      <c r="B73" s="213" t="s">
        <v>893</v>
      </c>
      <c r="C73" s="218">
        <v>470</v>
      </c>
      <c r="D73" s="217" t="s">
        <v>248</v>
      </c>
      <c r="E73" s="220">
        <f t="shared" si="1"/>
        <v>0</v>
      </c>
      <c r="F73" s="228"/>
      <c r="G73" s="228"/>
      <c r="H73" s="300"/>
      <c r="I73" s="300"/>
      <c r="J73" s="298"/>
    </row>
    <row r="74" spans="1:10" ht="21.95" customHeight="1" x14ac:dyDescent="0.2">
      <c r="B74" s="213" t="s">
        <v>894</v>
      </c>
      <c r="C74" s="218">
        <v>480</v>
      </c>
      <c r="D74" s="217" t="s">
        <v>248</v>
      </c>
      <c r="E74" s="220">
        <f t="shared" si="1"/>
        <v>0</v>
      </c>
      <c r="F74" s="228"/>
      <c r="G74" s="228"/>
      <c r="H74" s="300"/>
      <c r="I74" s="300"/>
      <c r="J74" s="298"/>
    </row>
    <row r="75" spans="1:10" ht="21.95" customHeight="1" x14ac:dyDescent="0.2">
      <c r="B75" s="213" t="s">
        <v>895</v>
      </c>
      <c r="C75" s="218">
        <v>490</v>
      </c>
      <c r="D75" s="217" t="s">
        <v>248</v>
      </c>
      <c r="E75" s="220">
        <f t="shared" si="1"/>
        <v>0</v>
      </c>
      <c r="F75" s="228"/>
      <c r="G75" s="228"/>
      <c r="H75" s="300"/>
      <c r="I75" s="300"/>
      <c r="J75" s="298"/>
    </row>
    <row r="76" spans="1:10" ht="21.95" customHeight="1" x14ac:dyDescent="0.2">
      <c r="B76" s="213" t="s">
        <v>896</v>
      </c>
      <c r="C76" s="218">
        <v>500</v>
      </c>
      <c r="D76" s="217" t="s">
        <v>248</v>
      </c>
      <c r="E76" s="220">
        <f t="shared" si="1"/>
        <v>0</v>
      </c>
      <c r="F76" s="228"/>
      <c r="G76" s="228"/>
      <c r="H76" s="300"/>
      <c r="I76" s="300"/>
      <c r="J76" s="298"/>
    </row>
    <row r="77" spans="1:10" ht="21.95" customHeight="1" x14ac:dyDescent="0.2">
      <c r="B77" s="213" t="s">
        <v>897</v>
      </c>
      <c r="C77" s="218">
        <v>510</v>
      </c>
      <c r="D77" s="217" t="s">
        <v>248</v>
      </c>
      <c r="E77" s="220">
        <f t="shared" si="1"/>
        <v>0</v>
      </c>
      <c r="F77" s="228"/>
      <c r="G77" s="228"/>
      <c r="H77" s="300"/>
      <c r="I77" s="300"/>
      <c r="J77" s="298"/>
    </row>
    <row r="78" spans="1:10" ht="21.95" customHeight="1" x14ac:dyDescent="0.2">
      <c r="B78" s="213" t="s">
        <v>898</v>
      </c>
      <c r="C78" s="218">
        <v>520</v>
      </c>
      <c r="D78" s="217" t="s">
        <v>248</v>
      </c>
      <c r="E78" s="220">
        <f t="shared" si="1"/>
        <v>0</v>
      </c>
      <c r="F78" s="228"/>
      <c r="G78" s="228"/>
      <c r="H78" s="300"/>
      <c r="I78" s="300"/>
      <c r="J78" s="298"/>
    </row>
    <row r="79" spans="1:10" ht="21.95" customHeight="1" x14ac:dyDescent="0.2">
      <c r="B79" s="213" t="s">
        <v>899</v>
      </c>
      <c r="C79" s="218">
        <v>530</v>
      </c>
      <c r="D79" s="217" t="s">
        <v>248</v>
      </c>
      <c r="E79" s="220">
        <f t="shared" si="1"/>
        <v>0</v>
      </c>
      <c r="F79" s="228"/>
      <c r="G79" s="228"/>
      <c r="H79" s="300"/>
      <c r="I79" s="300"/>
      <c r="J79" s="298"/>
    </row>
    <row r="80" spans="1:10" ht="21.95" customHeight="1" x14ac:dyDescent="0.2">
      <c r="B80" s="213" t="s">
        <v>352</v>
      </c>
      <c r="C80" s="218">
        <v>540</v>
      </c>
      <c r="D80" s="217" t="s">
        <v>248</v>
      </c>
      <c r="E80" s="220">
        <f t="shared" si="1"/>
        <v>0</v>
      </c>
      <c r="F80" s="228"/>
      <c r="G80" s="228"/>
      <c r="H80" s="300"/>
      <c r="I80" s="300"/>
      <c r="J80" s="298"/>
    </row>
    <row r="81" spans="2:10" ht="21.95" customHeight="1" thickBot="1" x14ac:dyDescent="0.25">
      <c r="B81" s="226" t="s">
        <v>358</v>
      </c>
      <c r="C81" s="234">
        <v>550</v>
      </c>
      <c r="D81" s="237" t="s">
        <v>248</v>
      </c>
      <c r="E81" s="239">
        <f>SUM(E72:E80)</f>
        <v>0</v>
      </c>
      <c r="F81" s="239">
        <f>SUM(F72:F80)</f>
        <v>0</v>
      </c>
      <c r="G81" s="239">
        <f>SUM(G72:G80)</f>
        <v>0</v>
      </c>
      <c r="H81" s="462">
        <f t="shared" ref="H81:J81" si="2">SUM(H72:H80)</f>
        <v>0</v>
      </c>
      <c r="I81" s="462">
        <f t="shared" si="2"/>
        <v>0</v>
      </c>
      <c r="J81" s="299">
        <f t="shared" si="2"/>
        <v>0</v>
      </c>
    </row>
    <row r="82" spans="2:10" ht="21.95" customHeight="1" thickTop="1" thickBot="1" x14ac:dyDescent="0.25">
      <c r="B82" s="720" t="s">
        <v>900</v>
      </c>
      <c r="C82" s="722">
        <v>560</v>
      </c>
      <c r="D82" s="721" t="s">
        <v>248</v>
      </c>
      <c r="E82" s="723">
        <f>F82+G82</f>
        <v>0</v>
      </c>
      <c r="F82" s="724"/>
      <c r="G82" s="724"/>
      <c r="H82" s="754"/>
      <c r="I82" s="754"/>
      <c r="J82" s="755"/>
    </row>
    <row r="83" spans="2:10" ht="13.5" thickTop="1" x14ac:dyDescent="0.2">
      <c r="C83" s="157"/>
      <c r="D83" s="157"/>
    </row>
    <row r="84" spans="2:10" x14ac:dyDescent="0.2">
      <c r="C84" s="157"/>
      <c r="D84" s="157"/>
    </row>
    <row r="85" spans="2:10" ht="13.5" thickBot="1" x14ac:dyDescent="0.25">
      <c r="C85" s="157"/>
      <c r="D85" s="157"/>
    </row>
    <row r="86" spans="2:10" ht="13.5" thickTop="1" x14ac:dyDescent="0.2">
      <c r="B86" s="242"/>
      <c r="C86" s="195"/>
      <c r="D86" s="195" t="s">
        <v>25</v>
      </c>
      <c r="E86" s="353" t="s">
        <v>235</v>
      </c>
      <c r="F86" s="293" t="s">
        <v>236</v>
      </c>
    </row>
    <row r="87" spans="2:10" x14ac:dyDescent="0.2">
      <c r="B87" s="198" t="s">
        <v>901</v>
      </c>
      <c r="C87" s="199"/>
      <c r="D87" s="199"/>
      <c r="E87" s="201" t="s">
        <v>340</v>
      </c>
      <c r="F87" s="202" t="s">
        <v>340</v>
      </c>
    </row>
    <row r="88" spans="2:10" x14ac:dyDescent="0.2">
      <c r="B88" s="198"/>
      <c r="C88" s="199" t="s">
        <v>238</v>
      </c>
      <c r="D88" s="199"/>
      <c r="E88" s="201"/>
      <c r="F88" s="202" t="s">
        <v>240</v>
      </c>
    </row>
    <row r="89" spans="2:10" ht="13.5" thickBot="1" x14ac:dyDescent="0.25">
      <c r="B89" s="198"/>
      <c r="C89" s="204" t="s">
        <v>242</v>
      </c>
      <c r="D89" s="204"/>
      <c r="E89" s="278" t="s">
        <v>891</v>
      </c>
      <c r="F89" s="202" t="s">
        <v>891</v>
      </c>
    </row>
    <row r="90" spans="2:10" ht="30" customHeight="1" x14ac:dyDescent="0.2">
      <c r="B90" s="1107" t="s">
        <v>902</v>
      </c>
      <c r="C90" s="725">
        <v>570</v>
      </c>
      <c r="D90" s="726" t="s">
        <v>248</v>
      </c>
      <c r="E90" s="356"/>
      <c r="F90" s="304"/>
    </row>
    <row r="91" spans="2:10" ht="30" customHeight="1" x14ac:dyDescent="0.2">
      <c r="B91" s="944" t="s">
        <v>903</v>
      </c>
      <c r="C91" s="481">
        <v>580</v>
      </c>
      <c r="D91" s="728" t="s">
        <v>248</v>
      </c>
      <c r="E91" s="228"/>
      <c r="F91" s="298"/>
    </row>
    <row r="92" spans="2:10" ht="27" customHeight="1" thickBot="1" x14ac:dyDescent="0.25">
      <c r="B92" s="450" t="s">
        <v>904</v>
      </c>
      <c r="C92" s="358">
        <v>590</v>
      </c>
      <c r="D92" s="357" t="s">
        <v>248</v>
      </c>
      <c r="E92" s="359">
        <f>IF(OR(E90=0,E91=0),0,E90/E91)</f>
        <v>0</v>
      </c>
      <c r="F92" s="298">
        <f>IF(OR(F90=0,F91=0),0,F90/F91)</f>
        <v>0</v>
      </c>
    </row>
    <row r="93" spans="2:10" ht="27" customHeight="1" x14ac:dyDescent="0.2">
      <c r="B93" s="731" t="s">
        <v>905</v>
      </c>
      <c r="C93" s="366">
        <v>592</v>
      </c>
      <c r="D93" s="142" t="s">
        <v>248</v>
      </c>
      <c r="E93" s="369"/>
      <c r="F93" s="304"/>
    </row>
    <row r="94" spans="2:10" ht="27" customHeight="1" thickBot="1" x14ac:dyDescent="0.25">
      <c r="B94" s="734" t="s">
        <v>906</v>
      </c>
      <c r="C94" s="236">
        <v>594</v>
      </c>
      <c r="D94" s="238" t="s">
        <v>248</v>
      </c>
      <c r="E94" s="371"/>
      <c r="F94" s="685"/>
    </row>
    <row r="95" spans="2:10" ht="14.25" thickTop="1" thickBot="1" x14ac:dyDescent="0.25">
      <c r="C95" s="157"/>
      <c r="D95" s="157"/>
    </row>
    <row r="96" spans="2:10" ht="13.5" thickTop="1" x14ac:dyDescent="0.2">
      <c r="B96" s="242"/>
      <c r="C96" s="195" t="s">
        <v>238</v>
      </c>
      <c r="D96" s="195" t="s">
        <v>25</v>
      </c>
      <c r="E96" s="353" t="s">
        <v>235</v>
      </c>
      <c r="F96" s="353" t="s">
        <v>236</v>
      </c>
      <c r="G96" s="353" t="s">
        <v>293</v>
      </c>
      <c r="H96" s="293" t="s">
        <v>294</v>
      </c>
    </row>
    <row r="97" spans="2:8" x14ac:dyDescent="0.2">
      <c r="B97" s="355" t="s">
        <v>106</v>
      </c>
      <c r="C97" s="199" t="s">
        <v>242</v>
      </c>
      <c r="D97" s="199"/>
      <c r="E97" s="201" t="s">
        <v>891</v>
      </c>
      <c r="F97" s="201" t="s">
        <v>243</v>
      </c>
      <c r="G97" s="201" t="s">
        <v>891</v>
      </c>
      <c r="H97" s="202" t="s">
        <v>243</v>
      </c>
    </row>
    <row r="98" spans="2:8" ht="13.5" thickBot="1" x14ac:dyDescent="0.25">
      <c r="B98" s="188"/>
      <c r="C98" s="138"/>
      <c r="D98" s="138"/>
      <c r="E98" s="278" t="s">
        <v>907</v>
      </c>
      <c r="F98" s="278" t="s">
        <v>907</v>
      </c>
      <c r="G98" s="278" t="s">
        <v>240</v>
      </c>
      <c r="H98" s="202" t="s">
        <v>240</v>
      </c>
    </row>
    <row r="99" spans="2:8" ht="21.95" customHeight="1" x14ac:dyDescent="0.2">
      <c r="B99" s="314" t="s">
        <v>908</v>
      </c>
      <c r="C99" s="735"/>
      <c r="D99" s="735"/>
      <c r="E99" s="317"/>
      <c r="F99" s="317"/>
      <c r="G99" s="317"/>
      <c r="H99" s="318"/>
    </row>
    <row r="100" spans="2:8" ht="21.95" customHeight="1" x14ac:dyDescent="0.2">
      <c r="B100" s="188" t="s">
        <v>909</v>
      </c>
      <c r="C100" s="251">
        <v>600</v>
      </c>
      <c r="D100" s="250" t="s">
        <v>248</v>
      </c>
      <c r="E100" s="422"/>
      <c r="F100" s="422"/>
      <c r="G100" s="306"/>
      <c r="H100" s="307"/>
    </row>
    <row r="101" spans="2:8" ht="21.95" customHeight="1" x14ac:dyDescent="0.2">
      <c r="B101" s="213" t="s">
        <v>910</v>
      </c>
      <c r="C101" s="218">
        <v>610</v>
      </c>
      <c r="D101" s="217" t="s">
        <v>248</v>
      </c>
      <c r="E101" s="228"/>
      <c r="F101" s="228"/>
      <c r="G101" s="300"/>
      <c r="H101" s="298"/>
    </row>
    <row r="102" spans="2:8" ht="21.95" customHeight="1" x14ac:dyDescent="0.2">
      <c r="B102" s="213" t="s">
        <v>911</v>
      </c>
      <c r="C102" s="218">
        <v>620</v>
      </c>
      <c r="D102" s="217" t="s">
        <v>912</v>
      </c>
      <c r="E102" s="737">
        <f>IF(E100=0,0,(E101*100/E100))</f>
        <v>0</v>
      </c>
      <c r="F102" s="737">
        <f>IF(F100=0,0,(F101*100/F100))</f>
        <v>0</v>
      </c>
      <c r="G102" s="300">
        <f t="shared" ref="G102:H102" si="3">IF(G100=0,0,(G101*100/G100))</f>
        <v>0</v>
      </c>
      <c r="H102" s="298">
        <f t="shared" si="3"/>
        <v>0</v>
      </c>
    </row>
    <row r="103" spans="2:8" ht="21.95" customHeight="1" x14ac:dyDescent="0.2">
      <c r="B103" s="226" t="s">
        <v>913</v>
      </c>
      <c r="C103" s="446"/>
      <c r="D103" s="579"/>
      <c r="E103" s="258"/>
      <c r="F103" s="258"/>
      <c r="G103" s="258"/>
      <c r="H103" s="331"/>
    </row>
    <row r="104" spans="2:8" ht="21.95" customHeight="1" x14ac:dyDescent="0.2">
      <c r="B104" s="188" t="s">
        <v>914</v>
      </c>
      <c r="C104" s="251">
        <v>630</v>
      </c>
      <c r="D104" s="250" t="s">
        <v>248</v>
      </c>
      <c r="E104" s="422"/>
      <c r="F104" s="422"/>
      <c r="G104" s="306"/>
      <c r="H104" s="307"/>
    </row>
    <row r="105" spans="2:8" ht="21.95" customHeight="1" x14ac:dyDescent="0.2">
      <c r="B105" s="213" t="s">
        <v>915</v>
      </c>
      <c r="C105" s="234">
        <v>640</v>
      </c>
      <c r="D105" s="237" t="s">
        <v>248</v>
      </c>
      <c r="E105" s="396"/>
      <c r="F105" s="396"/>
      <c r="G105" s="403"/>
      <c r="H105" s="298"/>
    </row>
    <row r="106" spans="2:8" ht="21.95" customHeight="1" thickBot="1" x14ac:dyDescent="0.25">
      <c r="B106" s="232" t="s">
        <v>916</v>
      </c>
      <c r="C106" s="236">
        <v>650</v>
      </c>
      <c r="D106" s="235" t="s">
        <v>912</v>
      </c>
      <c r="E106" s="738">
        <f>IF(E104=0,0,(E105*100/E104))</f>
        <v>0</v>
      </c>
      <c r="F106" s="738">
        <f>IF(F104=0,0,(F105*100/F104))</f>
        <v>0</v>
      </c>
      <c r="G106" s="756">
        <f t="shared" ref="G106:H106" si="4">IF(G104=0,0,(G105*100/G104))</f>
        <v>0</v>
      </c>
      <c r="H106" s="685">
        <f t="shared" si="4"/>
        <v>0</v>
      </c>
    </row>
    <row r="107" spans="2:8" ht="13.5" thickTop="1" x14ac:dyDescent="0.2">
      <c r="C107" s="157"/>
      <c r="D107" s="157"/>
    </row>
    <row r="108" spans="2:8" x14ac:dyDescent="0.2">
      <c r="C108" s="157"/>
      <c r="D108" s="157"/>
    </row>
    <row r="109" spans="2:8" ht="13.5" thickBot="1" x14ac:dyDescent="0.25">
      <c r="C109" s="157"/>
      <c r="D109" s="157"/>
    </row>
    <row r="110" spans="2:8" ht="13.5" thickTop="1" x14ac:dyDescent="0.2">
      <c r="B110" s="242"/>
      <c r="C110" s="195"/>
      <c r="D110" s="195" t="s">
        <v>25</v>
      </c>
      <c r="E110" s="353" t="s">
        <v>235</v>
      </c>
      <c r="F110" s="293" t="s">
        <v>236</v>
      </c>
      <c r="G110" s="469"/>
    </row>
    <row r="111" spans="2:8" ht="25.5" x14ac:dyDescent="0.2">
      <c r="B111" s="355" t="s">
        <v>917</v>
      </c>
      <c r="C111" s="199" t="s">
        <v>238</v>
      </c>
      <c r="D111" s="199"/>
      <c r="E111" s="201" t="s">
        <v>300</v>
      </c>
      <c r="F111" s="202" t="s">
        <v>918</v>
      </c>
      <c r="G111" s="469"/>
    </row>
    <row r="112" spans="2:8" ht="13.5" thickBot="1" x14ac:dyDescent="0.25">
      <c r="B112" s="198"/>
      <c r="C112" s="204" t="s">
        <v>242</v>
      </c>
      <c r="D112" s="204"/>
      <c r="E112" s="278" t="s">
        <v>243</v>
      </c>
      <c r="F112" s="202" t="s">
        <v>243</v>
      </c>
      <c r="G112" s="469"/>
    </row>
    <row r="113" spans="2:7" ht="21.95" customHeight="1" x14ac:dyDescent="0.2">
      <c r="B113" s="189" t="s">
        <v>919</v>
      </c>
      <c r="C113" s="735"/>
      <c r="D113" s="735"/>
      <c r="E113" s="317"/>
      <c r="F113" s="318"/>
    </row>
    <row r="114" spans="2:7" ht="27" customHeight="1" x14ac:dyDescent="0.2">
      <c r="B114" s="739" t="s">
        <v>920</v>
      </c>
      <c r="C114" s="251">
        <v>660</v>
      </c>
      <c r="D114" s="250" t="s">
        <v>248</v>
      </c>
      <c r="E114" s="422"/>
      <c r="F114" s="757"/>
      <c r="G114" s="736"/>
    </row>
    <row r="115" spans="2:7" ht="21.95" customHeight="1" x14ac:dyDescent="0.2">
      <c r="B115" s="213" t="s">
        <v>921</v>
      </c>
      <c r="C115" s="446"/>
      <c r="D115" s="579"/>
      <c r="E115" s="258"/>
      <c r="F115" s="331"/>
    </row>
    <row r="116" spans="2:7" ht="21.95" customHeight="1" thickBot="1" x14ac:dyDescent="0.25">
      <c r="B116" s="740" t="s">
        <v>922</v>
      </c>
      <c r="C116" s="426">
        <v>670</v>
      </c>
      <c r="D116" s="425" t="s">
        <v>248</v>
      </c>
      <c r="E116" s="741"/>
      <c r="F116" s="758"/>
      <c r="G116" s="736"/>
    </row>
    <row r="117" spans="2:7" ht="13.5" thickTop="1" x14ac:dyDescent="0.2">
      <c r="C117" s="157"/>
      <c r="D117" s="157"/>
    </row>
    <row r="118" spans="2:7" x14ac:dyDescent="0.2">
      <c r="C118" s="157"/>
      <c r="D118" s="157"/>
    </row>
    <row r="119" spans="2:7" x14ac:dyDescent="0.2">
      <c r="C119" s="157"/>
      <c r="D119" s="157"/>
    </row>
    <row r="120" spans="2:7" ht="13.5" hidden="1" thickTop="1" x14ac:dyDescent="0.2">
      <c r="B120" s="273"/>
      <c r="C120" s="274"/>
      <c r="D120" s="274" t="s">
        <v>25</v>
      </c>
      <c r="E120" s="275" t="s">
        <v>235</v>
      </c>
      <c r="F120" s="275" t="s">
        <v>236</v>
      </c>
      <c r="G120" s="276" t="s">
        <v>293</v>
      </c>
    </row>
    <row r="121" spans="2:7" ht="25.5" hidden="1" x14ac:dyDescent="0.2">
      <c r="B121" s="508" t="s">
        <v>923</v>
      </c>
      <c r="C121" s="199" t="s">
        <v>238</v>
      </c>
      <c r="D121" s="199"/>
      <c r="E121" s="201" t="s">
        <v>300</v>
      </c>
      <c r="F121" s="201" t="s">
        <v>918</v>
      </c>
      <c r="G121" s="277" t="s">
        <v>241</v>
      </c>
    </row>
    <row r="122" spans="2:7" ht="13.5" hidden="1" thickBot="1" x14ac:dyDescent="0.25">
      <c r="B122" s="150"/>
      <c r="C122" s="204" t="s">
        <v>242</v>
      </c>
      <c r="D122" s="204"/>
      <c r="E122" s="278" t="s">
        <v>243</v>
      </c>
      <c r="F122" s="278" t="s">
        <v>243</v>
      </c>
      <c r="G122" s="279" t="s">
        <v>243</v>
      </c>
    </row>
    <row r="123" spans="2:7" ht="21.95" hidden="1" customHeight="1" x14ac:dyDescent="0.2">
      <c r="B123" s="280" t="s">
        <v>924</v>
      </c>
      <c r="C123" s="207">
        <v>680</v>
      </c>
      <c r="D123" s="206" t="s">
        <v>248</v>
      </c>
      <c r="E123" s="209">
        <f>H23</f>
        <v>0</v>
      </c>
      <c r="F123" s="302">
        <f>'1314TRU09_EMP_P16'!E123</f>
        <v>0</v>
      </c>
      <c r="G123" s="555" t="e">
        <f>#REF!</f>
        <v>#REF!</v>
      </c>
    </row>
    <row r="124" spans="2:7" ht="21.95" hidden="1" customHeight="1" x14ac:dyDescent="0.2">
      <c r="B124" s="522" t="s">
        <v>925</v>
      </c>
      <c r="C124" s="218">
        <v>690</v>
      </c>
      <c r="D124" s="217" t="s">
        <v>245</v>
      </c>
      <c r="E124" s="228"/>
      <c r="F124" s="458">
        <f>'1314TRU09_EMP_P16'!E124</f>
        <v>0</v>
      </c>
      <c r="G124" s="742">
        <f>E124</f>
        <v>0</v>
      </c>
    </row>
    <row r="125" spans="2:7" ht="21.95" hidden="1" customHeight="1" thickBot="1" x14ac:dyDescent="0.25">
      <c r="B125" s="285" t="s">
        <v>926</v>
      </c>
      <c r="C125" s="289">
        <v>700</v>
      </c>
      <c r="D125" s="288" t="s">
        <v>251</v>
      </c>
      <c r="E125" s="591">
        <f>SUM(E123:E124)</f>
        <v>0</v>
      </c>
      <c r="F125" s="759">
        <f>'1314TRU09_EMP_P16'!E125</f>
        <v>0</v>
      </c>
      <c r="G125" s="596" t="e">
        <f>SUM(G123:G124)</f>
        <v>#REF!</v>
      </c>
    </row>
    <row r="126" spans="2:7" ht="14.25" hidden="1" thickTop="1" thickBot="1" x14ac:dyDescent="0.25"/>
    <row r="127" spans="2:7" ht="13.5" hidden="1" thickTop="1" x14ac:dyDescent="0.2">
      <c r="B127" s="505"/>
      <c r="C127" s="274"/>
      <c r="D127" s="274" t="s">
        <v>25</v>
      </c>
      <c r="E127" s="275" t="s">
        <v>235</v>
      </c>
      <c r="F127" s="275" t="s">
        <v>236</v>
      </c>
      <c r="G127" s="276" t="s">
        <v>293</v>
      </c>
    </row>
    <row r="128" spans="2:7" ht="25.5" hidden="1" x14ac:dyDescent="0.2">
      <c r="B128" s="508" t="s">
        <v>927</v>
      </c>
      <c r="C128" s="199" t="s">
        <v>238</v>
      </c>
      <c r="D128" s="199"/>
      <c r="E128" s="201" t="s">
        <v>300</v>
      </c>
      <c r="F128" s="201" t="s">
        <v>918</v>
      </c>
      <c r="G128" s="277" t="s">
        <v>241</v>
      </c>
    </row>
    <row r="129" spans="2:7" ht="13.5" hidden="1" thickBot="1" x14ac:dyDescent="0.25">
      <c r="B129" s="156"/>
      <c r="C129" s="204" t="s">
        <v>242</v>
      </c>
      <c r="D129" s="204"/>
      <c r="E129" s="278" t="s">
        <v>243</v>
      </c>
      <c r="F129" s="278" t="s">
        <v>243</v>
      </c>
      <c r="G129" s="279" t="s">
        <v>243</v>
      </c>
    </row>
    <row r="130" spans="2:7" ht="21.95" hidden="1" customHeight="1" x14ac:dyDescent="0.2">
      <c r="B130" s="280" t="s">
        <v>928</v>
      </c>
      <c r="C130" s="207">
        <v>710</v>
      </c>
      <c r="D130" s="206" t="s">
        <v>248</v>
      </c>
      <c r="E130" s="356"/>
      <c r="F130" s="356"/>
      <c r="G130" s="743">
        <f>E130</f>
        <v>0</v>
      </c>
    </row>
    <row r="131" spans="2:7" ht="21.95" hidden="1" customHeight="1" x14ac:dyDescent="0.2">
      <c r="B131" s="522" t="s">
        <v>3814</v>
      </c>
      <c r="C131" s="218">
        <v>720</v>
      </c>
      <c r="D131" s="217" t="s">
        <v>248</v>
      </c>
      <c r="E131" s="228"/>
      <c r="F131" s="228"/>
      <c r="G131" s="744">
        <f>E131</f>
        <v>0</v>
      </c>
    </row>
    <row r="132" spans="2:7" ht="21.95" hidden="1" customHeight="1" x14ac:dyDescent="0.2">
      <c r="B132" s="522" t="s">
        <v>929</v>
      </c>
      <c r="C132" s="218">
        <v>730</v>
      </c>
      <c r="D132" s="217" t="s">
        <v>248</v>
      </c>
      <c r="E132" s="228"/>
      <c r="F132" s="228"/>
      <c r="G132" s="744">
        <f>E132</f>
        <v>0</v>
      </c>
    </row>
    <row r="133" spans="2:7" ht="21.95" hidden="1" customHeight="1" x14ac:dyDescent="0.2">
      <c r="B133" s="745" t="s">
        <v>930</v>
      </c>
      <c r="C133" s="218">
        <v>740</v>
      </c>
      <c r="D133" s="217" t="s">
        <v>248</v>
      </c>
      <c r="E133" s="224">
        <f>SUM(E130:E132)</f>
        <v>0</v>
      </c>
      <c r="F133" s="224">
        <f>SUM(F130:F132)</f>
        <v>0</v>
      </c>
      <c r="G133" s="746">
        <f>E133</f>
        <v>0</v>
      </c>
    </row>
    <row r="134" spans="2:7" ht="27" hidden="1" customHeight="1" thickBot="1" x14ac:dyDescent="0.25">
      <c r="B134" s="552" t="s">
        <v>3815</v>
      </c>
      <c r="C134" s="289">
        <v>750</v>
      </c>
      <c r="D134" s="288"/>
      <c r="E134" s="747"/>
      <c r="F134" s="748"/>
      <c r="G134" s="749"/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A1 E133:F133 G130:G133 G124 B116 B114 B92:B94 B90:D91 F60:G60 A58 A31:A34 B5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N1 G125 E125 F123:F125 G116 G114 E106:H106 G104:H105 E102:H102 G100:H101 E92 F90:F94 H82:J82 F81:J81 H72:J80 E72:E82 E61:H62 J61:J62 E59:G59 E56:G57 E50:G53 AI28 AG28 AE28 AC28 AA28 Y28 S28:W28 H23:I23 F23 G22:G23 E22:E23 AI18 AG18 AE18 AC18 AA18 Y18 S18:W18 K17:N17 R17:R18 K11:N14 G17:H17 E17:E18 O12:P14 P1 R12:R14 H12:H14 F12:F13 Q11 G11:G14 E11:E14 F18:I18 K18:Q18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F11 E130:F132 E124 E116 E114 E104:F105 E100:F101 E93:E94 E90:E91 F82:G82 F72:G80 H22:I22 F22 AI17 AG17 AE17 AC17 AA17 Y17 S17:W17 O17:Q17 I17 F17 S12:W14 F14 Q12:Q14 I12:I14 AI11:AI14 AG11:AG14 AE11:AE14 AC11:AC14 AA11:AA14 Y11:Y14 R11:W11 O11:P11 H11:I11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3" fitToWidth="2" fitToHeight="12" orientation="landscape" horizontalDpi="90" verticalDpi="90" r:id="rId1"/>
  <rowBreaks count="1" manualBreakCount="1">
    <brk id="66" max="65" man="1"/>
  </rowBreaks>
  <colBreaks count="1" manualBreakCount="1">
    <brk id="35" max="1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Z49"/>
  <sheetViews>
    <sheetView zoomScale="70" zoomScaleNormal="70" workbookViewId="0">
      <pane xSplit="3" topLeftCell="D1" activePane="topRight" state="frozen"/>
      <selection pane="topRight"/>
    </sheetView>
  </sheetViews>
  <sheetFormatPr defaultRowHeight="12.75" x14ac:dyDescent="0.2"/>
  <cols>
    <col min="1" max="1" width="4.42578125" customWidth="1"/>
    <col min="2" max="2" width="57.7109375" customWidth="1"/>
    <col min="3" max="3" width="10.140625" customWidth="1"/>
    <col min="4" max="11" width="19" customWidth="1"/>
    <col min="12" max="12" width="5.42578125" customWidth="1"/>
    <col min="13" max="78" width="2.7109375" hidden="1" customWidth="1"/>
  </cols>
  <sheetData>
    <row r="1" spans="1:11" ht="15.75" x14ac:dyDescent="0.25">
      <c r="A1" s="1131" t="s">
        <v>3726</v>
      </c>
      <c r="B1" s="1139" t="str">
        <f>OrgName</f>
        <v>ZZZ NHS TRUST</v>
      </c>
      <c r="C1" s="1122"/>
      <c r="D1" s="1122"/>
      <c r="E1" s="1177" t="str">
        <f>HYPERLINK(CHAR(35)&amp;"1415TRU_Index_P13"&amp;"!A1","GoTo Index tab")</f>
        <v>GoTo Index tab</v>
      </c>
    </row>
    <row r="2" spans="1:11" x14ac:dyDescent="0.2">
      <c r="A2" s="1131" t="s">
        <v>3727</v>
      </c>
      <c r="B2" s="1137" t="str">
        <f>"Org Code: " &amp; Orgcode</f>
        <v>Org Code: ZZZ</v>
      </c>
      <c r="C2" s="1119"/>
      <c r="D2" s="1119"/>
      <c r="E2" s="1135"/>
    </row>
    <row r="3" spans="1:11" x14ac:dyDescent="0.2">
      <c r="A3" s="1131" t="s">
        <v>3737</v>
      </c>
      <c r="B3" s="1160" t="s">
        <v>3725</v>
      </c>
      <c r="C3" s="1125"/>
      <c r="D3" s="1125"/>
      <c r="E3" s="1136"/>
    </row>
    <row r="4" spans="1:11" x14ac:dyDescent="0.2">
      <c r="B4" s="102" t="s">
        <v>931</v>
      </c>
      <c r="K4" s="97"/>
    </row>
    <row r="5" spans="1:11" x14ac:dyDescent="0.2">
      <c r="B5" s="103" t="s">
        <v>66</v>
      </c>
    </row>
    <row r="6" spans="1:11" ht="13.5" thickBot="1" x14ac:dyDescent="0.25">
      <c r="B6" s="97" t="s">
        <v>933</v>
      </c>
    </row>
    <row r="7" spans="1:11" ht="13.5" thickTop="1" x14ac:dyDescent="0.2">
      <c r="B7" s="190"/>
      <c r="C7" s="192"/>
      <c r="D7" s="195" t="s">
        <v>235</v>
      </c>
      <c r="E7" s="195" t="s">
        <v>236</v>
      </c>
      <c r="F7" s="195" t="s">
        <v>293</v>
      </c>
      <c r="G7" s="195" t="s">
        <v>294</v>
      </c>
      <c r="H7" s="195" t="s">
        <v>295</v>
      </c>
      <c r="I7" s="195" t="s">
        <v>296</v>
      </c>
      <c r="J7" s="195" t="s">
        <v>342</v>
      </c>
      <c r="K7" s="197" t="s">
        <v>297</v>
      </c>
    </row>
    <row r="8" spans="1:11" ht="51" x14ac:dyDescent="0.2">
      <c r="B8" s="355" t="s">
        <v>936</v>
      </c>
      <c r="C8" s="201" t="s">
        <v>937</v>
      </c>
      <c r="D8" s="201" t="s">
        <v>938</v>
      </c>
      <c r="E8" s="201" t="s">
        <v>939</v>
      </c>
      <c r="F8" s="201" t="s">
        <v>940</v>
      </c>
      <c r="G8" s="201" t="s">
        <v>941</v>
      </c>
      <c r="H8" s="201" t="s">
        <v>942</v>
      </c>
      <c r="I8" s="201" t="s">
        <v>943</v>
      </c>
      <c r="J8" s="201" t="s">
        <v>944</v>
      </c>
      <c r="K8" s="202" t="s">
        <v>945</v>
      </c>
    </row>
    <row r="9" spans="1:11" ht="26.25" thickBot="1" x14ac:dyDescent="0.25">
      <c r="B9" s="188"/>
      <c r="C9" s="137"/>
      <c r="D9" s="278" t="s">
        <v>946</v>
      </c>
      <c r="E9" s="204" t="s">
        <v>947</v>
      </c>
      <c r="F9" s="278" t="s">
        <v>946</v>
      </c>
      <c r="G9" s="204" t="s">
        <v>947</v>
      </c>
      <c r="H9" s="278" t="s">
        <v>946</v>
      </c>
      <c r="I9" s="204" t="s">
        <v>947</v>
      </c>
      <c r="J9" s="278" t="s">
        <v>946</v>
      </c>
      <c r="K9" s="210" t="s">
        <v>947</v>
      </c>
    </row>
    <row r="10" spans="1:11" x14ac:dyDescent="0.2">
      <c r="B10" s="189" t="s">
        <v>948</v>
      </c>
      <c r="C10" s="207">
        <v>100</v>
      </c>
      <c r="D10" s="356"/>
      <c r="E10" s="356"/>
      <c r="F10" s="356"/>
      <c r="G10" s="356"/>
      <c r="H10" s="209">
        <f t="shared" ref="H10:I16" si="0">D10+F10</f>
        <v>0</v>
      </c>
      <c r="I10" s="209">
        <f t="shared" si="0"/>
        <v>0</v>
      </c>
      <c r="J10" s="356"/>
      <c r="K10" s="295"/>
    </row>
    <row r="11" spans="1:11" x14ac:dyDescent="0.2">
      <c r="B11" s="213" t="s">
        <v>949</v>
      </c>
      <c r="C11" s="218">
        <v>110</v>
      </c>
      <c r="D11" s="228"/>
      <c r="E11" s="228"/>
      <c r="F11" s="228"/>
      <c r="G11" s="228"/>
      <c r="H11" s="220">
        <f t="shared" si="0"/>
        <v>0</v>
      </c>
      <c r="I11" s="220">
        <f t="shared" si="0"/>
        <v>0</v>
      </c>
      <c r="J11" s="228"/>
      <c r="K11" s="297"/>
    </row>
    <row r="12" spans="1:11" x14ac:dyDescent="0.2">
      <c r="B12" s="213" t="s">
        <v>950</v>
      </c>
      <c r="C12" s="218">
        <v>120</v>
      </c>
      <c r="D12" s="228"/>
      <c r="E12" s="228"/>
      <c r="F12" s="228"/>
      <c r="G12" s="228"/>
      <c r="H12" s="220">
        <f t="shared" si="0"/>
        <v>0</v>
      </c>
      <c r="I12" s="220">
        <f t="shared" si="0"/>
        <v>0</v>
      </c>
      <c r="J12" s="228"/>
      <c r="K12" s="297"/>
    </row>
    <row r="13" spans="1:11" x14ac:dyDescent="0.2">
      <c r="B13" s="213" t="s">
        <v>951</v>
      </c>
      <c r="C13" s="218">
        <v>130</v>
      </c>
      <c r="D13" s="228"/>
      <c r="E13" s="228"/>
      <c r="F13" s="228"/>
      <c r="G13" s="228"/>
      <c r="H13" s="220">
        <f t="shared" si="0"/>
        <v>0</v>
      </c>
      <c r="I13" s="220">
        <f t="shared" si="0"/>
        <v>0</v>
      </c>
      <c r="J13" s="228"/>
      <c r="K13" s="297"/>
    </row>
    <row r="14" spans="1:11" x14ac:dyDescent="0.2">
      <c r="B14" s="213" t="s">
        <v>952</v>
      </c>
      <c r="C14" s="218">
        <v>140</v>
      </c>
      <c r="D14" s="228"/>
      <c r="E14" s="228"/>
      <c r="F14" s="228"/>
      <c r="G14" s="228"/>
      <c r="H14" s="220">
        <f t="shared" si="0"/>
        <v>0</v>
      </c>
      <c r="I14" s="220">
        <f t="shared" si="0"/>
        <v>0</v>
      </c>
      <c r="J14" s="228"/>
      <c r="K14" s="297"/>
    </row>
    <row r="15" spans="1:11" x14ac:dyDescent="0.2">
      <c r="B15" s="213" t="s">
        <v>953</v>
      </c>
      <c r="C15" s="218">
        <v>150</v>
      </c>
      <c r="D15" s="228"/>
      <c r="E15" s="228"/>
      <c r="F15" s="228"/>
      <c r="G15" s="228"/>
      <c r="H15" s="220">
        <f t="shared" si="0"/>
        <v>0</v>
      </c>
      <c r="I15" s="220">
        <f t="shared" si="0"/>
        <v>0</v>
      </c>
      <c r="J15" s="228"/>
      <c r="K15" s="297"/>
    </row>
    <row r="16" spans="1:11" x14ac:dyDescent="0.2">
      <c r="B16" s="213" t="s">
        <v>954</v>
      </c>
      <c r="C16" s="234">
        <v>160</v>
      </c>
      <c r="D16" s="396"/>
      <c r="E16" s="396"/>
      <c r="F16" s="396"/>
      <c r="G16" s="396"/>
      <c r="H16" s="268">
        <f t="shared" si="0"/>
        <v>0</v>
      </c>
      <c r="I16" s="268">
        <f t="shared" si="0"/>
        <v>0</v>
      </c>
      <c r="J16" s="396"/>
      <c r="K16" s="297"/>
    </row>
    <row r="17" spans="2:11" ht="13.5" thickBot="1" x14ac:dyDescent="0.25">
      <c r="B17" s="233" t="s">
        <v>340</v>
      </c>
      <c r="C17" s="236">
        <v>170</v>
      </c>
      <c r="D17" s="240">
        <f t="shared" ref="D17:K17" si="1">SUM(D10:D16)</f>
        <v>0</v>
      </c>
      <c r="E17" s="240">
        <f t="shared" si="1"/>
        <v>0</v>
      </c>
      <c r="F17" s="240">
        <f t="shared" si="1"/>
        <v>0</v>
      </c>
      <c r="G17" s="240">
        <f t="shared" si="1"/>
        <v>0</v>
      </c>
      <c r="H17" s="240">
        <f t="shared" si="1"/>
        <v>0</v>
      </c>
      <c r="I17" s="240">
        <f t="shared" si="1"/>
        <v>0</v>
      </c>
      <c r="J17" s="240">
        <f t="shared" si="1"/>
        <v>0</v>
      </c>
      <c r="K17" s="241">
        <f t="shared" si="1"/>
        <v>0</v>
      </c>
    </row>
    <row r="18" spans="2:11" ht="13.5" thickTop="1" x14ac:dyDescent="0.2">
      <c r="D18" s="760"/>
    </row>
    <row r="20" spans="2:11" ht="13.5" thickBot="1" x14ac:dyDescent="0.25">
      <c r="B20" s="97" t="s">
        <v>955</v>
      </c>
    </row>
    <row r="21" spans="2:11" ht="13.5" thickTop="1" x14ac:dyDescent="0.2">
      <c r="B21" s="190"/>
      <c r="C21" s="192"/>
      <c r="D21" s="195" t="s">
        <v>235</v>
      </c>
      <c r="E21" s="195" t="s">
        <v>236</v>
      </c>
      <c r="F21" s="195" t="s">
        <v>293</v>
      </c>
      <c r="G21" s="195" t="s">
        <v>294</v>
      </c>
      <c r="H21" s="195" t="s">
        <v>295</v>
      </c>
      <c r="I21" s="195" t="s">
        <v>296</v>
      </c>
      <c r="J21" s="195" t="s">
        <v>342</v>
      </c>
      <c r="K21" s="197" t="s">
        <v>297</v>
      </c>
    </row>
    <row r="22" spans="2:11" ht="51" x14ac:dyDescent="0.2">
      <c r="B22" s="355" t="s">
        <v>936</v>
      </c>
      <c r="C22" s="201" t="s">
        <v>937</v>
      </c>
      <c r="D22" s="201" t="s">
        <v>938</v>
      </c>
      <c r="E22" s="201" t="s">
        <v>939</v>
      </c>
      <c r="F22" s="201" t="s">
        <v>940</v>
      </c>
      <c r="G22" s="201" t="s">
        <v>941</v>
      </c>
      <c r="H22" s="201" t="s">
        <v>942</v>
      </c>
      <c r="I22" s="201" t="s">
        <v>943</v>
      </c>
      <c r="J22" s="201" t="s">
        <v>944</v>
      </c>
      <c r="K22" s="202" t="s">
        <v>945</v>
      </c>
    </row>
    <row r="23" spans="2:11" ht="13.5" thickBot="1" x14ac:dyDescent="0.25">
      <c r="B23" s="188"/>
      <c r="C23" s="137"/>
      <c r="D23" s="204" t="s">
        <v>891</v>
      </c>
      <c r="E23" s="204" t="s">
        <v>947</v>
      </c>
      <c r="F23" s="204" t="s">
        <v>891</v>
      </c>
      <c r="G23" s="204" t="s">
        <v>947</v>
      </c>
      <c r="H23" s="204" t="s">
        <v>891</v>
      </c>
      <c r="I23" s="204" t="s">
        <v>947</v>
      </c>
      <c r="J23" s="204" t="s">
        <v>891</v>
      </c>
      <c r="K23" s="210" t="s">
        <v>947</v>
      </c>
    </row>
    <row r="24" spans="2:11" x14ac:dyDescent="0.2">
      <c r="B24" s="761" t="s">
        <v>948</v>
      </c>
      <c r="C24" s="207">
        <v>200</v>
      </c>
      <c r="D24" s="302"/>
      <c r="E24" s="302"/>
      <c r="F24" s="302"/>
      <c r="G24" s="302"/>
      <c r="H24" s="302">
        <f t="shared" ref="H24:H30" si="2">D24+F24</f>
        <v>0</v>
      </c>
      <c r="I24" s="302">
        <f t="shared" ref="I24:I30" si="3">E24+G24</f>
        <v>0</v>
      </c>
      <c r="J24" s="302"/>
      <c r="K24" s="304"/>
    </row>
    <row r="25" spans="2:11" x14ac:dyDescent="0.2">
      <c r="B25" s="231" t="s">
        <v>956</v>
      </c>
      <c r="C25" s="218">
        <v>210</v>
      </c>
      <c r="D25" s="300"/>
      <c r="E25" s="300"/>
      <c r="F25" s="300"/>
      <c r="G25" s="300"/>
      <c r="H25" s="300">
        <f t="shared" si="2"/>
        <v>0</v>
      </c>
      <c r="I25" s="300">
        <f t="shared" si="3"/>
        <v>0</v>
      </c>
      <c r="J25" s="300"/>
      <c r="K25" s="298"/>
    </row>
    <row r="26" spans="2:11" x14ac:dyDescent="0.2">
      <c r="B26" s="231" t="s">
        <v>950</v>
      </c>
      <c r="C26" s="218">
        <v>220</v>
      </c>
      <c r="D26" s="300"/>
      <c r="E26" s="300"/>
      <c r="F26" s="300"/>
      <c r="G26" s="300"/>
      <c r="H26" s="300">
        <f t="shared" si="2"/>
        <v>0</v>
      </c>
      <c r="I26" s="300">
        <f t="shared" si="3"/>
        <v>0</v>
      </c>
      <c r="J26" s="300"/>
      <c r="K26" s="298"/>
    </row>
    <row r="27" spans="2:11" x14ac:dyDescent="0.2">
      <c r="B27" s="231" t="s">
        <v>951</v>
      </c>
      <c r="C27" s="218">
        <v>230</v>
      </c>
      <c r="D27" s="300"/>
      <c r="E27" s="300"/>
      <c r="F27" s="300"/>
      <c r="G27" s="300"/>
      <c r="H27" s="300">
        <f t="shared" si="2"/>
        <v>0</v>
      </c>
      <c r="I27" s="300">
        <f t="shared" si="3"/>
        <v>0</v>
      </c>
      <c r="J27" s="300"/>
      <c r="K27" s="298"/>
    </row>
    <row r="28" spans="2:11" x14ac:dyDescent="0.2">
      <c r="B28" s="231" t="s">
        <v>952</v>
      </c>
      <c r="C28" s="218">
        <v>240</v>
      </c>
      <c r="D28" s="300"/>
      <c r="E28" s="300"/>
      <c r="F28" s="300"/>
      <c r="G28" s="300"/>
      <c r="H28" s="300">
        <f t="shared" si="2"/>
        <v>0</v>
      </c>
      <c r="I28" s="300">
        <f t="shared" si="3"/>
        <v>0</v>
      </c>
      <c r="J28" s="300"/>
      <c r="K28" s="298"/>
    </row>
    <row r="29" spans="2:11" x14ac:dyDescent="0.2">
      <c r="B29" s="231" t="s">
        <v>953</v>
      </c>
      <c r="C29" s="218">
        <v>250</v>
      </c>
      <c r="D29" s="300"/>
      <c r="E29" s="300"/>
      <c r="F29" s="300"/>
      <c r="G29" s="300"/>
      <c r="H29" s="300">
        <f t="shared" si="2"/>
        <v>0</v>
      </c>
      <c r="I29" s="300">
        <f t="shared" si="3"/>
        <v>0</v>
      </c>
      <c r="J29" s="300"/>
      <c r="K29" s="298"/>
    </row>
    <row r="30" spans="2:11" x14ac:dyDescent="0.2">
      <c r="B30" s="231" t="s">
        <v>954</v>
      </c>
      <c r="C30" s="234">
        <v>260</v>
      </c>
      <c r="D30" s="403"/>
      <c r="E30" s="403"/>
      <c r="F30" s="403"/>
      <c r="G30" s="403"/>
      <c r="H30" s="403">
        <f t="shared" si="2"/>
        <v>0</v>
      </c>
      <c r="I30" s="403">
        <f t="shared" si="3"/>
        <v>0</v>
      </c>
      <c r="J30" s="403"/>
      <c r="K30" s="298"/>
    </row>
    <row r="31" spans="2:11" ht="13.5" thickBot="1" x14ac:dyDescent="0.25">
      <c r="B31" s="233" t="s">
        <v>340</v>
      </c>
      <c r="C31" s="236">
        <v>270</v>
      </c>
      <c r="D31" s="464">
        <f t="shared" ref="D31:K31" si="4">SUM(D24:D30)</f>
        <v>0</v>
      </c>
      <c r="E31" s="464">
        <f t="shared" si="4"/>
        <v>0</v>
      </c>
      <c r="F31" s="464">
        <f t="shared" si="4"/>
        <v>0</v>
      </c>
      <c r="G31" s="464">
        <f t="shared" si="4"/>
        <v>0</v>
      </c>
      <c r="H31" s="464">
        <f t="shared" si="4"/>
        <v>0</v>
      </c>
      <c r="I31" s="464">
        <f t="shared" si="4"/>
        <v>0</v>
      </c>
      <c r="J31" s="464">
        <f t="shared" si="4"/>
        <v>0</v>
      </c>
      <c r="K31" s="301">
        <f t="shared" si="4"/>
        <v>0</v>
      </c>
    </row>
    <row r="32" spans="2:11" ht="13.5" thickTop="1" x14ac:dyDescent="0.2"/>
    <row r="34" spans="2:7" ht="13.5" thickBot="1" x14ac:dyDescent="0.25">
      <c r="B34" s="97" t="s">
        <v>957</v>
      </c>
    </row>
    <row r="35" spans="2:7" ht="13.5" thickTop="1" x14ac:dyDescent="0.2">
      <c r="B35" s="190"/>
      <c r="C35" s="192"/>
      <c r="D35" s="195" t="s">
        <v>235</v>
      </c>
      <c r="E35" s="195" t="s">
        <v>236</v>
      </c>
      <c r="F35" s="195" t="s">
        <v>293</v>
      </c>
      <c r="G35" s="197" t="s">
        <v>294</v>
      </c>
    </row>
    <row r="36" spans="2:7" ht="38.25" x14ac:dyDescent="0.2">
      <c r="B36" s="355" t="s">
        <v>958</v>
      </c>
      <c r="C36" s="199" t="s">
        <v>238</v>
      </c>
      <c r="D36" s="201" t="s">
        <v>959</v>
      </c>
      <c r="E36" s="201" t="s">
        <v>960</v>
      </c>
      <c r="F36" s="201" t="s">
        <v>961</v>
      </c>
      <c r="G36" s="202" t="s">
        <v>962</v>
      </c>
    </row>
    <row r="37" spans="2:7" ht="13.5" thickBot="1" x14ac:dyDescent="0.25">
      <c r="B37" s="188"/>
      <c r="C37" s="204" t="s">
        <v>242</v>
      </c>
      <c r="D37" s="204" t="s">
        <v>891</v>
      </c>
      <c r="E37" s="204" t="s">
        <v>243</v>
      </c>
      <c r="F37" s="204" t="s">
        <v>891</v>
      </c>
      <c r="G37" s="210" t="s">
        <v>243</v>
      </c>
    </row>
    <row r="38" spans="2:7" x14ac:dyDescent="0.2">
      <c r="B38" s="189" t="s">
        <v>963</v>
      </c>
      <c r="C38" s="207">
        <v>280</v>
      </c>
      <c r="D38" s="356"/>
      <c r="E38" s="356"/>
      <c r="F38" s="302"/>
      <c r="G38" s="304"/>
    </row>
    <row r="39" spans="2:7" x14ac:dyDescent="0.2">
      <c r="B39" s="213" t="s">
        <v>964</v>
      </c>
      <c r="C39" s="218">
        <v>290</v>
      </c>
      <c r="D39" s="228"/>
      <c r="E39" s="228"/>
      <c r="F39" s="300"/>
      <c r="G39" s="298"/>
    </row>
    <row r="40" spans="2:7" x14ac:dyDescent="0.2">
      <c r="B40" s="213" t="s">
        <v>965</v>
      </c>
      <c r="C40" s="218">
        <v>300</v>
      </c>
      <c r="D40" s="228"/>
      <c r="E40" s="228"/>
      <c r="F40" s="300"/>
      <c r="G40" s="298"/>
    </row>
    <row r="41" spans="2:7" x14ac:dyDescent="0.2">
      <c r="B41" s="213" t="s">
        <v>966</v>
      </c>
      <c r="C41" s="218">
        <v>310</v>
      </c>
      <c r="D41" s="228"/>
      <c r="E41" s="228"/>
      <c r="F41" s="300"/>
      <c r="G41" s="298"/>
    </row>
    <row r="42" spans="2:7" x14ac:dyDescent="0.2">
      <c r="B42" s="213" t="s">
        <v>967</v>
      </c>
      <c r="C42" s="218">
        <v>320</v>
      </c>
      <c r="D42" s="228"/>
      <c r="E42" s="228"/>
      <c r="F42" s="300"/>
      <c r="G42" s="298"/>
    </row>
    <row r="43" spans="2:7" x14ac:dyDescent="0.2">
      <c r="B43" s="213" t="s">
        <v>968</v>
      </c>
      <c r="C43" s="218">
        <v>330</v>
      </c>
      <c r="D43" s="228"/>
      <c r="E43" s="228"/>
      <c r="F43" s="300"/>
      <c r="G43" s="298"/>
    </row>
    <row r="44" spans="2:7" x14ac:dyDescent="0.2">
      <c r="B44" s="226" t="s">
        <v>340</v>
      </c>
      <c r="C44" s="234">
        <v>340</v>
      </c>
      <c r="D44" s="239">
        <f>SUM(D38:D43)</f>
        <v>0</v>
      </c>
      <c r="E44" s="239">
        <f>SUM(E38:E43)</f>
        <v>0</v>
      </c>
      <c r="F44" s="239">
        <f>SUM(F38:F43)</f>
        <v>0</v>
      </c>
      <c r="G44" s="227">
        <f>SUM(G38:G43)</f>
        <v>0</v>
      </c>
    </row>
    <row r="45" spans="2:7" ht="26.25" thickBot="1" x14ac:dyDescent="0.25">
      <c r="B45" s="732" t="s">
        <v>969</v>
      </c>
      <c r="C45" s="236">
        <v>350</v>
      </c>
      <c r="D45" s="371"/>
      <c r="E45" s="371"/>
      <c r="F45" s="756"/>
      <c r="G45" s="685"/>
    </row>
    <row r="46" spans="2:7" ht="13.5" thickTop="1" x14ac:dyDescent="0.2">
      <c r="B46" s="97" t="s">
        <v>970</v>
      </c>
    </row>
    <row r="47" spans="2:7" x14ac:dyDescent="0.2">
      <c r="B47" s="97" t="s">
        <v>971</v>
      </c>
    </row>
    <row r="48" spans="2:7" x14ac:dyDescent="0.2">
      <c r="B48" s="97" t="s">
        <v>972</v>
      </c>
    </row>
    <row r="49" spans="2:2" x14ac:dyDescent="0.2">
      <c r="B49" s="97" t="s">
        <v>973</v>
      </c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F45:G45 D44:G44 F38:G43 D24:K31 D18 J17:K17 D17:G17 H10:I17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D45:E45 D38:E43 J10:K16 D10:G16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orientation="landscape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B91"/>
  <sheetViews>
    <sheetView zoomScale="70" zoomScaleNormal="70" workbookViewId="0">
      <pane xSplit="4" topLeftCell="E1" activePane="topRight" state="frozen"/>
      <selection pane="topRight" activeCell="H104" sqref="H104"/>
    </sheetView>
  </sheetViews>
  <sheetFormatPr defaultRowHeight="12.75" x14ac:dyDescent="0.2"/>
  <cols>
    <col min="1" max="1" width="5" customWidth="1"/>
    <col min="2" max="2" width="57.7109375" customWidth="1"/>
    <col min="3" max="4" width="10.140625" customWidth="1"/>
    <col min="5" max="5" width="15.140625" customWidth="1"/>
    <col min="6" max="6" width="3.28515625" hidden="1" customWidth="1"/>
    <col min="7" max="7" width="3.7109375" hidden="1" customWidth="1"/>
    <col min="8" max="8" width="15.140625" customWidth="1"/>
    <col min="9" max="9" width="4" hidden="1" customWidth="1"/>
    <col min="10" max="11" width="3.5703125" hidden="1" customWidth="1"/>
    <col min="12" max="14" width="4" hidden="1" customWidth="1"/>
    <col min="15" max="19" width="15.140625" hidden="1" customWidth="1"/>
    <col min="20" max="20" width="3.42578125" hidden="1" customWidth="1"/>
    <col min="21" max="21" width="15.140625" hidden="1" customWidth="1"/>
    <col min="22" max="22" width="3.42578125" hidden="1" customWidth="1"/>
    <col min="23" max="23" width="15.140625" hidden="1" customWidth="1"/>
    <col min="24" max="24" width="3.42578125" hidden="1" customWidth="1"/>
    <col min="25" max="25" width="15.140625" hidden="1" customWidth="1"/>
    <col min="26" max="26" width="3.42578125" hidden="1" customWidth="1"/>
    <col min="27" max="27" width="15.140625" hidden="1" customWidth="1"/>
    <col min="28" max="28" width="3.42578125" hidden="1" customWidth="1"/>
    <col min="29" max="29" width="15.140625" hidden="1" customWidth="1"/>
    <col min="30" max="30" width="3.42578125" hidden="1" customWidth="1"/>
    <col min="31" max="31" width="15.140625" hidden="1" customWidth="1"/>
    <col min="32" max="32" width="4.5703125" customWidth="1"/>
    <col min="33" max="54" width="3.140625" hidden="1" customWidth="1"/>
  </cols>
  <sheetData>
    <row r="1" spans="1:54" ht="15.75" x14ac:dyDescent="0.25">
      <c r="A1" s="1143" t="s">
        <v>3726</v>
      </c>
      <c r="B1" s="1159" t="str">
        <f>OrgName</f>
        <v>ZZZ NHS TRUST</v>
      </c>
      <c r="C1" s="1162"/>
      <c r="D1" s="1149"/>
      <c r="E1" s="1177" t="str">
        <f>HYPERLINK(CHAR(35)&amp;"1415TRU_Index_P13"&amp;"!A1","GoTo Index tab")</f>
        <v>GoTo Index tab</v>
      </c>
      <c r="F1" s="105"/>
      <c r="I1" s="105"/>
      <c r="L1" s="186"/>
      <c r="M1" s="186"/>
      <c r="N1" s="105"/>
      <c r="T1" s="762"/>
      <c r="V1" s="762"/>
      <c r="X1" s="762"/>
      <c r="Z1" s="762"/>
      <c r="AB1" s="762"/>
      <c r="AD1" s="157"/>
      <c r="BA1" s="466"/>
      <c r="BB1" s="466"/>
    </row>
    <row r="2" spans="1:54" x14ac:dyDescent="0.2">
      <c r="A2" s="1143" t="s">
        <v>3727</v>
      </c>
      <c r="B2" s="1157" t="str">
        <f>"Org Code: " &amp; Orgcode</f>
        <v>Org Code: ZZZ</v>
      </c>
      <c r="C2" s="1161"/>
      <c r="D2" s="1148"/>
      <c r="E2" s="1155"/>
    </row>
    <row r="3" spans="1:54" x14ac:dyDescent="0.2">
      <c r="A3" s="1143" t="s">
        <v>3738</v>
      </c>
      <c r="B3" s="1158" t="s">
        <v>3725</v>
      </c>
      <c r="C3" s="1163"/>
      <c r="D3" s="1150"/>
      <c r="E3" s="1156"/>
    </row>
    <row r="4" spans="1:54" x14ac:dyDescent="0.2">
      <c r="A4" s="99"/>
      <c r="B4" s="102" t="s">
        <v>974</v>
      </c>
      <c r="C4" s="172"/>
      <c r="D4" s="157"/>
      <c r="E4" s="99"/>
    </row>
    <row r="5" spans="1:54" x14ac:dyDescent="0.2">
      <c r="A5" s="99"/>
      <c r="B5" s="103" t="s">
        <v>66</v>
      </c>
      <c r="C5" s="172"/>
      <c r="D5" s="157"/>
      <c r="E5" s="99"/>
    </row>
    <row r="6" spans="1:54" ht="13.5" thickBot="1" x14ac:dyDescent="0.25">
      <c r="A6" s="99"/>
      <c r="B6" s="102"/>
      <c r="C6" s="172"/>
      <c r="D6" s="157"/>
      <c r="E6" s="99"/>
    </row>
    <row r="7" spans="1:54" ht="13.5" thickTop="1" x14ac:dyDescent="0.2">
      <c r="A7" s="99"/>
      <c r="B7" s="261"/>
      <c r="C7" s="195"/>
      <c r="D7" s="195" t="s">
        <v>25</v>
      </c>
      <c r="E7" s="195" t="s">
        <v>235</v>
      </c>
      <c r="F7" s="97"/>
      <c r="H7" s="197" t="s">
        <v>294</v>
      </c>
      <c r="I7" s="97"/>
      <c r="L7" s="97"/>
      <c r="M7" s="97"/>
      <c r="N7" s="97"/>
      <c r="O7" s="353" t="s">
        <v>360</v>
      </c>
      <c r="P7" s="195" t="s">
        <v>361</v>
      </c>
      <c r="Q7" s="353" t="s">
        <v>362</v>
      </c>
      <c r="R7" s="195" t="s">
        <v>576</v>
      </c>
      <c r="S7" s="353" t="s">
        <v>577</v>
      </c>
      <c r="T7" s="97"/>
      <c r="U7" s="353" t="s">
        <v>579</v>
      </c>
      <c r="V7" s="97"/>
      <c r="W7" s="353" t="s">
        <v>581</v>
      </c>
      <c r="X7" s="97"/>
      <c r="Y7" s="353" t="s">
        <v>583</v>
      </c>
      <c r="Z7" s="97"/>
      <c r="AA7" s="353" t="s">
        <v>823</v>
      </c>
      <c r="AB7" s="97"/>
      <c r="AC7" s="353" t="s">
        <v>825</v>
      </c>
      <c r="AD7" s="97"/>
      <c r="AE7" s="293" t="s">
        <v>827</v>
      </c>
      <c r="BA7" s="97"/>
      <c r="BB7" s="97"/>
    </row>
    <row r="8" spans="1:54" ht="51" x14ac:dyDescent="0.2">
      <c r="A8" s="100"/>
      <c r="B8" s="264" t="s">
        <v>111</v>
      </c>
      <c r="C8" s="199" t="s">
        <v>238</v>
      </c>
      <c r="D8" s="131"/>
      <c r="E8" s="201" t="s">
        <v>975</v>
      </c>
      <c r="F8" s="97"/>
      <c r="H8" s="202" t="s">
        <v>240</v>
      </c>
      <c r="I8" s="97"/>
      <c r="L8" s="97"/>
      <c r="M8" s="97"/>
      <c r="N8" s="97"/>
      <c r="O8" s="201" t="s">
        <v>587</v>
      </c>
      <c r="P8" s="201" t="s">
        <v>688</v>
      </c>
      <c r="Q8" s="201" t="s">
        <v>589</v>
      </c>
      <c r="R8" s="201" t="s">
        <v>590</v>
      </c>
      <c r="S8" s="201" t="s">
        <v>591</v>
      </c>
      <c r="T8" s="97"/>
      <c r="U8" s="201" t="s">
        <v>593</v>
      </c>
      <c r="V8" s="97"/>
      <c r="W8" s="201" t="s">
        <v>595</v>
      </c>
      <c r="X8" s="97"/>
      <c r="Y8" s="201" t="s">
        <v>597</v>
      </c>
      <c r="Z8" s="97"/>
      <c r="AA8" s="201" t="s">
        <v>599</v>
      </c>
      <c r="AB8" s="97"/>
      <c r="AC8" s="201" t="s">
        <v>601</v>
      </c>
      <c r="AD8" s="97"/>
      <c r="AE8" s="202" t="s">
        <v>603</v>
      </c>
      <c r="BA8" s="97"/>
      <c r="BB8" s="97"/>
    </row>
    <row r="9" spans="1:54" ht="13.5" thickBot="1" x14ac:dyDescent="0.25">
      <c r="A9" s="100"/>
      <c r="B9" s="264"/>
      <c r="C9" s="204" t="s">
        <v>242</v>
      </c>
      <c r="D9" s="138"/>
      <c r="E9" s="204" t="s">
        <v>243</v>
      </c>
      <c r="F9" s="97"/>
      <c r="H9" s="1212" t="s">
        <v>243</v>
      </c>
      <c r="I9" s="97"/>
      <c r="L9" s="97"/>
      <c r="M9" s="97"/>
      <c r="N9" s="97"/>
      <c r="O9" s="278" t="s">
        <v>243</v>
      </c>
      <c r="P9" s="204" t="s">
        <v>243</v>
      </c>
      <c r="Q9" s="278" t="s">
        <v>243</v>
      </c>
      <c r="R9" s="204" t="s">
        <v>243</v>
      </c>
      <c r="S9" s="278" t="s">
        <v>243</v>
      </c>
      <c r="T9" s="97"/>
      <c r="U9" s="278" t="s">
        <v>243</v>
      </c>
      <c r="V9" s="97"/>
      <c r="W9" s="278" t="s">
        <v>243</v>
      </c>
      <c r="X9" s="97"/>
      <c r="Y9" s="278" t="s">
        <v>243</v>
      </c>
      <c r="Z9" s="97"/>
      <c r="AA9" s="278" t="s">
        <v>243</v>
      </c>
      <c r="AB9" s="97"/>
      <c r="AC9" s="278" t="s">
        <v>243</v>
      </c>
      <c r="AD9" s="97"/>
      <c r="AE9" s="202" t="s">
        <v>243</v>
      </c>
      <c r="BA9" s="97"/>
      <c r="BB9" s="97"/>
    </row>
    <row r="10" spans="1:54" ht="21.95" customHeight="1" x14ac:dyDescent="0.2">
      <c r="B10" s="474" t="s">
        <v>165</v>
      </c>
      <c r="C10" s="763"/>
      <c r="D10" s="735"/>
      <c r="E10" s="764"/>
      <c r="H10" s="1219"/>
      <c r="O10" s="764"/>
      <c r="P10" s="764"/>
      <c r="Q10" s="764"/>
      <c r="R10" s="764"/>
      <c r="S10" s="317"/>
      <c r="U10" s="317"/>
      <c r="W10" s="317"/>
      <c r="Y10" s="317"/>
      <c r="AA10" s="317"/>
      <c r="AC10" s="317"/>
      <c r="AE10" s="318"/>
    </row>
    <row r="11" spans="1:54" ht="21.95" customHeight="1" x14ac:dyDescent="0.2">
      <c r="B11" s="263" t="s">
        <v>976</v>
      </c>
      <c r="C11" s="251">
        <v>100</v>
      </c>
      <c r="D11" s="250" t="s">
        <v>248</v>
      </c>
      <c r="E11" s="493"/>
      <c r="H11" s="802"/>
      <c r="I11" s="97"/>
      <c r="O11" s="765"/>
      <c r="P11" s="765"/>
      <c r="Q11" s="766"/>
      <c r="R11" s="765"/>
      <c r="S11" s="766"/>
      <c r="U11" s="766"/>
      <c r="W11" s="766"/>
      <c r="Y11" s="766"/>
      <c r="AA11" s="766"/>
      <c r="AC11" s="766"/>
      <c r="AE11" s="769"/>
    </row>
    <row r="12" spans="1:54" ht="21.95" customHeight="1" x14ac:dyDescent="0.2">
      <c r="B12" s="246" t="s">
        <v>977</v>
      </c>
      <c r="C12" s="218">
        <v>110</v>
      </c>
      <c r="D12" s="217" t="s">
        <v>248</v>
      </c>
      <c r="E12" s="391"/>
      <c r="H12" s="305"/>
      <c r="I12" s="97"/>
      <c r="O12" s="767"/>
      <c r="P12" s="767"/>
      <c r="Q12" s="768"/>
      <c r="R12" s="767"/>
      <c r="S12" s="768"/>
      <c r="U12" s="768"/>
      <c r="W12" s="768"/>
      <c r="Y12" s="768"/>
      <c r="AA12" s="768"/>
      <c r="AC12" s="768"/>
      <c r="AE12" s="770"/>
    </row>
    <row r="13" spans="1:54" ht="21.95" customHeight="1" x14ac:dyDescent="0.2">
      <c r="B13" s="246" t="s">
        <v>978</v>
      </c>
      <c r="C13" s="218">
        <v>120</v>
      </c>
      <c r="D13" s="217" t="s">
        <v>248</v>
      </c>
      <c r="E13" s="391"/>
      <c r="H13" s="305"/>
      <c r="I13" s="97"/>
      <c r="O13" s="767"/>
      <c r="P13" s="767"/>
      <c r="Q13" s="768"/>
      <c r="R13" s="767"/>
      <c r="S13" s="768"/>
      <c r="U13" s="768"/>
      <c r="W13" s="768"/>
      <c r="Y13" s="768"/>
      <c r="AA13" s="768"/>
      <c r="AC13" s="768"/>
      <c r="AE13" s="770"/>
    </row>
    <row r="14" spans="1:54" ht="21.95" customHeight="1" x14ac:dyDescent="0.2">
      <c r="B14" s="445" t="s">
        <v>979</v>
      </c>
      <c r="C14" s="218">
        <v>130</v>
      </c>
      <c r="D14" s="217" t="s">
        <v>248</v>
      </c>
      <c r="E14" s="448">
        <f>SUM(E11:E13)</f>
        <v>0</v>
      </c>
      <c r="F14" s="97"/>
      <c r="H14" s="1011">
        <f>SUM(H11:H13)</f>
        <v>0</v>
      </c>
      <c r="I14" s="97"/>
      <c r="L14" s="97"/>
      <c r="M14" s="97"/>
      <c r="N14" s="97"/>
      <c r="O14" s="448">
        <f>SUM(O11:O13)</f>
        <v>0</v>
      </c>
      <c r="P14" s="448">
        <f>SUM(P11:P13)</f>
        <v>0</v>
      </c>
      <c r="Q14" s="448">
        <f>SUM(Q11:Q13)</f>
        <v>0</v>
      </c>
      <c r="R14" s="448">
        <f>SUM(R11:R13)</f>
        <v>0</v>
      </c>
      <c r="S14" s="448">
        <f>SUM(S11:S13)</f>
        <v>0</v>
      </c>
      <c r="T14" s="97"/>
      <c r="U14" s="448">
        <f>SUM(U11:U13)</f>
        <v>0</v>
      </c>
      <c r="V14" s="97"/>
      <c r="W14" s="448">
        <f>SUM(W11:W13)</f>
        <v>0</v>
      </c>
      <c r="X14" s="97"/>
      <c r="Y14" s="448">
        <f>SUM(Y11:Y13)</f>
        <v>0</v>
      </c>
      <c r="Z14" s="97"/>
      <c r="AA14" s="448">
        <f>SUM(AA11:AA13)</f>
        <v>0</v>
      </c>
      <c r="AB14" s="97"/>
      <c r="AC14" s="448">
        <f>SUM(AC11:AC13)</f>
        <v>0</v>
      </c>
      <c r="AD14" s="97"/>
      <c r="AE14" s="442">
        <f>SUM(AE11:AE13)</f>
        <v>0</v>
      </c>
      <c r="BA14" s="97"/>
      <c r="BB14" s="97"/>
    </row>
    <row r="15" spans="1:54" ht="21.95" customHeight="1" x14ac:dyDescent="0.2">
      <c r="B15" s="445" t="s">
        <v>980</v>
      </c>
      <c r="C15" s="446"/>
      <c r="D15" s="579"/>
      <c r="E15" s="771"/>
      <c r="H15" s="1220"/>
      <c r="I15" s="97"/>
      <c r="O15" s="772"/>
      <c r="P15" s="772"/>
      <c r="Q15" s="772"/>
      <c r="R15" s="772"/>
      <c r="S15" s="258"/>
      <c r="U15" s="258"/>
      <c r="W15" s="258"/>
      <c r="Y15" s="258"/>
      <c r="AA15" s="258"/>
      <c r="AC15" s="258"/>
      <c r="AE15" s="331"/>
    </row>
    <row r="16" spans="1:54" ht="21.95" customHeight="1" x14ac:dyDescent="0.2">
      <c r="B16" s="263" t="s">
        <v>981</v>
      </c>
      <c r="C16" s="251">
        <v>140</v>
      </c>
      <c r="D16" s="250" t="s">
        <v>248</v>
      </c>
      <c r="E16" s="493"/>
      <c r="H16" s="802"/>
      <c r="I16" s="108"/>
      <c r="O16" s="430"/>
      <c r="P16" s="765"/>
      <c r="Q16" s="766"/>
      <c r="R16" s="765"/>
      <c r="S16" s="766"/>
      <c r="U16" s="766"/>
      <c r="W16" s="766"/>
      <c r="Y16" s="766"/>
      <c r="AA16" s="766"/>
      <c r="AC16" s="766"/>
      <c r="AE16" s="769"/>
    </row>
    <row r="17" spans="2:54" ht="21.95" customHeight="1" x14ac:dyDescent="0.2">
      <c r="B17" s="246" t="s">
        <v>982</v>
      </c>
      <c r="C17" s="218">
        <v>150</v>
      </c>
      <c r="D17" s="217" t="s">
        <v>248</v>
      </c>
      <c r="E17" s="391"/>
      <c r="H17" s="305"/>
      <c r="I17" s="108"/>
      <c r="O17" s="768"/>
      <c r="P17" s="767"/>
      <c r="Q17" s="768"/>
      <c r="R17" s="767"/>
      <c r="S17" s="768"/>
      <c r="U17" s="768"/>
      <c r="W17" s="768"/>
      <c r="Y17" s="768"/>
      <c r="AA17" s="768"/>
      <c r="AC17" s="768"/>
      <c r="AE17" s="770"/>
    </row>
    <row r="18" spans="2:54" ht="21.95" customHeight="1" x14ac:dyDescent="0.2">
      <c r="B18" s="246" t="s">
        <v>983</v>
      </c>
      <c r="C18" s="218">
        <v>160</v>
      </c>
      <c r="D18" s="217" t="s">
        <v>248</v>
      </c>
      <c r="E18" s="391"/>
      <c r="H18" s="305"/>
      <c r="I18" s="97"/>
      <c r="O18" s="768"/>
      <c r="P18" s="767"/>
      <c r="Q18" s="768"/>
      <c r="R18" s="767"/>
      <c r="S18" s="768"/>
      <c r="U18" s="768"/>
      <c r="W18" s="768"/>
      <c r="Y18" s="768"/>
      <c r="AA18" s="768"/>
      <c r="AC18" s="768"/>
      <c r="AE18" s="770"/>
    </row>
    <row r="19" spans="2:54" ht="21.95" customHeight="1" x14ac:dyDescent="0.2">
      <c r="B19" s="246" t="s">
        <v>984</v>
      </c>
      <c r="C19" s="218">
        <v>170</v>
      </c>
      <c r="D19" s="217" t="s">
        <v>248</v>
      </c>
      <c r="E19" s="391"/>
      <c r="H19" s="305"/>
      <c r="I19" s="97"/>
      <c r="O19" s="391"/>
      <c r="P19" s="391"/>
      <c r="Q19" s="391"/>
      <c r="R19" s="391"/>
      <c r="S19" s="391"/>
      <c r="U19" s="391"/>
      <c r="W19" s="391"/>
      <c r="Y19" s="391"/>
      <c r="AA19" s="391"/>
      <c r="AC19" s="391"/>
      <c r="AE19" s="773"/>
    </row>
    <row r="20" spans="2:54" ht="21.95" customHeight="1" x14ac:dyDescent="0.2">
      <c r="B20" s="246" t="s">
        <v>985</v>
      </c>
      <c r="C20" s="218">
        <v>180</v>
      </c>
      <c r="D20" s="217" t="s">
        <v>248</v>
      </c>
      <c r="E20" s="391"/>
      <c r="H20" s="305"/>
      <c r="I20" s="97"/>
      <c r="O20" s="391"/>
      <c r="P20" s="391"/>
      <c r="Q20" s="391"/>
      <c r="R20" s="391"/>
      <c r="S20" s="391"/>
      <c r="U20" s="391"/>
      <c r="W20" s="391"/>
      <c r="Y20" s="391"/>
      <c r="AA20" s="391"/>
      <c r="AC20" s="391"/>
      <c r="AE20" s="773"/>
    </row>
    <row r="21" spans="2:54" ht="21.95" customHeight="1" x14ac:dyDescent="0.2">
      <c r="B21" s="246" t="s">
        <v>312</v>
      </c>
      <c r="C21" s="218">
        <v>190</v>
      </c>
      <c r="D21" s="217" t="s">
        <v>248</v>
      </c>
      <c r="E21" s="391"/>
      <c r="H21" s="305"/>
      <c r="O21" s="391"/>
      <c r="P21" s="391"/>
      <c r="Q21" s="391"/>
      <c r="R21" s="391"/>
      <c r="S21" s="391"/>
      <c r="U21" s="391"/>
      <c r="W21" s="391"/>
      <c r="Y21" s="391"/>
      <c r="AA21" s="391"/>
      <c r="AC21" s="391"/>
      <c r="AE21" s="773"/>
    </row>
    <row r="22" spans="2:54" ht="21.95" customHeight="1" x14ac:dyDescent="0.2">
      <c r="B22" s="445" t="s">
        <v>979</v>
      </c>
      <c r="C22" s="234">
        <v>200</v>
      </c>
      <c r="D22" s="237" t="s">
        <v>248</v>
      </c>
      <c r="E22" s="679">
        <f>SUM(E16:E21)</f>
        <v>0</v>
      </c>
      <c r="F22" s="97"/>
      <c r="H22" s="299">
        <f>SUM(H16:H21)</f>
        <v>0</v>
      </c>
      <c r="I22" s="97"/>
      <c r="L22" s="97"/>
      <c r="M22" s="97"/>
      <c r="N22" s="97"/>
      <c r="O22" s="679">
        <f>SUM(O16:O21)</f>
        <v>0</v>
      </c>
      <c r="P22" s="679">
        <f>SUM(P16:P21)</f>
        <v>0</v>
      </c>
      <c r="Q22" s="679">
        <f>SUM(Q16:Q21)</f>
        <v>0</v>
      </c>
      <c r="R22" s="679">
        <f>SUM(R16:R21)</f>
        <v>0</v>
      </c>
      <c r="S22" s="679">
        <f>SUM(S16:S21)</f>
        <v>0</v>
      </c>
      <c r="T22" s="97"/>
      <c r="U22" s="679">
        <f>SUM(U16:U21)</f>
        <v>0</v>
      </c>
      <c r="V22" s="97"/>
      <c r="W22" s="679">
        <f>SUM(W16:W21)</f>
        <v>0</v>
      </c>
      <c r="X22" s="97"/>
      <c r="Y22" s="679">
        <f>SUM(Y16:Y21)</f>
        <v>0</v>
      </c>
      <c r="Z22" s="97"/>
      <c r="AA22" s="679">
        <f>SUM(AA16:AA21)</f>
        <v>0</v>
      </c>
      <c r="AB22" s="97"/>
      <c r="AC22" s="679">
        <f>SUM(AC16:AC21)</f>
        <v>0</v>
      </c>
      <c r="AD22" s="97"/>
      <c r="AE22" s="442">
        <f>SUM(AE16:AE21)</f>
        <v>0</v>
      </c>
      <c r="BA22" s="97"/>
      <c r="BB22" s="97"/>
    </row>
    <row r="23" spans="2:54" ht="30" customHeight="1" thickBot="1" x14ac:dyDescent="0.25">
      <c r="B23" s="1096" t="s">
        <v>986</v>
      </c>
      <c r="C23" s="236">
        <v>210</v>
      </c>
      <c r="D23" s="235" t="s">
        <v>248</v>
      </c>
      <c r="E23" s="502">
        <f>SUM(E14+E22)</f>
        <v>0</v>
      </c>
      <c r="F23" s="97"/>
      <c r="H23" s="301">
        <f>SUM(H14+H22)</f>
        <v>0</v>
      </c>
      <c r="I23" s="97"/>
      <c r="L23" s="97"/>
      <c r="M23" s="97"/>
      <c r="N23" s="97"/>
      <c r="O23" s="502">
        <f>SUM(O14+O22)</f>
        <v>0</v>
      </c>
      <c r="P23" s="502">
        <f>SUM(P14+P22)</f>
        <v>0</v>
      </c>
      <c r="Q23" s="502">
        <f>SUM(Q14+Q22)</f>
        <v>0</v>
      </c>
      <c r="R23" s="502">
        <f>SUM(R14+R22)</f>
        <v>0</v>
      </c>
      <c r="S23" s="502">
        <f>SUM(S14+S22)</f>
        <v>0</v>
      </c>
      <c r="T23" s="97"/>
      <c r="U23" s="502">
        <f>SUM(U14+U22)</f>
        <v>0</v>
      </c>
      <c r="V23" s="97"/>
      <c r="W23" s="502">
        <f>SUM(W14+W22)</f>
        <v>0</v>
      </c>
      <c r="X23" s="97"/>
      <c r="Y23" s="502">
        <f>SUM(Y14+Y22)</f>
        <v>0</v>
      </c>
      <c r="Z23" s="97"/>
      <c r="AA23" s="502">
        <f>SUM(AA14+AA22)</f>
        <v>0</v>
      </c>
      <c r="AB23" s="97"/>
      <c r="AC23" s="502">
        <f>SUM(AC14+AC22)</f>
        <v>0</v>
      </c>
      <c r="AD23" s="97"/>
      <c r="AE23" s="503">
        <f>SUM(AE14+AE22)</f>
        <v>0</v>
      </c>
      <c r="BA23" s="97"/>
      <c r="BB23" s="97"/>
    </row>
    <row r="24" spans="2:54" ht="13.5" thickTop="1" x14ac:dyDescent="0.2">
      <c r="B24" s="99"/>
      <c r="C24" s="172"/>
      <c r="D24" s="157"/>
      <c r="E24" s="99"/>
    </row>
    <row r="26" spans="2:54" ht="13.5" thickBot="1" x14ac:dyDescent="0.25">
      <c r="B26" s="99"/>
      <c r="C26" s="172"/>
      <c r="D26" s="157"/>
      <c r="E26" s="99"/>
    </row>
    <row r="27" spans="2:54" ht="13.5" thickTop="1" x14ac:dyDescent="0.2">
      <c r="B27" s="261"/>
      <c r="C27" s="195"/>
      <c r="D27" s="195" t="s">
        <v>25</v>
      </c>
      <c r="E27" s="195" t="s">
        <v>235</v>
      </c>
      <c r="F27" s="97"/>
      <c r="H27" s="197" t="s">
        <v>294</v>
      </c>
      <c r="I27" s="97"/>
      <c r="L27" s="97"/>
      <c r="M27" s="97"/>
      <c r="BA27" s="97"/>
      <c r="BB27" s="97"/>
    </row>
    <row r="28" spans="2:54" x14ac:dyDescent="0.2">
      <c r="B28" s="264" t="s">
        <v>112</v>
      </c>
      <c r="C28" s="199" t="s">
        <v>238</v>
      </c>
      <c r="D28" s="131"/>
      <c r="E28" s="201" t="s">
        <v>975</v>
      </c>
      <c r="F28" s="97"/>
      <c r="H28" s="202" t="s">
        <v>240</v>
      </c>
      <c r="I28" s="97"/>
      <c r="L28" s="97"/>
      <c r="M28" s="97"/>
      <c r="BA28" s="97"/>
      <c r="BB28" s="97"/>
    </row>
    <row r="29" spans="2:54" ht="13.5" thickBot="1" x14ac:dyDescent="0.25">
      <c r="B29" s="264"/>
      <c r="C29" s="204" t="s">
        <v>242</v>
      </c>
      <c r="D29" s="138"/>
      <c r="E29" s="204" t="s">
        <v>243</v>
      </c>
      <c r="F29" s="97"/>
      <c r="H29" s="210" t="s">
        <v>243</v>
      </c>
      <c r="I29" s="97"/>
      <c r="L29" s="97"/>
      <c r="M29" s="97"/>
      <c r="BA29" s="97"/>
      <c r="BB29" s="97"/>
    </row>
    <row r="30" spans="2:54" ht="21.95" customHeight="1" x14ac:dyDescent="0.2">
      <c r="B30" s="189" t="s">
        <v>987</v>
      </c>
      <c r="C30" s="207">
        <v>211</v>
      </c>
      <c r="D30" s="206" t="s">
        <v>248</v>
      </c>
      <c r="E30" s="774"/>
      <c r="H30" s="304"/>
    </row>
    <row r="31" spans="2:54" ht="21.95" customHeight="1" x14ac:dyDescent="0.2">
      <c r="B31" s="213" t="s">
        <v>988</v>
      </c>
      <c r="C31" s="218">
        <v>212</v>
      </c>
      <c r="D31" s="217" t="s">
        <v>245</v>
      </c>
      <c r="E31" s="391"/>
      <c r="H31" s="298"/>
    </row>
    <row r="32" spans="2:54" ht="30" customHeight="1" x14ac:dyDescent="0.2">
      <c r="B32" s="336" t="s">
        <v>989</v>
      </c>
      <c r="C32" s="218">
        <v>220</v>
      </c>
      <c r="D32" s="217" t="s">
        <v>251</v>
      </c>
      <c r="E32" s="448">
        <f>SUM(E30:E31)</f>
        <v>0</v>
      </c>
      <c r="F32" s="97"/>
      <c r="H32" s="299">
        <f>SUM(H30:H31)</f>
        <v>0</v>
      </c>
      <c r="I32" s="97"/>
    </row>
    <row r="33" spans="2:13" ht="21.95" customHeight="1" x14ac:dyDescent="0.2">
      <c r="B33" s="213" t="s">
        <v>990</v>
      </c>
      <c r="C33" s="218">
        <v>221</v>
      </c>
      <c r="D33" s="217" t="s">
        <v>248</v>
      </c>
      <c r="E33" s="391"/>
      <c r="H33" s="298"/>
    </row>
    <row r="34" spans="2:13" ht="21.95" customHeight="1" x14ac:dyDescent="0.2">
      <c r="B34" s="213" t="s">
        <v>991</v>
      </c>
      <c r="C34" s="218">
        <v>222</v>
      </c>
      <c r="D34" s="217" t="s">
        <v>245</v>
      </c>
      <c r="E34" s="391"/>
      <c r="H34" s="298"/>
    </row>
    <row r="35" spans="2:13" ht="30" customHeight="1" x14ac:dyDescent="0.2">
      <c r="B35" s="336" t="s">
        <v>992</v>
      </c>
      <c r="C35" s="218">
        <v>230</v>
      </c>
      <c r="D35" s="217" t="s">
        <v>251</v>
      </c>
      <c r="E35" s="448">
        <f>SUM(E33:E34)</f>
        <v>0</v>
      </c>
      <c r="F35" s="97"/>
      <c r="H35" s="299">
        <f>SUM(H33:H34)</f>
        <v>0</v>
      </c>
      <c r="I35" s="97"/>
    </row>
    <row r="36" spans="2:13" ht="21.95" customHeight="1" x14ac:dyDescent="0.2">
      <c r="B36" s="213" t="s">
        <v>993</v>
      </c>
      <c r="C36" s="218">
        <v>231</v>
      </c>
      <c r="D36" s="217" t="s">
        <v>248</v>
      </c>
      <c r="E36" s="391"/>
      <c r="H36" s="298"/>
    </row>
    <row r="37" spans="2:13" ht="21.95" customHeight="1" x14ac:dyDescent="0.2">
      <c r="B37" s="213" t="s">
        <v>994</v>
      </c>
      <c r="C37" s="218">
        <v>232</v>
      </c>
      <c r="D37" s="217" t="s">
        <v>245</v>
      </c>
      <c r="E37" s="391"/>
      <c r="H37" s="298"/>
    </row>
    <row r="38" spans="2:13" ht="30" customHeight="1" x14ac:dyDescent="0.2">
      <c r="B38" s="336" t="s">
        <v>995</v>
      </c>
      <c r="C38" s="218">
        <v>240</v>
      </c>
      <c r="D38" s="217" t="s">
        <v>251</v>
      </c>
      <c r="E38" s="448">
        <f>SUM(E36:E37)</f>
        <v>0</v>
      </c>
      <c r="F38" s="97"/>
      <c r="H38" s="299">
        <f>SUM(H36:H37)</f>
        <v>0</v>
      </c>
      <c r="I38" s="97"/>
    </row>
    <row r="39" spans="2:13" ht="21.95" customHeight="1" x14ac:dyDescent="0.2">
      <c r="B39" s="213" t="s">
        <v>996</v>
      </c>
      <c r="C39" s="218">
        <v>241</v>
      </c>
      <c r="D39" s="217" t="s">
        <v>248</v>
      </c>
      <c r="E39" s="391"/>
      <c r="H39" s="298"/>
    </row>
    <row r="40" spans="2:13" ht="21.95" customHeight="1" x14ac:dyDescent="0.2">
      <c r="B40" s="213" t="s">
        <v>997</v>
      </c>
      <c r="C40" s="218">
        <v>242</v>
      </c>
      <c r="D40" s="217" t="s">
        <v>245</v>
      </c>
      <c r="E40" s="391"/>
      <c r="H40" s="298"/>
    </row>
    <row r="41" spans="2:13" ht="30" customHeight="1" x14ac:dyDescent="0.2">
      <c r="B41" s="336" t="s">
        <v>998</v>
      </c>
      <c r="C41" s="218">
        <v>245</v>
      </c>
      <c r="D41" s="219" t="s">
        <v>251</v>
      </c>
      <c r="E41" s="448">
        <f>SUM(E39:E40)</f>
        <v>0</v>
      </c>
      <c r="F41" s="97"/>
      <c r="H41" s="457">
        <f>SUM(H39:H40)</f>
        <v>0</v>
      </c>
      <c r="I41" s="97"/>
    </row>
    <row r="42" spans="2:13" ht="21.95" customHeight="1" x14ac:dyDescent="0.2">
      <c r="B42" s="213" t="s">
        <v>999</v>
      </c>
      <c r="C42" s="218">
        <v>250</v>
      </c>
      <c r="D42" s="217" t="s">
        <v>251</v>
      </c>
      <c r="E42" s="391"/>
      <c r="H42" s="298"/>
      <c r="I42" s="97"/>
    </row>
    <row r="43" spans="2:13" ht="27" customHeight="1" x14ac:dyDescent="0.2">
      <c r="B43" s="245" t="s">
        <v>1000</v>
      </c>
      <c r="C43" s="218">
        <v>260</v>
      </c>
      <c r="D43" s="217" t="s">
        <v>251</v>
      </c>
      <c r="E43" s="391"/>
      <c r="H43" s="298"/>
      <c r="I43" s="97"/>
    </row>
    <row r="44" spans="2:13" ht="27" customHeight="1" x14ac:dyDescent="0.2">
      <c r="B44" s="245" t="s">
        <v>3816</v>
      </c>
      <c r="C44" s="218">
        <v>270</v>
      </c>
      <c r="D44" s="217" t="s">
        <v>251</v>
      </c>
      <c r="E44" s="391"/>
      <c r="H44" s="298"/>
      <c r="I44" s="97"/>
    </row>
    <row r="45" spans="2:13" ht="21.95" customHeight="1" x14ac:dyDescent="0.2">
      <c r="B45" s="231" t="s">
        <v>1002</v>
      </c>
      <c r="C45" s="218">
        <v>280</v>
      </c>
      <c r="D45" s="219" t="s">
        <v>251</v>
      </c>
      <c r="E45" s="391"/>
      <c r="H45" s="298"/>
      <c r="I45" s="97"/>
    </row>
    <row r="46" spans="2:13" ht="30" customHeight="1" x14ac:dyDescent="0.2">
      <c r="B46" s="336" t="s">
        <v>1003</v>
      </c>
      <c r="C46" s="218">
        <v>285</v>
      </c>
      <c r="D46" s="217" t="s">
        <v>251</v>
      </c>
      <c r="E46" s="448">
        <f>SUM(E43:E45)</f>
        <v>0</v>
      </c>
      <c r="F46" s="97"/>
      <c r="H46" s="457">
        <f>SUM(H43:H45)</f>
        <v>0</v>
      </c>
    </row>
    <row r="47" spans="2:13" ht="27" customHeight="1" x14ac:dyDescent="0.2">
      <c r="B47" s="245" t="s">
        <v>1004</v>
      </c>
      <c r="C47" s="234">
        <v>290</v>
      </c>
      <c r="D47" s="237" t="s">
        <v>251</v>
      </c>
      <c r="E47" s="501"/>
      <c r="H47" s="298"/>
      <c r="I47" s="97"/>
    </row>
    <row r="48" spans="2:13" ht="21.95" customHeight="1" thickBot="1" x14ac:dyDescent="0.25">
      <c r="B48" s="233" t="s">
        <v>358</v>
      </c>
      <c r="C48" s="236">
        <v>300</v>
      </c>
      <c r="D48" s="235" t="s">
        <v>251</v>
      </c>
      <c r="E48" s="240">
        <f>SUM(E32+E35+E38+E41+E42+E46+E47)</f>
        <v>0</v>
      </c>
      <c r="F48" s="97"/>
      <c r="H48" s="301">
        <f>SUM(H32+H35+H38+H41+H42+H46+H47)</f>
        <v>0</v>
      </c>
      <c r="I48" s="97"/>
      <c r="L48" s="97"/>
      <c r="M48" s="97"/>
    </row>
    <row r="49" spans="2:54" ht="13.5" thickTop="1" x14ac:dyDescent="0.2">
      <c r="C49" s="172"/>
      <c r="D49" s="157"/>
    </row>
    <row r="50" spans="2:54" ht="13.5" thickBot="1" x14ac:dyDescent="0.25">
      <c r="C50" s="172"/>
      <c r="D50" s="157"/>
    </row>
    <row r="51" spans="2:54" ht="13.5" thickTop="1" x14ac:dyDescent="0.2">
      <c r="B51" s="190"/>
      <c r="C51" s="195"/>
      <c r="D51" s="195" t="s">
        <v>25</v>
      </c>
      <c r="E51" s="195" t="s">
        <v>235</v>
      </c>
      <c r="F51" s="97"/>
      <c r="H51" s="197" t="s">
        <v>294</v>
      </c>
      <c r="I51" s="97"/>
      <c r="L51" s="97"/>
      <c r="M51" s="97"/>
      <c r="N51" s="97"/>
      <c r="O51" s="353" t="s">
        <v>360</v>
      </c>
      <c r="P51" s="195" t="s">
        <v>361</v>
      </c>
      <c r="Q51" s="353" t="s">
        <v>362</v>
      </c>
      <c r="R51" s="195" t="s">
        <v>576</v>
      </c>
      <c r="S51" s="353" t="s">
        <v>577</v>
      </c>
      <c r="T51" s="97" t="s">
        <v>578</v>
      </c>
      <c r="U51" s="353" t="s">
        <v>579</v>
      </c>
      <c r="V51" s="97" t="s">
        <v>580</v>
      </c>
      <c r="W51" s="353" t="s">
        <v>581</v>
      </c>
      <c r="X51" s="97" t="s">
        <v>582</v>
      </c>
      <c r="Y51" s="353" t="s">
        <v>583</v>
      </c>
      <c r="Z51" s="97" t="s">
        <v>584</v>
      </c>
      <c r="AA51" s="353" t="s">
        <v>823</v>
      </c>
      <c r="AB51" s="97" t="s">
        <v>824</v>
      </c>
      <c r="AC51" s="353" t="s">
        <v>825</v>
      </c>
      <c r="AD51" s="97" t="s">
        <v>826</v>
      </c>
      <c r="AE51" s="293" t="s">
        <v>827</v>
      </c>
      <c r="BA51" s="97"/>
      <c r="BB51" s="97"/>
    </row>
    <row r="52" spans="2:54" ht="51" x14ac:dyDescent="0.2">
      <c r="B52" s="198" t="s">
        <v>113</v>
      </c>
      <c r="C52" s="199" t="s">
        <v>238</v>
      </c>
      <c r="D52" s="131"/>
      <c r="E52" s="201" t="s">
        <v>975</v>
      </c>
      <c r="F52" s="97"/>
      <c r="H52" s="202" t="s">
        <v>240</v>
      </c>
      <c r="I52" s="97"/>
      <c r="L52" s="97"/>
      <c r="M52" s="97"/>
      <c r="N52" s="97"/>
      <c r="O52" s="201" t="s">
        <v>1005</v>
      </c>
      <c r="P52" s="201" t="s">
        <v>1006</v>
      </c>
      <c r="Q52" s="201" t="s">
        <v>1007</v>
      </c>
      <c r="R52" s="201" t="s">
        <v>590</v>
      </c>
      <c r="S52" s="201" t="s">
        <v>1008</v>
      </c>
      <c r="T52" s="97" t="s">
        <v>592</v>
      </c>
      <c r="U52" s="201" t="s">
        <v>593</v>
      </c>
      <c r="V52" s="97" t="s">
        <v>594</v>
      </c>
      <c r="W52" s="201" t="s">
        <v>595</v>
      </c>
      <c r="X52" s="97" t="s">
        <v>596</v>
      </c>
      <c r="Y52" s="201" t="s">
        <v>597</v>
      </c>
      <c r="Z52" s="97" t="s">
        <v>598</v>
      </c>
      <c r="AA52" s="201" t="s">
        <v>599</v>
      </c>
      <c r="AB52" s="97" t="s">
        <v>600</v>
      </c>
      <c r="AC52" s="201" t="s">
        <v>601</v>
      </c>
      <c r="AD52" s="97" t="s">
        <v>602</v>
      </c>
      <c r="AE52" s="202" t="s">
        <v>603</v>
      </c>
      <c r="BA52" s="97"/>
      <c r="BB52" s="97"/>
    </row>
    <row r="53" spans="2:54" ht="13.5" thickBot="1" x14ac:dyDescent="0.25">
      <c r="B53" s="188"/>
      <c r="C53" s="204" t="s">
        <v>242</v>
      </c>
      <c r="D53" s="138"/>
      <c r="E53" s="204" t="s">
        <v>243</v>
      </c>
      <c r="F53" s="97"/>
      <c r="H53" s="1212" t="s">
        <v>243</v>
      </c>
      <c r="I53" s="97"/>
      <c r="L53" s="97"/>
      <c r="M53" s="97"/>
      <c r="N53" s="97"/>
      <c r="O53" s="278" t="s">
        <v>243</v>
      </c>
      <c r="P53" s="204" t="s">
        <v>243</v>
      </c>
      <c r="Q53" s="278" t="s">
        <v>243</v>
      </c>
      <c r="R53" s="204" t="s">
        <v>243</v>
      </c>
      <c r="S53" s="278" t="s">
        <v>243</v>
      </c>
      <c r="T53" s="97" t="s">
        <v>243</v>
      </c>
      <c r="U53" s="278" t="s">
        <v>243</v>
      </c>
      <c r="V53" s="97" t="s">
        <v>243</v>
      </c>
      <c r="W53" s="278" t="s">
        <v>243</v>
      </c>
      <c r="X53" s="97" t="s">
        <v>243</v>
      </c>
      <c r="Y53" s="278" t="s">
        <v>243</v>
      </c>
      <c r="Z53" s="97" t="s">
        <v>243</v>
      </c>
      <c r="AA53" s="278" t="s">
        <v>243</v>
      </c>
      <c r="AB53" s="97" t="s">
        <v>243</v>
      </c>
      <c r="AC53" s="278" t="s">
        <v>243</v>
      </c>
      <c r="AD53" s="97" t="s">
        <v>243</v>
      </c>
      <c r="AE53" s="202" t="s">
        <v>243</v>
      </c>
      <c r="BA53" s="97"/>
      <c r="BB53" s="97"/>
    </row>
    <row r="54" spans="2:54" ht="21.95" customHeight="1" x14ac:dyDescent="0.2">
      <c r="B54" s="189" t="s">
        <v>1009</v>
      </c>
      <c r="C54" s="207">
        <v>310</v>
      </c>
      <c r="D54" s="206" t="s">
        <v>248</v>
      </c>
      <c r="E54" s="775"/>
      <c r="H54" s="804"/>
      <c r="I54" s="108"/>
      <c r="O54" s="362"/>
      <c r="P54" s="362"/>
      <c r="Q54" s="362"/>
      <c r="R54" s="362"/>
      <c r="S54" s="362"/>
      <c r="U54" s="362"/>
      <c r="W54" s="362"/>
      <c r="Y54" s="362"/>
      <c r="AA54" s="362"/>
      <c r="AC54" s="362"/>
      <c r="AE54" s="318"/>
    </row>
    <row r="55" spans="2:54" ht="21.95" customHeight="1" x14ac:dyDescent="0.2">
      <c r="B55" s="657" t="s">
        <v>1010</v>
      </c>
      <c r="C55" s="218">
        <v>320</v>
      </c>
      <c r="D55" s="217" t="s">
        <v>248</v>
      </c>
      <c r="E55" s="580"/>
      <c r="H55" s="305"/>
      <c r="I55" s="108"/>
      <c r="O55" s="580"/>
      <c r="P55" s="580"/>
      <c r="Q55" s="580"/>
      <c r="R55" s="580"/>
      <c r="S55" s="580"/>
      <c r="U55" s="580"/>
      <c r="W55" s="580"/>
      <c r="Y55" s="580"/>
      <c r="AA55" s="580"/>
      <c r="AC55" s="580"/>
      <c r="AE55" s="777"/>
    </row>
    <row r="56" spans="2:54" ht="30" customHeight="1" x14ac:dyDescent="0.2">
      <c r="B56" s="336" t="s">
        <v>1011</v>
      </c>
      <c r="C56" s="446"/>
      <c r="D56" s="776"/>
      <c r="E56" s="330"/>
      <c r="H56" s="331"/>
      <c r="I56" s="108"/>
      <c r="O56" s="330"/>
      <c r="P56" s="330"/>
      <c r="Q56" s="330"/>
      <c r="R56" s="330"/>
      <c r="S56" s="258"/>
      <c r="U56" s="258"/>
      <c r="W56" s="258"/>
      <c r="Y56" s="258"/>
      <c r="AA56" s="258"/>
      <c r="AC56" s="258"/>
      <c r="AE56" s="492"/>
    </row>
    <row r="57" spans="2:54" ht="21.95" customHeight="1" x14ac:dyDescent="0.2">
      <c r="B57" s="188" t="s">
        <v>1012</v>
      </c>
      <c r="C57" s="251">
        <v>340</v>
      </c>
      <c r="D57" s="250" t="s">
        <v>248</v>
      </c>
      <c r="E57" s="677"/>
      <c r="H57" s="802"/>
      <c r="I57" s="108"/>
      <c r="O57" s="766"/>
      <c r="P57" s="766"/>
      <c r="Q57" s="766"/>
      <c r="R57" s="766"/>
      <c r="S57" s="321"/>
      <c r="U57" s="321"/>
      <c r="W57" s="321"/>
      <c r="Y57" s="321"/>
      <c r="AA57" s="321"/>
      <c r="AC57" s="321"/>
      <c r="AE57" s="778"/>
    </row>
    <row r="58" spans="2:54" ht="21.95" customHeight="1" x14ac:dyDescent="0.2">
      <c r="B58" s="213" t="s">
        <v>1013</v>
      </c>
      <c r="C58" s="218">
        <v>350</v>
      </c>
      <c r="D58" s="217" t="s">
        <v>248</v>
      </c>
      <c r="E58" s="580"/>
      <c r="H58" s="305"/>
      <c r="I58" s="108"/>
      <c r="O58" s="768"/>
      <c r="P58" s="768"/>
      <c r="Q58" s="768"/>
      <c r="R58" s="768"/>
      <c r="S58" s="324"/>
      <c r="U58" s="324"/>
      <c r="W58" s="324"/>
      <c r="Y58" s="324"/>
      <c r="AA58" s="324"/>
      <c r="AC58" s="324"/>
      <c r="AE58" s="492"/>
    </row>
    <row r="59" spans="2:54" ht="30" customHeight="1" x14ac:dyDescent="0.2">
      <c r="B59" s="336" t="s">
        <v>1014</v>
      </c>
      <c r="C59" s="218">
        <v>355</v>
      </c>
      <c r="D59" s="217" t="s">
        <v>248</v>
      </c>
      <c r="E59" s="448">
        <f>SUM(E57:E58)</f>
        <v>0</v>
      </c>
      <c r="F59" s="99"/>
      <c r="H59" s="1221">
        <f>SUM(H57:H58)</f>
        <v>0</v>
      </c>
      <c r="O59" s="768"/>
      <c r="P59" s="768"/>
      <c r="Q59" s="768"/>
      <c r="R59" s="768"/>
      <c r="S59" s="768"/>
      <c r="U59" s="768"/>
      <c r="W59" s="768"/>
      <c r="Y59" s="768"/>
      <c r="AA59" s="768"/>
      <c r="AC59" s="768"/>
      <c r="AE59" s="492"/>
    </row>
    <row r="60" spans="2:54" ht="30" customHeight="1" x14ac:dyDescent="0.2">
      <c r="B60" s="336" t="s">
        <v>1015</v>
      </c>
      <c r="C60" s="446"/>
      <c r="D60" s="776"/>
      <c r="E60" s="330"/>
      <c r="H60" s="331"/>
      <c r="I60" s="108"/>
      <c r="O60" s="330"/>
      <c r="P60" s="330"/>
      <c r="Q60" s="330"/>
      <c r="R60" s="330"/>
      <c r="S60" s="258"/>
      <c r="U60" s="258"/>
      <c r="W60" s="258"/>
      <c r="Y60" s="258"/>
      <c r="AA60" s="258"/>
      <c r="AC60" s="258"/>
      <c r="AE60" s="492"/>
    </row>
    <row r="61" spans="2:54" ht="21.95" customHeight="1" x14ac:dyDescent="0.2">
      <c r="B61" s="188" t="s">
        <v>1012</v>
      </c>
      <c r="C61" s="251">
        <v>360</v>
      </c>
      <c r="D61" s="250" t="s">
        <v>248</v>
      </c>
      <c r="E61" s="677"/>
      <c r="H61" s="802"/>
      <c r="I61" s="108"/>
      <c r="O61" s="766"/>
      <c r="P61" s="766"/>
      <c r="Q61" s="766"/>
      <c r="R61" s="766"/>
      <c r="S61" s="321"/>
      <c r="U61" s="321"/>
      <c r="W61" s="321"/>
      <c r="Y61" s="321"/>
      <c r="AA61" s="321"/>
      <c r="AC61" s="321"/>
      <c r="AE61" s="778"/>
    </row>
    <row r="62" spans="2:54" ht="21.95" customHeight="1" x14ac:dyDescent="0.2">
      <c r="B62" s="213" t="s">
        <v>1013</v>
      </c>
      <c r="C62" s="218">
        <v>370</v>
      </c>
      <c r="D62" s="217" t="s">
        <v>248</v>
      </c>
      <c r="E62" s="580"/>
      <c r="H62" s="305"/>
      <c r="I62" s="108"/>
      <c r="O62" s="768"/>
      <c r="P62" s="768"/>
      <c r="Q62" s="768"/>
      <c r="R62" s="768"/>
      <c r="S62" s="324"/>
      <c r="U62" s="324"/>
      <c r="W62" s="324"/>
      <c r="Y62" s="324"/>
      <c r="AA62" s="324"/>
      <c r="AC62" s="324"/>
      <c r="AE62" s="492"/>
    </row>
    <row r="63" spans="2:54" ht="30" customHeight="1" x14ac:dyDescent="0.2">
      <c r="B63" s="336" t="s">
        <v>1016</v>
      </c>
      <c r="C63" s="218">
        <v>375</v>
      </c>
      <c r="D63" s="217" t="s">
        <v>248</v>
      </c>
      <c r="E63" s="448">
        <f>SUM(E61:E62)</f>
        <v>0</v>
      </c>
      <c r="H63" s="1221">
        <f>SUM(H61:H62)</f>
        <v>0</v>
      </c>
      <c r="O63" s="768"/>
      <c r="P63" s="768"/>
      <c r="Q63" s="768"/>
      <c r="R63" s="768"/>
      <c r="S63" s="768"/>
      <c r="U63" s="768"/>
      <c r="W63" s="768"/>
      <c r="Y63" s="768"/>
      <c r="AA63" s="768"/>
      <c r="AC63" s="768"/>
      <c r="AE63" s="492"/>
    </row>
    <row r="64" spans="2:54" ht="21.95" customHeight="1" x14ac:dyDescent="0.2">
      <c r="B64" s="213" t="s">
        <v>1017</v>
      </c>
      <c r="C64" s="218">
        <v>380</v>
      </c>
      <c r="D64" s="217" t="s">
        <v>248</v>
      </c>
      <c r="E64" s="580"/>
      <c r="H64" s="305"/>
      <c r="I64" s="108"/>
      <c r="O64" s="768"/>
      <c r="P64" s="768"/>
      <c r="Q64" s="768"/>
      <c r="R64" s="768"/>
      <c r="S64" s="324"/>
      <c r="U64" s="324"/>
      <c r="W64" s="324"/>
      <c r="Y64" s="324"/>
      <c r="AA64" s="324"/>
      <c r="AC64" s="324"/>
      <c r="AE64" s="492"/>
    </row>
    <row r="65" spans="2:54" hidden="1" x14ac:dyDescent="0.2">
      <c r="B65" s="213" t="s">
        <v>1018</v>
      </c>
      <c r="C65" s="218">
        <v>390</v>
      </c>
      <c r="D65" s="217" t="s">
        <v>248</v>
      </c>
      <c r="E65" s="390"/>
      <c r="H65" s="1222"/>
      <c r="O65" s="390"/>
      <c r="P65" s="390"/>
      <c r="Q65" s="390"/>
      <c r="R65" s="390"/>
      <c r="S65" s="390"/>
      <c r="U65" s="390"/>
      <c r="W65" s="390"/>
      <c r="Y65" s="390"/>
      <c r="AA65" s="390"/>
      <c r="AC65" s="390"/>
      <c r="AE65" s="491"/>
    </row>
    <row r="66" spans="2:54" ht="21.95" customHeight="1" x14ac:dyDescent="0.2">
      <c r="B66" s="226" t="s">
        <v>1019</v>
      </c>
      <c r="C66" s="218">
        <v>400</v>
      </c>
      <c r="D66" s="217" t="s">
        <v>248</v>
      </c>
      <c r="E66" s="448">
        <f>SUM(E54:E65)-(E59+E63)</f>
        <v>0</v>
      </c>
      <c r="F66" s="97"/>
      <c r="H66" s="1011">
        <f>SUM(H54:H65)-(H59+H63)</f>
        <v>0</v>
      </c>
      <c r="I66" s="97"/>
      <c r="L66" s="97"/>
      <c r="M66" s="97"/>
      <c r="N66" s="97"/>
      <c r="O66" s="448">
        <f>SUM(O54:O65)-(O59+O63)</f>
        <v>0</v>
      </c>
      <c r="P66" s="448">
        <f>SUM(P54:P65)-(P59+P63)</f>
        <v>0</v>
      </c>
      <c r="Q66" s="448">
        <f>SUM(Q54:Q65)-(Q59+Q63)</f>
        <v>0</v>
      </c>
      <c r="R66" s="448">
        <f>SUM(R54:R65)-(R59+R63)</f>
        <v>0</v>
      </c>
      <c r="S66" s="448">
        <f>SUM(S54:S65)-(S59+S63)</f>
        <v>0</v>
      </c>
      <c r="T66" s="97"/>
      <c r="U66" s="448">
        <f>SUM(U54:U65)-(U59+U63)</f>
        <v>0</v>
      </c>
      <c r="V66" s="97"/>
      <c r="W66" s="448">
        <f>SUM(W54:W65)-(W59+W63)</f>
        <v>0</v>
      </c>
      <c r="X66" s="97"/>
      <c r="Y66" s="448">
        <f>SUM(Y54:Y65)-(Y59+Y63)</f>
        <v>0</v>
      </c>
      <c r="Z66" s="97"/>
      <c r="AA66" s="448">
        <f>SUM(AA54:AA65)-(AA59+AA63)</f>
        <v>0</v>
      </c>
      <c r="AB66" s="97"/>
      <c r="AC66" s="448">
        <f>SUM(AC54:AC65)-(AC59+AC63)</f>
        <v>0</v>
      </c>
      <c r="AD66" s="97"/>
      <c r="AE66" s="442">
        <f>SUM(AE54:AE65)-(AE59+AE63)</f>
        <v>0</v>
      </c>
      <c r="BA66" s="97"/>
      <c r="BB66" s="97"/>
    </row>
    <row r="67" spans="2:54" ht="21.95" customHeight="1" x14ac:dyDescent="0.2">
      <c r="B67" s="213" t="s">
        <v>1020</v>
      </c>
      <c r="C67" s="218">
        <v>410</v>
      </c>
      <c r="D67" s="217" t="s">
        <v>248</v>
      </c>
      <c r="E67" s="580"/>
      <c r="H67" s="305"/>
      <c r="I67" s="108"/>
      <c r="O67" s="580"/>
      <c r="P67" s="580"/>
      <c r="Q67" s="580"/>
      <c r="R67" s="580"/>
      <c r="S67" s="580"/>
      <c r="U67" s="580"/>
      <c r="W67" s="580"/>
      <c r="Y67" s="580"/>
      <c r="AA67" s="580"/>
      <c r="AC67" s="580"/>
      <c r="AE67" s="773"/>
    </row>
    <row r="68" spans="2:54" ht="21.95" customHeight="1" x14ac:dyDescent="0.2">
      <c r="B68" s="231" t="s">
        <v>1021</v>
      </c>
      <c r="C68" s="234">
        <v>415</v>
      </c>
      <c r="D68" s="267" t="s">
        <v>248</v>
      </c>
      <c r="E68" s="783">
        <f>'1415TRU19_PRV_P13'!E22</f>
        <v>0</v>
      </c>
      <c r="H68" s="298"/>
      <c r="O68" s="772"/>
      <c r="P68" s="258"/>
      <c r="Q68" s="772"/>
      <c r="R68" s="258"/>
      <c r="S68" s="772"/>
      <c r="U68" s="772"/>
      <c r="W68" s="772"/>
      <c r="Y68" s="772"/>
      <c r="AA68" s="772"/>
      <c r="AC68" s="772"/>
      <c r="AE68" s="492"/>
    </row>
    <row r="69" spans="2:54" ht="21.95" customHeight="1" thickBot="1" x14ac:dyDescent="0.25">
      <c r="B69" s="233" t="s">
        <v>358</v>
      </c>
      <c r="C69" s="236">
        <v>420</v>
      </c>
      <c r="D69" s="235" t="s">
        <v>248</v>
      </c>
      <c r="E69" s="240">
        <f>SUM(E66:E68)</f>
        <v>0</v>
      </c>
      <c r="F69" s="97"/>
      <c r="H69" s="301">
        <f>SUM(H66:H68)</f>
        <v>0</v>
      </c>
      <c r="I69" s="97"/>
      <c r="L69" s="97"/>
      <c r="M69" s="97"/>
      <c r="N69" s="97"/>
      <c r="O69" s="240">
        <f>SUM(O66:O68)</f>
        <v>0</v>
      </c>
      <c r="P69" s="240">
        <f>SUM(P66:P68)</f>
        <v>0</v>
      </c>
      <c r="Q69" s="240">
        <f>SUM(Q66:Q68)</f>
        <v>0</v>
      </c>
      <c r="R69" s="240">
        <f>SUM(R66:R68)</f>
        <v>0</v>
      </c>
      <c r="S69" s="240">
        <f>SUM(S66:S68)</f>
        <v>0</v>
      </c>
      <c r="T69" s="97"/>
      <c r="U69" s="240">
        <f>SUM(U66:U68)</f>
        <v>0</v>
      </c>
      <c r="V69" s="97"/>
      <c r="W69" s="240">
        <f>SUM(W66:W68)</f>
        <v>0</v>
      </c>
      <c r="X69" s="97"/>
      <c r="Y69" s="240">
        <f>SUM(Y66:Y68)</f>
        <v>0</v>
      </c>
      <c r="Z69" s="97"/>
      <c r="AA69" s="240">
        <f>SUM(AA66:AA68)</f>
        <v>0</v>
      </c>
      <c r="AB69" s="97"/>
      <c r="AC69" s="240">
        <f>SUM(AC66:AC68)</f>
        <v>0</v>
      </c>
      <c r="AD69" s="97"/>
      <c r="AE69" s="241">
        <f>SUM(AE66:AE68)</f>
        <v>0</v>
      </c>
      <c r="BA69" s="97"/>
      <c r="BB69" s="97"/>
    </row>
    <row r="70" spans="2:54" ht="13.5" thickTop="1" x14ac:dyDescent="0.2">
      <c r="C70" s="172"/>
      <c r="D70" s="157"/>
      <c r="BA70" s="97"/>
      <c r="BB70" s="97"/>
    </row>
    <row r="71" spans="2:54" x14ac:dyDescent="0.2">
      <c r="D71" s="157"/>
    </row>
    <row r="72" spans="2:54" hidden="1" x14ac:dyDescent="0.2">
      <c r="B72" s="102"/>
      <c r="C72" s="172"/>
      <c r="D72" s="172" t="s">
        <v>25</v>
      </c>
      <c r="E72" s="172" t="s">
        <v>235</v>
      </c>
      <c r="F72" s="97"/>
      <c r="H72" s="172" t="s">
        <v>294</v>
      </c>
      <c r="I72" s="97"/>
      <c r="L72" s="97"/>
      <c r="M72" s="97"/>
      <c r="BA72" s="97"/>
      <c r="BB72" s="97"/>
    </row>
    <row r="73" spans="2:54" hidden="1" x14ac:dyDescent="0.2">
      <c r="B73" s="102" t="s">
        <v>1022</v>
      </c>
      <c r="C73" s="172" t="s">
        <v>238</v>
      </c>
      <c r="D73" s="247"/>
      <c r="E73" s="469" t="s">
        <v>975</v>
      </c>
      <c r="F73" s="97"/>
      <c r="H73" s="469" t="s">
        <v>240</v>
      </c>
      <c r="I73" s="97"/>
      <c r="L73" s="97"/>
      <c r="M73" s="97"/>
      <c r="BA73" s="97"/>
      <c r="BB73" s="97"/>
    </row>
    <row r="74" spans="2:54" hidden="1" x14ac:dyDescent="0.2">
      <c r="B74" s="102"/>
      <c r="C74" s="172" t="s">
        <v>242</v>
      </c>
      <c r="D74" s="247"/>
      <c r="E74" s="172" t="s">
        <v>243</v>
      </c>
      <c r="F74" s="97"/>
      <c r="H74" s="172" t="s">
        <v>243</v>
      </c>
      <c r="I74" s="97"/>
      <c r="L74" s="97"/>
      <c r="M74" s="97"/>
      <c r="BA74" s="97"/>
      <c r="BB74" s="97"/>
    </row>
    <row r="75" spans="2:54" hidden="1" x14ac:dyDescent="0.2">
      <c r="B75" s="100" t="s">
        <v>987</v>
      </c>
      <c r="C75" s="172">
        <v>500</v>
      </c>
      <c r="D75" s="247" t="s">
        <v>248</v>
      </c>
      <c r="E75" s="99"/>
    </row>
    <row r="76" spans="2:54" hidden="1" x14ac:dyDescent="0.2">
      <c r="B76" s="100" t="s">
        <v>1023</v>
      </c>
      <c r="C76" s="172">
        <v>510</v>
      </c>
      <c r="D76" s="247" t="s">
        <v>245</v>
      </c>
      <c r="E76" s="99"/>
    </row>
    <row r="77" spans="2:54" hidden="1" x14ac:dyDescent="0.2">
      <c r="B77" s="102" t="s">
        <v>1024</v>
      </c>
      <c r="C77" s="172">
        <v>520</v>
      </c>
      <c r="D77" s="247" t="s">
        <v>251</v>
      </c>
      <c r="E77" s="99"/>
    </row>
    <row r="78" spans="2:54" hidden="1" x14ac:dyDescent="0.2">
      <c r="B78" s="100" t="s">
        <v>990</v>
      </c>
      <c r="C78" s="172">
        <v>530</v>
      </c>
      <c r="D78" s="247" t="s">
        <v>248</v>
      </c>
      <c r="E78" s="99"/>
    </row>
    <row r="79" spans="2:54" hidden="1" x14ac:dyDescent="0.2">
      <c r="B79" s="100" t="s">
        <v>991</v>
      </c>
      <c r="C79" s="172">
        <v>540</v>
      </c>
      <c r="D79" s="247" t="s">
        <v>245</v>
      </c>
      <c r="E79" s="99"/>
    </row>
    <row r="80" spans="2:54" hidden="1" x14ac:dyDescent="0.2">
      <c r="B80" s="102" t="s">
        <v>1025</v>
      </c>
      <c r="C80" s="172">
        <v>550</v>
      </c>
      <c r="D80" s="247" t="s">
        <v>251</v>
      </c>
      <c r="E80" s="99"/>
    </row>
    <row r="81" spans="2:31" hidden="1" x14ac:dyDescent="0.2">
      <c r="B81" s="100" t="s">
        <v>993</v>
      </c>
      <c r="C81" s="172">
        <v>560</v>
      </c>
      <c r="D81" s="247" t="s">
        <v>248</v>
      </c>
      <c r="E81" s="99"/>
    </row>
    <row r="82" spans="2:31" hidden="1" x14ac:dyDescent="0.2">
      <c r="B82" s="100" t="s">
        <v>994</v>
      </c>
      <c r="C82" s="172">
        <v>570</v>
      </c>
      <c r="D82" s="247" t="s">
        <v>245</v>
      </c>
      <c r="E82" s="99"/>
    </row>
    <row r="83" spans="2:31" hidden="1" x14ac:dyDescent="0.2">
      <c r="B83" s="102" t="s">
        <v>1026</v>
      </c>
      <c r="C83" s="172">
        <v>575</v>
      </c>
      <c r="D83" s="247" t="s">
        <v>251</v>
      </c>
      <c r="E83" s="99"/>
    </row>
    <row r="84" spans="2:31" hidden="1" x14ac:dyDescent="0.2">
      <c r="B84" s="100" t="s">
        <v>996</v>
      </c>
      <c r="C84" s="172">
        <v>580</v>
      </c>
      <c r="D84" s="247" t="s">
        <v>248</v>
      </c>
      <c r="E84" s="99"/>
    </row>
    <row r="85" spans="2:31" hidden="1" x14ac:dyDescent="0.2">
      <c r="B85" s="100" t="s">
        <v>997</v>
      </c>
      <c r="C85" s="172">
        <v>590</v>
      </c>
      <c r="D85" s="247" t="s">
        <v>245</v>
      </c>
      <c r="E85" s="99"/>
    </row>
    <row r="86" spans="2:31" hidden="1" x14ac:dyDescent="0.2">
      <c r="B86" s="102" t="s">
        <v>1027</v>
      </c>
      <c r="C86" s="172">
        <v>600</v>
      </c>
      <c r="D86" s="247" t="s">
        <v>251</v>
      </c>
      <c r="E86" s="99"/>
    </row>
    <row r="87" spans="2:31" ht="13.5" hidden="1" thickBot="1" x14ac:dyDescent="0.25"/>
    <row r="88" spans="2:31" ht="13.5" hidden="1" thickTop="1" x14ac:dyDescent="0.2">
      <c r="B88" s="505" t="s">
        <v>1028</v>
      </c>
      <c r="C88" s="274"/>
      <c r="D88" s="274" t="s">
        <v>25</v>
      </c>
      <c r="E88" s="274" t="s">
        <v>235</v>
      </c>
      <c r="F88" s="102"/>
      <c r="G88" s="100"/>
      <c r="H88" s="274" t="s">
        <v>294</v>
      </c>
      <c r="I88" s="102"/>
      <c r="J88" s="100"/>
      <c r="K88" s="100"/>
      <c r="L88" s="102"/>
      <c r="M88" s="102"/>
      <c r="N88" s="102"/>
      <c r="O88" s="275" t="s">
        <v>360</v>
      </c>
      <c r="P88" s="274" t="s">
        <v>361</v>
      </c>
      <c r="Q88" s="275" t="s">
        <v>362</v>
      </c>
      <c r="R88" s="274" t="s">
        <v>576</v>
      </c>
      <c r="S88" s="275" t="s">
        <v>577</v>
      </c>
      <c r="T88" s="102"/>
      <c r="U88" s="275" t="s">
        <v>579</v>
      </c>
      <c r="V88" s="102"/>
      <c r="W88" s="275" t="s">
        <v>581</v>
      </c>
      <c r="X88" s="102"/>
      <c r="Y88" s="275" t="s">
        <v>583</v>
      </c>
      <c r="Z88" s="102"/>
      <c r="AA88" s="275" t="s">
        <v>823</v>
      </c>
      <c r="AB88" s="102"/>
      <c r="AC88" s="275" t="s">
        <v>825</v>
      </c>
      <c r="AD88" s="102"/>
      <c r="AE88" s="276" t="s">
        <v>827</v>
      </c>
    </row>
    <row r="89" spans="2:31" ht="51" hidden="1" x14ac:dyDescent="0.2">
      <c r="B89" s="508" t="s">
        <v>1029</v>
      </c>
      <c r="C89" s="199" t="s">
        <v>238</v>
      </c>
      <c r="D89" s="132"/>
      <c r="E89" s="201" t="s">
        <v>975</v>
      </c>
      <c r="F89" s="102"/>
      <c r="G89" s="100"/>
      <c r="H89" s="201" t="s">
        <v>240</v>
      </c>
      <c r="I89" s="102"/>
      <c r="J89" s="100"/>
      <c r="K89" s="100"/>
      <c r="L89" s="102"/>
      <c r="M89" s="102"/>
      <c r="N89" s="102"/>
      <c r="O89" s="201" t="s">
        <v>3817</v>
      </c>
      <c r="P89" s="201" t="s">
        <v>3818</v>
      </c>
      <c r="Q89" s="201" t="s">
        <v>589</v>
      </c>
      <c r="R89" s="201" t="s">
        <v>590</v>
      </c>
      <c r="S89" s="201" t="s">
        <v>1008</v>
      </c>
      <c r="T89" s="102"/>
      <c r="U89" s="201" t="s">
        <v>593</v>
      </c>
      <c r="V89" s="102"/>
      <c r="W89" s="201" t="s">
        <v>595</v>
      </c>
      <c r="X89" s="102"/>
      <c r="Y89" s="201" t="s">
        <v>597</v>
      </c>
      <c r="Z89" s="102"/>
      <c r="AA89" s="201" t="s">
        <v>599</v>
      </c>
      <c r="AB89" s="102"/>
      <c r="AC89" s="201" t="s">
        <v>601</v>
      </c>
      <c r="AD89" s="102"/>
      <c r="AE89" s="277" t="s">
        <v>603</v>
      </c>
    </row>
    <row r="90" spans="2:31" ht="13.5" hidden="1" thickBot="1" x14ac:dyDescent="0.25">
      <c r="B90" s="156"/>
      <c r="C90" s="204" t="s">
        <v>242</v>
      </c>
      <c r="D90" s="147"/>
      <c r="E90" s="204" t="s">
        <v>243</v>
      </c>
      <c r="F90" s="102"/>
      <c r="G90" s="100"/>
      <c r="H90" s="204" t="s">
        <v>243</v>
      </c>
      <c r="I90" s="102"/>
      <c r="J90" s="100"/>
      <c r="K90" s="100"/>
      <c r="L90" s="102"/>
      <c r="M90" s="102"/>
      <c r="N90" s="102"/>
      <c r="O90" s="278" t="s">
        <v>243</v>
      </c>
      <c r="P90" s="204" t="s">
        <v>243</v>
      </c>
      <c r="Q90" s="278" t="s">
        <v>243</v>
      </c>
      <c r="R90" s="204" t="s">
        <v>243</v>
      </c>
      <c r="S90" s="278" t="s">
        <v>243</v>
      </c>
      <c r="T90" s="102"/>
      <c r="U90" s="278" t="s">
        <v>243</v>
      </c>
      <c r="V90" s="102"/>
      <c r="W90" s="278" t="s">
        <v>243</v>
      </c>
      <c r="X90" s="102"/>
      <c r="Y90" s="278" t="s">
        <v>243</v>
      </c>
      <c r="Z90" s="102"/>
      <c r="AA90" s="278" t="s">
        <v>243</v>
      </c>
      <c r="AB90" s="102"/>
      <c r="AC90" s="278" t="s">
        <v>243</v>
      </c>
      <c r="AD90" s="102"/>
      <c r="AE90" s="279" t="s">
        <v>243</v>
      </c>
    </row>
    <row r="91" spans="2:31" ht="13.5" hidden="1" thickBot="1" x14ac:dyDescent="0.25">
      <c r="B91" s="181" t="s">
        <v>1030</v>
      </c>
      <c r="C91" s="562">
        <v>450</v>
      </c>
      <c r="D91" s="183" t="s">
        <v>248</v>
      </c>
      <c r="E91" s="779">
        <f>U91</f>
        <v>0</v>
      </c>
      <c r="H91" s="780"/>
      <c r="O91" s="780"/>
      <c r="P91" s="780"/>
      <c r="Q91" s="780"/>
      <c r="R91" s="780"/>
      <c r="S91" s="780"/>
      <c r="U91" s="781"/>
      <c r="W91" s="780"/>
      <c r="Y91" s="780"/>
      <c r="AA91" s="780"/>
      <c r="AC91" s="780"/>
      <c r="AE91" s="782"/>
    </row>
  </sheetData>
  <sheetProtection password="8EBD" sheet="1" objects="1" scenarios="1"/>
  <dataValidations count="3">
    <dataValidation type="decimal" allowBlank="1" showErrorMessage="1" errorTitle="Number Only" error="Error : This cell can only accept a numeric value with a max of 12 digits." sqref="F1 AE91 AC91 AA91 Y91 W91 O91:S91 H91 E91 AE69 R69 P69 AC68:AC69 AA68:AA69 Y68:Y69 W68:W69 U68:U69 S68:S69 Q68:Q69 O68:O69 E68:E69 AE66 O56:R66 AC65:AC66 AA65:AA66 Y65:Y66 W65:W66 U65:U66 S65:S66 E65:E66 AC63 AA63 Y63 W63 U63 S63 E63 H61:H69 D60 AC59 AA59 Y59 W59 U59 S59 E59:E60 H57:H59 D56:E56 H54:H55 E48 E46 E41 E38 E35 E32 H30:H48 O22:S23 AE22:AE23 AC22:AC23 AA22:AA23 Y22:Y23 W22:W23 U22:U23 E22:E23 AC16:AC18 AA16:AA18 Y16:Y18 W16:W18 U16:U18 S16:S18 O16:O18 O14:P15 AE14 R14:R15 E14:E15 AC11:AC14 AA11:AA14 Y11:Y14 W11:W14 U11:U14 S11:S14 Q11:Q18 O10:R10 H10:H23 E10 L1:N1 I1">
      <formula1>-1000000000000</formula1>
      <formula2>1000000000000</formula2>
    </dataValidation>
    <dataValidation type="whole" allowBlank="1" showErrorMessage="1" errorTitle="Number Only" error="Error : This cell can only accept a numeric value with a max of 12 digits." sqref="B5 AE68 AE56:AE65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U91 AE67 AC67 AA67 Y67 W67 U67 O67:S67 E67 E64 E61:E62 E57:E58 AE55 AC55 AA55 Y55 W55 U55 O55:S55 E54:E55 E47 E42:E45 E39:E40 E36:E37 E33:E34 E30:E31 O19:S21 AE19:AE21 AC19:AC21 AA19:AA21 Y19:Y21 W19:W21 U19:U21 E16:E21 E11:E13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7" fitToHeight="2" orientation="landscape" horizontalDpi="90" verticalDpi="90" r:id="rId1"/>
  <rowBreaks count="1" manualBreakCount="1">
    <brk id="49" max="5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U206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4.140625" customWidth="1"/>
    <col min="2" max="2" width="57.7109375" customWidth="1"/>
    <col min="3" max="4" width="10.140625" customWidth="1"/>
    <col min="5" max="13" width="16.28515625" customWidth="1"/>
    <col min="14" max="14" width="12.85546875" customWidth="1"/>
    <col min="15" max="46" width="2.5703125" hidden="1" customWidth="1"/>
  </cols>
  <sheetData>
    <row r="1" spans="1:46" ht="15.75" x14ac:dyDescent="0.25">
      <c r="A1" s="1143" t="s">
        <v>3726</v>
      </c>
      <c r="B1" s="1139" t="str">
        <f>OrgName</f>
        <v>ZZZ NHS TRUST</v>
      </c>
      <c r="C1" s="1122"/>
      <c r="D1" s="1122"/>
      <c r="E1" s="1177" t="str">
        <f>HYPERLINK(CHAR(35)&amp;"1415TRU_Index_P13"&amp;"!A1","GoTo Index tab")</f>
        <v>GoTo Index tab</v>
      </c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</row>
    <row r="2" spans="1:46" x14ac:dyDescent="0.2">
      <c r="A2" s="1131" t="s">
        <v>3727</v>
      </c>
      <c r="B2" s="1137" t="str">
        <f>"Org Code: " &amp; Orgcode</f>
        <v>Org Code: ZZZ</v>
      </c>
      <c r="C2" s="1119"/>
      <c r="D2" s="1119"/>
      <c r="E2" s="1135"/>
    </row>
    <row r="3" spans="1:46" x14ac:dyDescent="0.2">
      <c r="A3" s="1131" t="s">
        <v>3739</v>
      </c>
      <c r="B3" s="1138" t="s">
        <v>3725</v>
      </c>
      <c r="C3" s="1125"/>
      <c r="D3" s="1125"/>
      <c r="E3" s="1136"/>
    </row>
    <row r="4" spans="1:46" x14ac:dyDescent="0.2">
      <c r="B4" s="97" t="s">
        <v>1031</v>
      </c>
    </row>
    <row r="5" spans="1:46" x14ac:dyDescent="0.2">
      <c r="B5" s="103" t="s">
        <v>66</v>
      </c>
    </row>
    <row r="6" spans="1:46" ht="13.5" thickBot="1" x14ac:dyDescent="0.25"/>
    <row r="7" spans="1:46" ht="13.5" thickTop="1" x14ac:dyDescent="0.2">
      <c r="B7" s="242"/>
      <c r="C7" s="353"/>
      <c r="D7" s="353" t="s">
        <v>25</v>
      </c>
      <c r="E7" s="353" t="s">
        <v>235</v>
      </c>
      <c r="F7" s="353" t="s">
        <v>236</v>
      </c>
      <c r="G7" s="353" t="s">
        <v>293</v>
      </c>
      <c r="H7" s="353" t="s">
        <v>294</v>
      </c>
      <c r="I7" s="353" t="s">
        <v>295</v>
      </c>
      <c r="J7" s="353" t="s">
        <v>296</v>
      </c>
      <c r="K7" s="353" t="s">
        <v>342</v>
      </c>
      <c r="L7" s="353" t="s">
        <v>297</v>
      </c>
      <c r="M7" s="293" t="s">
        <v>298</v>
      </c>
    </row>
    <row r="8" spans="1:46" x14ac:dyDescent="0.2">
      <c r="B8" s="198" t="s">
        <v>1039</v>
      </c>
      <c r="C8" s="201" t="s">
        <v>238</v>
      </c>
      <c r="D8" s="201"/>
      <c r="E8" s="201" t="s">
        <v>1040</v>
      </c>
      <c r="F8" s="201" t="s">
        <v>1041</v>
      </c>
      <c r="G8" s="201" t="s">
        <v>1042</v>
      </c>
      <c r="H8" s="201" t="s">
        <v>1043</v>
      </c>
      <c r="I8" s="201" t="s">
        <v>1044</v>
      </c>
      <c r="J8" s="201" t="s">
        <v>1045</v>
      </c>
      <c r="K8" s="201" t="s">
        <v>1046</v>
      </c>
      <c r="L8" s="201" t="s">
        <v>1047</v>
      </c>
      <c r="M8" s="202" t="s">
        <v>340</v>
      </c>
    </row>
    <row r="9" spans="1:46" x14ac:dyDescent="0.2">
      <c r="B9" s="198"/>
      <c r="C9" s="201" t="s">
        <v>242</v>
      </c>
      <c r="D9" s="201"/>
      <c r="E9" s="201"/>
      <c r="F9" s="201" t="s">
        <v>1042</v>
      </c>
      <c r="G9" s="201"/>
      <c r="H9" s="201" t="s">
        <v>1049</v>
      </c>
      <c r="I9" s="201" t="s">
        <v>1050</v>
      </c>
      <c r="J9" s="201" t="s">
        <v>1051</v>
      </c>
      <c r="K9" s="201" t="s">
        <v>1052</v>
      </c>
      <c r="L9" s="201" t="s">
        <v>1053</v>
      </c>
      <c r="M9" s="202"/>
    </row>
    <row r="10" spans="1:46" x14ac:dyDescent="0.2">
      <c r="B10" s="198"/>
      <c r="C10" s="201"/>
      <c r="D10" s="201"/>
      <c r="E10" s="201"/>
      <c r="F10" s="201"/>
      <c r="G10" s="201"/>
      <c r="H10" s="201" t="s">
        <v>1055</v>
      </c>
      <c r="I10" s="201"/>
      <c r="J10" s="201"/>
      <c r="K10" s="201"/>
      <c r="L10" s="201"/>
      <c r="M10" s="202"/>
    </row>
    <row r="11" spans="1:46" x14ac:dyDescent="0.2">
      <c r="B11" s="198"/>
      <c r="C11" s="201"/>
      <c r="D11" s="201"/>
      <c r="E11" s="201"/>
      <c r="F11" s="201"/>
      <c r="G11" s="201"/>
      <c r="H11" s="201" t="s">
        <v>1056</v>
      </c>
      <c r="I11" s="201"/>
      <c r="J11" s="201"/>
      <c r="K11" s="201"/>
      <c r="L11" s="201"/>
      <c r="M11" s="202"/>
    </row>
    <row r="12" spans="1:46" ht="13.5" thickBot="1" x14ac:dyDescent="0.25">
      <c r="B12" s="198"/>
      <c r="C12" s="278"/>
      <c r="D12" s="278"/>
      <c r="E12" s="278" t="s">
        <v>243</v>
      </c>
      <c r="F12" s="278" t="s">
        <v>243</v>
      </c>
      <c r="G12" s="278" t="s">
        <v>243</v>
      </c>
      <c r="H12" s="278" t="s">
        <v>243</v>
      </c>
      <c r="I12" s="278" t="s">
        <v>243</v>
      </c>
      <c r="J12" s="278" t="s">
        <v>243</v>
      </c>
      <c r="K12" s="278" t="s">
        <v>243</v>
      </c>
      <c r="L12" s="278" t="s">
        <v>243</v>
      </c>
      <c r="M12" s="202" t="s">
        <v>243</v>
      </c>
    </row>
    <row r="13" spans="1:46" ht="30" customHeight="1" x14ac:dyDescent="0.2">
      <c r="B13" s="1098" t="s">
        <v>1057</v>
      </c>
      <c r="C13" s="207">
        <v>100</v>
      </c>
      <c r="D13" s="206" t="s">
        <v>248</v>
      </c>
      <c r="E13" s="463">
        <v>0</v>
      </c>
      <c r="F13" s="463">
        <v>0</v>
      </c>
      <c r="G13" s="463">
        <v>0</v>
      </c>
      <c r="H13" s="463">
        <v>0</v>
      </c>
      <c r="I13" s="463">
        <v>0</v>
      </c>
      <c r="J13" s="463">
        <v>0</v>
      </c>
      <c r="K13" s="463">
        <v>0</v>
      </c>
      <c r="L13" s="463">
        <v>0</v>
      </c>
      <c r="M13" s="465">
        <f>SUM(E13:L13)</f>
        <v>0</v>
      </c>
    </row>
    <row r="14" spans="1:46" hidden="1" x14ac:dyDescent="0.2">
      <c r="A14" s="99"/>
      <c r="B14" s="97" t="s">
        <v>304</v>
      </c>
      <c r="C14" s="172">
        <v>101</v>
      </c>
      <c r="D14" s="157" t="s">
        <v>251</v>
      </c>
      <c r="M14" s="97"/>
    </row>
    <row r="15" spans="1:46" hidden="1" x14ac:dyDescent="0.2">
      <c r="A15" s="99"/>
      <c r="B15" s="97" t="s">
        <v>303</v>
      </c>
      <c r="C15" s="172">
        <v>102</v>
      </c>
      <c r="D15" s="247" t="s">
        <v>251</v>
      </c>
      <c r="M15" s="97"/>
    </row>
    <row r="16" spans="1:46" hidden="1" x14ac:dyDescent="0.2">
      <c r="A16" s="99"/>
      <c r="B16" s="97" t="s">
        <v>387</v>
      </c>
      <c r="C16" s="172">
        <v>103</v>
      </c>
      <c r="D16" s="247" t="s">
        <v>251</v>
      </c>
      <c r="M16" s="97"/>
    </row>
    <row r="17" spans="1:46" ht="21.95" customHeight="1" x14ac:dyDescent="0.2">
      <c r="A17" s="101"/>
      <c r="B17" s="470" t="s">
        <v>389</v>
      </c>
      <c r="C17" s="477">
        <v>104</v>
      </c>
      <c r="D17" s="478" t="s">
        <v>251</v>
      </c>
      <c r="E17" s="494">
        <f t="shared" ref="E17:L17" si="0">E18-E13</f>
        <v>0</v>
      </c>
      <c r="F17" s="494">
        <f t="shared" si="0"/>
        <v>0</v>
      </c>
      <c r="G17" s="494">
        <f t="shared" si="0"/>
        <v>0</v>
      </c>
      <c r="H17" s="494">
        <f t="shared" si="0"/>
        <v>0</v>
      </c>
      <c r="I17" s="494">
        <f t="shared" si="0"/>
        <v>0</v>
      </c>
      <c r="J17" s="494">
        <f t="shared" si="0"/>
        <v>0</v>
      </c>
      <c r="K17" s="494">
        <f t="shared" si="0"/>
        <v>0</v>
      </c>
      <c r="L17" s="494">
        <f t="shared" si="0"/>
        <v>0</v>
      </c>
      <c r="M17" s="436">
        <f>SUM(E17:L17)</f>
        <v>0</v>
      </c>
      <c r="N17" s="101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</row>
    <row r="18" spans="1:46" ht="30" customHeight="1" x14ac:dyDescent="0.2">
      <c r="B18" s="1099" t="s">
        <v>1058</v>
      </c>
      <c r="C18" s="218">
        <v>105</v>
      </c>
      <c r="D18" s="217" t="s">
        <v>248</v>
      </c>
      <c r="E18" s="933"/>
      <c r="F18" s="933"/>
      <c r="G18" s="933"/>
      <c r="H18" s="933"/>
      <c r="I18" s="933"/>
      <c r="J18" s="933"/>
      <c r="K18" s="933"/>
      <c r="L18" s="933"/>
      <c r="M18" s="225">
        <f>SUM(E18:L18)</f>
        <v>0</v>
      </c>
    </row>
    <row r="19" spans="1:46" hidden="1" x14ac:dyDescent="0.2">
      <c r="A19" s="99"/>
      <c r="B19" s="108" t="s">
        <v>401</v>
      </c>
      <c r="C19" s="172">
        <v>106</v>
      </c>
      <c r="D19" s="157" t="s">
        <v>248</v>
      </c>
    </row>
    <row r="20" spans="1:46" hidden="1" x14ac:dyDescent="0.2">
      <c r="A20" s="99"/>
      <c r="B20" s="108" t="s">
        <v>402</v>
      </c>
      <c r="C20" s="172">
        <v>108</v>
      </c>
      <c r="D20" s="157" t="s">
        <v>251</v>
      </c>
    </row>
    <row r="21" spans="1:46" ht="21.95" customHeight="1" x14ac:dyDescent="0.2">
      <c r="B21" s="785" t="s">
        <v>1059</v>
      </c>
      <c r="C21" s="251">
        <v>109</v>
      </c>
      <c r="D21" s="250" t="s">
        <v>248</v>
      </c>
      <c r="E21" s="622"/>
      <c r="F21" s="622"/>
      <c r="G21" s="622"/>
      <c r="H21" s="496">
        <f>E195</f>
        <v>0</v>
      </c>
      <c r="I21" s="622"/>
      <c r="J21" s="622"/>
      <c r="K21" s="622"/>
      <c r="L21" s="622"/>
      <c r="M21" s="415">
        <f t="shared" ref="M21:M34" si="1">SUM(E21:L21)</f>
        <v>0</v>
      </c>
    </row>
    <row r="22" spans="1:46" ht="21.95" customHeight="1" x14ac:dyDescent="0.2">
      <c r="B22" s="213" t="s">
        <v>1060</v>
      </c>
      <c r="C22" s="218">
        <v>110</v>
      </c>
      <c r="D22" s="217" t="s">
        <v>248</v>
      </c>
      <c r="E22" s="228"/>
      <c r="F22" s="228"/>
      <c r="G22" s="228"/>
      <c r="H22" s="324"/>
      <c r="I22" s="228"/>
      <c r="J22" s="228"/>
      <c r="K22" s="228"/>
      <c r="L22" s="228"/>
      <c r="M22" s="227">
        <f t="shared" si="1"/>
        <v>0</v>
      </c>
    </row>
    <row r="23" spans="1:46" ht="21.95" customHeight="1" x14ac:dyDescent="0.2">
      <c r="B23" s="213" t="s">
        <v>1061</v>
      </c>
      <c r="C23" s="218">
        <v>120</v>
      </c>
      <c r="D23" s="217" t="s">
        <v>248</v>
      </c>
      <c r="E23" s="228"/>
      <c r="F23" s="228"/>
      <c r="G23" s="228"/>
      <c r="H23" s="228"/>
      <c r="I23" s="228"/>
      <c r="J23" s="228"/>
      <c r="K23" s="228"/>
      <c r="L23" s="228"/>
      <c r="M23" s="227">
        <f t="shared" si="1"/>
        <v>0</v>
      </c>
    </row>
    <row r="24" spans="1:46" ht="27" customHeight="1" x14ac:dyDescent="0.2">
      <c r="B24" s="245" t="s">
        <v>1063</v>
      </c>
      <c r="C24" s="218">
        <v>130</v>
      </c>
      <c r="D24" s="217" t="s">
        <v>248</v>
      </c>
      <c r="E24" s="228"/>
      <c r="F24" s="228"/>
      <c r="G24" s="228"/>
      <c r="H24" s="228"/>
      <c r="I24" s="228"/>
      <c r="J24" s="228"/>
      <c r="K24" s="228"/>
      <c r="L24" s="228"/>
      <c r="M24" s="227">
        <f t="shared" si="1"/>
        <v>0</v>
      </c>
    </row>
    <row r="25" spans="1:46" ht="21.95" customHeight="1" x14ac:dyDescent="0.2">
      <c r="B25" s="213" t="s">
        <v>1064</v>
      </c>
      <c r="C25" s="218">
        <v>135</v>
      </c>
      <c r="D25" s="217" t="s">
        <v>248</v>
      </c>
      <c r="E25" s="228"/>
      <c r="F25" s="228"/>
      <c r="G25" s="228"/>
      <c r="H25" s="324"/>
      <c r="I25" s="228"/>
      <c r="J25" s="228"/>
      <c r="K25" s="228"/>
      <c r="L25" s="228"/>
      <c r="M25" s="227">
        <f t="shared" si="1"/>
        <v>0</v>
      </c>
    </row>
    <row r="26" spans="1:46" ht="21.95" customHeight="1" x14ac:dyDescent="0.2">
      <c r="B26" s="213" t="s">
        <v>1065</v>
      </c>
      <c r="C26" s="218">
        <v>140</v>
      </c>
      <c r="D26" s="217" t="s">
        <v>251</v>
      </c>
      <c r="E26" s="228"/>
      <c r="F26" s="228"/>
      <c r="G26" s="228"/>
      <c r="H26" s="228"/>
      <c r="I26" s="228"/>
      <c r="J26" s="228"/>
      <c r="K26" s="228"/>
      <c r="L26" s="228"/>
      <c r="M26" s="227">
        <f t="shared" si="1"/>
        <v>0</v>
      </c>
    </row>
    <row r="27" spans="1:46" ht="21.95" customHeight="1" x14ac:dyDescent="0.2">
      <c r="B27" s="213" t="s">
        <v>1066</v>
      </c>
      <c r="C27" s="218">
        <v>150</v>
      </c>
      <c r="D27" s="217" t="s">
        <v>251</v>
      </c>
      <c r="E27" s="228"/>
      <c r="F27" s="228"/>
      <c r="G27" s="228"/>
      <c r="H27" s="228"/>
      <c r="I27" s="228"/>
      <c r="J27" s="228"/>
      <c r="K27" s="228"/>
      <c r="L27" s="228"/>
      <c r="M27" s="227">
        <f t="shared" si="1"/>
        <v>0</v>
      </c>
    </row>
    <row r="28" spans="1:46" ht="21.95" customHeight="1" x14ac:dyDescent="0.2">
      <c r="B28" s="213" t="s">
        <v>1067</v>
      </c>
      <c r="C28" s="218">
        <v>160</v>
      </c>
      <c r="D28" s="217" t="s">
        <v>245</v>
      </c>
      <c r="E28" s="228"/>
      <c r="F28" s="228"/>
      <c r="G28" s="228"/>
      <c r="H28" s="228"/>
      <c r="I28" s="228"/>
      <c r="J28" s="228"/>
      <c r="K28" s="228"/>
      <c r="L28" s="228"/>
      <c r="M28" s="227">
        <f t="shared" si="1"/>
        <v>0</v>
      </c>
    </row>
    <row r="29" spans="1:46" ht="21.95" customHeight="1" x14ac:dyDescent="0.2">
      <c r="B29" s="213" t="s">
        <v>1068</v>
      </c>
      <c r="C29" s="218">
        <v>170</v>
      </c>
      <c r="D29" s="217" t="s">
        <v>251</v>
      </c>
      <c r="E29" s="228"/>
      <c r="F29" s="228"/>
      <c r="G29" s="228"/>
      <c r="H29" s="228"/>
      <c r="I29" s="228"/>
      <c r="J29" s="228"/>
      <c r="K29" s="228"/>
      <c r="L29" s="228"/>
      <c r="M29" s="227">
        <f t="shared" si="1"/>
        <v>0</v>
      </c>
    </row>
    <row r="30" spans="1:46" ht="21.95" customHeight="1" x14ac:dyDescent="0.2">
      <c r="B30" s="213" t="s">
        <v>1070</v>
      </c>
      <c r="C30" s="218">
        <v>180</v>
      </c>
      <c r="D30" s="217" t="s">
        <v>245</v>
      </c>
      <c r="E30" s="228"/>
      <c r="F30" s="228"/>
      <c r="G30" s="228"/>
      <c r="H30" s="228"/>
      <c r="I30" s="228"/>
      <c r="J30" s="228"/>
      <c r="K30" s="228"/>
      <c r="L30" s="228"/>
      <c r="M30" s="227">
        <f t="shared" si="1"/>
        <v>0</v>
      </c>
    </row>
    <row r="31" spans="1:46" ht="21.95" customHeight="1" x14ac:dyDescent="0.2">
      <c r="B31" s="213" t="s">
        <v>1071</v>
      </c>
      <c r="C31" s="218">
        <v>190</v>
      </c>
      <c r="D31" s="217" t="s">
        <v>248</v>
      </c>
      <c r="E31" s="228"/>
      <c r="F31" s="228"/>
      <c r="G31" s="228"/>
      <c r="H31" s="228"/>
      <c r="I31" s="228"/>
      <c r="J31" s="228"/>
      <c r="K31" s="228"/>
      <c r="L31" s="228"/>
      <c r="M31" s="227">
        <f t="shared" si="1"/>
        <v>0</v>
      </c>
    </row>
    <row r="32" spans="1:46" ht="30" customHeight="1" x14ac:dyDescent="0.2">
      <c r="B32" s="336" t="s">
        <v>1072</v>
      </c>
      <c r="C32" s="218">
        <v>195</v>
      </c>
      <c r="D32" s="219" t="s">
        <v>251</v>
      </c>
      <c r="E32" s="224">
        <f t="shared" ref="E32:L32" si="2">SUM(E30:E31)</f>
        <v>0</v>
      </c>
      <c r="F32" s="224">
        <f t="shared" si="2"/>
        <v>0</v>
      </c>
      <c r="G32" s="224">
        <f t="shared" si="2"/>
        <v>0</v>
      </c>
      <c r="H32" s="224">
        <f t="shared" si="2"/>
        <v>0</v>
      </c>
      <c r="I32" s="224">
        <f t="shared" si="2"/>
        <v>0</v>
      </c>
      <c r="J32" s="224">
        <f t="shared" si="2"/>
        <v>0</v>
      </c>
      <c r="K32" s="224">
        <f t="shared" si="2"/>
        <v>0</v>
      </c>
      <c r="L32" s="224">
        <f t="shared" si="2"/>
        <v>0</v>
      </c>
      <c r="M32" s="227">
        <f t="shared" si="1"/>
        <v>0</v>
      </c>
    </row>
    <row r="33" spans="1:13" ht="21.95" customHeight="1" x14ac:dyDescent="0.2">
      <c r="B33" s="213" t="s">
        <v>1073</v>
      </c>
      <c r="C33" s="218">
        <v>210</v>
      </c>
      <c r="D33" s="217" t="s">
        <v>245</v>
      </c>
      <c r="E33" s="228"/>
      <c r="F33" s="228"/>
      <c r="G33" s="228"/>
      <c r="H33" s="228"/>
      <c r="I33" s="228"/>
      <c r="J33" s="228"/>
      <c r="K33" s="228"/>
      <c r="L33" s="228"/>
      <c r="M33" s="227">
        <f t="shared" si="1"/>
        <v>0</v>
      </c>
    </row>
    <row r="34" spans="1:13" ht="27" customHeight="1" x14ac:dyDescent="0.2">
      <c r="B34" s="244" t="s">
        <v>1074</v>
      </c>
      <c r="C34" s="218">
        <v>212</v>
      </c>
      <c r="D34" s="217" t="s">
        <v>251</v>
      </c>
      <c r="E34" s="228"/>
      <c r="F34" s="228"/>
      <c r="G34" s="228"/>
      <c r="H34" s="228"/>
      <c r="I34" s="228"/>
      <c r="J34" s="228"/>
      <c r="K34" s="228"/>
      <c r="L34" s="228"/>
      <c r="M34" s="225">
        <f t="shared" si="1"/>
        <v>0</v>
      </c>
    </row>
    <row r="35" spans="1:13" hidden="1" x14ac:dyDescent="0.2">
      <c r="A35" s="99"/>
      <c r="B35" t="s">
        <v>1075</v>
      </c>
      <c r="C35" s="172">
        <v>215</v>
      </c>
      <c r="D35" s="157" t="s">
        <v>245</v>
      </c>
      <c r="M35" s="97"/>
    </row>
    <row r="36" spans="1:13" ht="21.95" customHeight="1" thickBot="1" x14ac:dyDescent="0.25">
      <c r="B36" s="198" t="s">
        <v>1076</v>
      </c>
      <c r="C36" s="204">
        <v>220</v>
      </c>
      <c r="D36" s="138" t="s">
        <v>248</v>
      </c>
      <c r="E36" s="786">
        <f t="shared" ref="E36:L36" si="3">SUM(E18:E35)-E32</f>
        <v>0</v>
      </c>
      <c r="F36" s="786">
        <f t="shared" si="3"/>
        <v>0</v>
      </c>
      <c r="G36" s="786">
        <f t="shared" si="3"/>
        <v>0</v>
      </c>
      <c r="H36" s="786">
        <f t="shared" si="3"/>
        <v>0</v>
      </c>
      <c r="I36" s="786">
        <f t="shared" si="3"/>
        <v>0</v>
      </c>
      <c r="J36" s="786">
        <f t="shared" si="3"/>
        <v>0</v>
      </c>
      <c r="K36" s="786">
        <f t="shared" si="3"/>
        <v>0</v>
      </c>
      <c r="L36" s="786">
        <f t="shared" si="3"/>
        <v>0</v>
      </c>
      <c r="M36" s="415">
        <f>SUM(E36:L36)</f>
        <v>0</v>
      </c>
    </row>
    <row r="37" spans="1:13" ht="30" customHeight="1" x14ac:dyDescent="0.2">
      <c r="B37" s="1098" t="s">
        <v>1077</v>
      </c>
      <c r="C37" s="207">
        <v>230</v>
      </c>
      <c r="D37" s="206" t="s">
        <v>248</v>
      </c>
      <c r="E37" s="463"/>
      <c r="F37" s="463"/>
      <c r="G37" s="463"/>
      <c r="H37" s="463"/>
      <c r="I37" s="463"/>
      <c r="J37" s="463"/>
      <c r="K37" s="463"/>
      <c r="L37" s="463"/>
      <c r="M37" s="465">
        <f>SUM(E37:L37)</f>
        <v>0</v>
      </c>
    </row>
    <row r="38" spans="1:13" hidden="1" x14ac:dyDescent="0.2">
      <c r="A38" s="105"/>
      <c r="B38" s="97" t="s">
        <v>304</v>
      </c>
      <c r="C38" s="172">
        <v>231</v>
      </c>
      <c r="D38" s="157" t="s">
        <v>251</v>
      </c>
      <c r="M38" s="97"/>
    </row>
    <row r="39" spans="1:13" hidden="1" x14ac:dyDescent="0.2">
      <c r="A39" s="99"/>
      <c r="B39" s="97" t="s">
        <v>303</v>
      </c>
      <c r="C39" s="172">
        <v>232</v>
      </c>
      <c r="D39" s="157" t="s">
        <v>251</v>
      </c>
      <c r="M39" s="97"/>
    </row>
    <row r="40" spans="1:13" hidden="1" x14ac:dyDescent="0.2">
      <c r="A40" s="99"/>
      <c r="B40" s="97" t="s">
        <v>387</v>
      </c>
      <c r="C40" s="172">
        <v>233</v>
      </c>
      <c r="D40" s="157" t="s">
        <v>251</v>
      </c>
      <c r="M40" s="108"/>
    </row>
    <row r="41" spans="1:13" hidden="1" x14ac:dyDescent="0.2">
      <c r="A41" s="99"/>
      <c r="B41" s="97" t="s">
        <v>1078</v>
      </c>
      <c r="C41" s="172">
        <v>234</v>
      </c>
      <c r="D41" s="157" t="s">
        <v>251</v>
      </c>
      <c r="M41" s="97"/>
    </row>
    <row r="42" spans="1:13" ht="21.95" customHeight="1" x14ac:dyDescent="0.2">
      <c r="B42" s="406" t="s">
        <v>389</v>
      </c>
      <c r="C42" s="251">
        <v>235</v>
      </c>
      <c r="D42" s="250" t="s">
        <v>251</v>
      </c>
      <c r="E42" s="253">
        <f t="shared" ref="E42:L42" si="4">E44-E37</f>
        <v>0</v>
      </c>
      <c r="F42" s="253">
        <f t="shared" si="4"/>
        <v>0</v>
      </c>
      <c r="G42" s="253">
        <f t="shared" si="4"/>
        <v>0</v>
      </c>
      <c r="H42" s="253">
        <f t="shared" si="4"/>
        <v>0</v>
      </c>
      <c r="I42" s="253">
        <f t="shared" si="4"/>
        <v>0</v>
      </c>
      <c r="J42" s="253">
        <f t="shared" si="4"/>
        <v>0</v>
      </c>
      <c r="K42" s="253">
        <f t="shared" si="4"/>
        <v>0</v>
      </c>
      <c r="L42" s="253">
        <f t="shared" si="4"/>
        <v>0</v>
      </c>
      <c r="M42" s="407">
        <f>SUM(E42:L42)</f>
        <v>0</v>
      </c>
    </row>
    <row r="43" spans="1:13" hidden="1" x14ac:dyDescent="0.2">
      <c r="A43" s="105"/>
      <c r="B43" s="97" t="s">
        <v>1079</v>
      </c>
      <c r="C43" s="172">
        <v>236</v>
      </c>
      <c r="D43" s="157" t="s">
        <v>251</v>
      </c>
      <c r="M43" s="108"/>
    </row>
    <row r="44" spans="1:13" ht="30" customHeight="1" x14ac:dyDescent="0.2">
      <c r="B44" s="355" t="s">
        <v>1080</v>
      </c>
      <c r="C44" s="251">
        <v>237</v>
      </c>
      <c r="D44" s="250" t="s">
        <v>248</v>
      </c>
      <c r="E44" s="1091"/>
      <c r="F44" s="1091"/>
      <c r="G44" s="1091"/>
      <c r="H44" s="1091"/>
      <c r="I44" s="1091"/>
      <c r="J44" s="1091"/>
      <c r="K44" s="1091"/>
      <c r="L44" s="1091"/>
      <c r="M44" s="415">
        <f t="shared" ref="M44:M52" si="5">SUM(E44:L44)</f>
        <v>0</v>
      </c>
    </row>
    <row r="45" spans="1:13" ht="21.95" customHeight="1" x14ac:dyDescent="0.2">
      <c r="B45" s="213" t="s">
        <v>1065</v>
      </c>
      <c r="C45" s="218">
        <v>240</v>
      </c>
      <c r="D45" s="217" t="s">
        <v>251</v>
      </c>
      <c r="E45" s="228"/>
      <c r="F45" s="228"/>
      <c r="G45" s="228"/>
      <c r="H45" s="334"/>
      <c r="I45" s="228"/>
      <c r="J45" s="228"/>
      <c r="K45" s="228"/>
      <c r="L45" s="228"/>
      <c r="M45" s="227">
        <f t="shared" si="5"/>
        <v>0</v>
      </c>
    </row>
    <row r="46" spans="1:13" ht="21.95" customHeight="1" x14ac:dyDescent="0.2">
      <c r="B46" s="213" t="s">
        <v>1066</v>
      </c>
      <c r="C46" s="218">
        <v>250</v>
      </c>
      <c r="D46" s="217" t="s">
        <v>251</v>
      </c>
      <c r="E46" s="228"/>
      <c r="F46" s="228"/>
      <c r="G46" s="228"/>
      <c r="H46" s="334"/>
      <c r="I46" s="228"/>
      <c r="J46" s="228"/>
      <c r="K46" s="228"/>
      <c r="L46" s="228"/>
      <c r="M46" s="227">
        <f t="shared" si="5"/>
        <v>0</v>
      </c>
    </row>
    <row r="47" spans="1:13" ht="21.95" customHeight="1" x14ac:dyDescent="0.2">
      <c r="B47" s="213" t="s">
        <v>1067</v>
      </c>
      <c r="C47" s="218">
        <v>260</v>
      </c>
      <c r="D47" s="217" t="s">
        <v>245</v>
      </c>
      <c r="E47" s="228"/>
      <c r="F47" s="228"/>
      <c r="G47" s="228"/>
      <c r="H47" s="334"/>
      <c r="I47" s="228"/>
      <c r="J47" s="228"/>
      <c r="K47" s="228"/>
      <c r="L47" s="228"/>
      <c r="M47" s="227">
        <f t="shared" si="5"/>
        <v>0</v>
      </c>
    </row>
    <row r="48" spans="1:13" ht="21.95" customHeight="1" x14ac:dyDescent="0.2">
      <c r="B48" s="213" t="s">
        <v>1068</v>
      </c>
      <c r="C48" s="218">
        <v>270</v>
      </c>
      <c r="D48" s="217" t="s">
        <v>251</v>
      </c>
      <c r="E48" s="228"/>
      <c r="F48" s="228"/>
      <c r="G48" s="228"/>
      <c r="H48" s="334"/>
      <c r="I48" s="228"/>
      <c r="J48" s="228"/>
      <c r="K48" s="228"/>
      <c r="L48" s="228"/>
      <c r="M48" s="227">
        <f t="shared" si="5"/>
        <v>0</v>
      </c>
    </row>
    <row r="49" spans="1:13" ht="27" customHeight="1" x14ac:dyDescent="0.2">
      <c r="B49" s="245" t="s">
        <v>1081</v>
      </c>
      <c r="C49" s="218">
        <v>280</v>
      </c>
      <c r="D49" s="217" t="s">
        <v>248</v>
      </c>
      <c r="E49" s="228"/>
      <c r="F49" s="228"/>
      <c r="G49" s="228"/>
      <c r="H49" s="228"/>
      <c r="I49" s="228"/>
      <c r="J49" s="228"/>
      <c r="K49" s="228"/>
      <c r="L49" s="228"/>
      <c r="M49" s="227">
        <f t="shared" si="5"/>
        <v>0</v>
      </c>
    </row>
    <row r="50" spans="1:13" ht="21.95" customHeight="1" x14ac:dyDescent="0.2">
      <c r="B50" s="213" t="s">
        <v>1082</v>
      </c>
      <c r="C50" s="218">
        <v>290</v>
      </c>
      <c r="D50" s="217" t="s">
        <v>245</v>
      </c>
      <c r="E50" s="228"/>
      <c r="F50" s="228"/>
      <c r="G50" s="228"/>
      <c r="H50" s="228"/>
      <c r="I50" s="228"/>
      <c r="J50" s="228"/>
      <c r="K50" s="228"/>
      <c r="L50" s="228"/>
      <c r="M50" s="227">
        <f t="shared" si="5"/>
        <v>0</v>
      </c>
    </row>
    <row r="51" spans="1:13" ht="30" customHeight="1" x14ac:dyDescent="0.2">
      <c r="B51" s="336" t="s">
        <v>1083</v>
      </c>
      <c r="C51" s="218">
        <v>295</v>
      </c>
      <c r="D51" s="217" t="s">
        <v>251</v>
      </c>
      <c r="E51" s="224">
        <f t="shared" ref="E51:L51" si="6">SUM(E49:E50)</f>
        <v>0</v>
      </c>
      <c r="F51" s="224">
        <f t="shared" si="6"/>
        <v>0</v>
      </c>
      <c r="G51" s="224">
        <f t="shared" si="6"/>
        <v>0</v>
      </c>
      <c r="H51" s="224">
        <f t="shared" si="6"/>
        <v>0</v>
      </c>
      <c r="I51" s="224">
        <f t="shared" si="6"/>
        <v>0</v>
      </c>
      <c r="J51" s="224">
        <f t="shared" si="6"/>
        <v>0</v>
      </c>
      <c r="K51" s="224">
        <f t="shared" si="6"/>
        <v>0</v>
      </c>
      <c r="L51" s="224">
        <f t="shared" si="6"/>
        <v>0</v>
      </c>
      <c r="M51" s="227">
        <f t="shared" si="5"/>
        <v>0</v>
      </c>
    </row>
    <row r="52" spans="1:13" ht="21.95" customHeight="1" x14ac:dyDescent="0.2">
      <c r="B52" s="214" t="s">
        <v>1084</v>
      </c>
      <c r="C52" s="218">
        <v>300</v>
      </c>
      <c r="D52" s="217" t="s">
        <v>248</v>
      </c>
      <c r="E52" s="228"/>
      <c r="F52" s="228"/>
      <c r="G52" s="228"/>
      <c r="H52" s="334"/>
      <c r="I52" s="228"/>
      <c r="J52" s="228"/>
      <c r="K52" s="228"/>
      <c r="L52" s="228"/>
      <c r="M52" s="225">
        <f t="shared" si="5"/>
        <v>0</v>
      </c>
    </row>
    <row r="53" spans="1:13" hidden="1" x14ac:dyDescent="0.2">
      <c r="A53" s="99"/>
      <c r="B53" s="108" t="s">
        <v>1085</v>
      </c>
      <c r="C53" s="172">
        <v>310</v>
      </c>
      <c r="D53" s="247" t="s">
        <v>251</v>
      </c>
      <c r="M53" s="97"/>
    </row>
    <row r="54" spans="1:13" ht="21.95" customHeight="1" x14ac:dyDescent="0.2">
      <c r="B54" s="188" t="s">
        <v>1073</v>
      </c>
      <c r="C54" s="251">
        <v>320</v>
      </c>
      <c r="D54" s="250" t="s">
        <v>245</v>
      </c>
      <c r="E54" s="422"/>
      <c r="F54" s="422"/>
      <c r="G54" s="422"/>
      <c r="H54" s="422"/>
      <c r="I54" s="422"/>
      <c r="J54" s="422"/>
      <c r="K54" s="422"/>
      <c r="L54" s="422"/>
      <c r="M54" s="415">
        <f>SUM(E54:L54)</f>
        <v>0</v>
      </c>
    </row>
    <row r="55" spans="1:13" ht="27" customHeight="1" x14ac:dyDescent="0.2">
      <c r="B55" s="244" t="s">
        <v>1074</v>
      </c>
      <c r="C55" s="218">
        <v>325</v>
      </c>
      <c r="D55" s="217" t="s">
        <v>251</v>
      </c>
      <c r="E55" s="228"/>
      <c r="F55" s="228"/>
      <c r="G55" s="228"/>
      <c r="H55" s="228"/>
      <c r="I55" s="228"/>
      <c r="J55" s="228"/>
      <c r="K55" s="228"/>
      <c r="L55" s="228"/>
      <c r="M55" s="225">
        <f>SUM(E55:L55)</f>
        <v>0</v>
      </c>
    </row>
    <row r="56" spans="1:13" hidden="1" x14ac:dyDescent="0.2">
      <c r="A56" s="99"/>
      <c r="B56" t="s">
        <v>1086</v>
      </c>
      <c r="C56" s="172">
        <v>330</v>
      </c>
      <c r="D56" s="157" t="s">
        <v>245</v>
      </c>
      <c r="M56" s="97"/>
    </row>
    <row r="57" spans="1:13" ht="21.95" customHeight="1" thickBot="1" x14ac:dyDescent="0.25">
      <c r="B57" s="198" t="s">
        <v>1087</v>
      </c>
      <c r="C57" s="204">
        <v>340</v>
      </c>
      <c r="D57" s="138" t="s">
        <v>248</v>
      </c>
      <c r="E57" s="786">
        <f t="shared" ref="E57:M57" si="7">SUM(E44:E56)-E51</f>
        <v>0</v>
      </c>
      <c r="F57" s="786">
        <f t="shared" si="7"/>
        <v>0</v>
      </c>
      <c r="G57" s="786">
        <f t="shared" si="7"/>
        <v>0</v>
      </c>
      <c r="H57" s="786">
        <f t="shared" si="7"/>
        <v>0</v>
      </c>
      <c r="I57" s="786">
        <f t="shared" si="7"/>
        <v>0</v>
      </c>
      <c r="J57" s="786">
        <f t="shared" si="7"/>
        <v>0</v>
      </c>
      <c r="K57" s="786">
        <f t="shared" si="7"/>
        <v>0</v>
      </c>
      <c r="L57" s="786">
        <f t="shared" si="7"/>
        <v>0</v>
      </c>
      <c r="M57" s="415">
        <f t="shared" si="7"/>
        <v>0</v>
      </c>
    </row>
    <row r="58" spans="1:13" ht="21.95" customHeight="1" thickBot="1" x14ac:dyDescent="0.25">
      <c r="B58" s="789" t="s">
        <v>1088</v>
      </c>
      <c r="C58" s="558">
        <v>350</v>
      </c>
      <c r="D58" s="160" t="s">
        <v>248</v>
      </c>
      <c r="E58" s="559">
        <f t="shared" ref="E58:M58" si="8">E36-E57</f>
        <v>0</v>
      </c>
      <c r="F58" s="559">
        <f t="shared" si="8"/>
        <v>0</v>
      </c>
      <c r="G58" s="559">
        <f t="shared" si="8"/>
        <v>0</v>
      </c>
      <c r="H58" s="559">
        <f t="shared" si="8"/>
        <v>0</v>
      </c>
      <c r="I58" s="559">
        <f t="shared" si="8"/>
        <v>0</v>
      </c>
      <c r="J58" s="559">
        <f t="shared" si="8"/>
        <v>0</v>
      </c>
      <c r="K58" s="559">
        <f t="shared" si="8"/>
        <v>0</v>
      </c>
      <c r="L58" s="559">
        <f t="shared" si="8"/>
        <v>0</v>
      </c>
      <c r="M58" s="790">
        <f t="shared" si="8"/>
        <v>0</v>
      </c>
    </row>
    <row r="59" spans="1:13" hidden="1" x14ac:dyDescent="0.2">
      <c r="A59" s="517"/>
      <c r="B59" t="s">
        <v>1089</v>
      </c>
      <c r="C59" s="172">
        <v>360</v>
      </c>
      <c r="D59" s="157" t="s">
        <v>248</v>
      </c>
      <c r="M59" s="97"/>
    </row>
    <row r="60" spans="1:13" hidden="1" x14ac:dyDescent="0.2">
      <c r="A60" s="99"/>
      <c r="B60" t="s">
        <v>1090</v>
      </c>
      <c r="C60" s="172">
        <v>370</v>
      </c>
      <c r="D60" s="157" t="s">
        <v>248</v>
      </c>
      <c r="M60" s="97"/>
    </row>
    <row r="61" spans="1:13" hidden="1" x14ac:dyDescent="0.2">
      <c r="A61" s="99"/>
      <c r="B61" t="s">
        <v>1091</v>
      </c>
      <c r="C61" s="172">
        <v>380</v>
      </c>
      <c r="D61" s="157" t="s">
        <v>248</v>
      </c>
      <c r="M61" s="97"/>
    </row>
    <row r="62" spans="1:13" hidden="1" x14ac:dyDescent="0.2">
      <c r="A62" s="99"/>
      <c r="B62" s="97" t="s">
        <v>1092</v>
      </c>
      <c r="C62" s="172">
        <v>390</v>
      </c>
      <c r="D62" s="157" t="s">
        <v>248</v>
      </c>
      <c r="E62" s="97"/>
      <c r="F62" s="97"/>
      <c r="G62" s="97"/>
      <c r="H62" s="97"/>
      <c r="I62" s="97"/>
      <c r="J62" s="97"/>
      <c r="K62" s="97"/>
      <c r="L62" s="97"/>
      <c r="M62" s="97"/>
    </row>
    <row r="63" spans="1:13" ht="21.95" customHeight="1" x14ac:dyDescent="0.2">
      <c r="B63" s="198" t="s">
        <v>116</v>
      </c>
      <c r="C63" s="417"/>
      <c r="D63" s="418"/>
      <c r="E63" s="419"/>
      <c r="F63" s="419"/>
      <c r="G63" s="419"/>
      <c r="H63" s="419"/>
      <c r="I63" s="419"/>
      <c r="J63" s="419"/>
      <c r="K63" s="419"/>
      <c r="L63" s="419"/>
      <c r="M63" s="421"/>
    </row>
    <row r="64" spans="1:13" ht="21.95" customHeight="1" x14ac:dyDescent="0.2">
      <c r="B64" s="188" t="s">
        <v>1093</v>
      </c>
      <c r="C64" s="251">
        <v>400</v>
      </c>
      <c r="D64" s="250" t="s">
        <v>248</v>
      </c>
      <c r="E64" s="422"/>
      <c r="F64" s="422"/>
      <c r="G64" s="422"/>
      <c r="H64" s="422"/>
      <c r="I64" s="422"/>
      <c r="J64" s="422"/>
      <c r="K64" s="422"/>
      <c r="L64" s="422"/>
      <c r="M64" s="415">
        <f t="shared" ref="M64:M70" si="9">SUM(E64:L64)</f>
        <v>0</v>
      </c>
    </row>
    <row r="65" spans="1:13" ht="21.95" customHeight="1" x14ac:dyDescent="0.2">
      <c r="B65" s="213" t="s">
        <v>1094</v>
      </c>
      <c r="C65" s="218">
        <v>405</v>
      </c>
      <c r="D65" s="217" t="s">
        <v>248</v>
      </c>
      <c r="E65" s="228"/>
      <c r="F65" s="228"/>
      <c r="G65" s="228"/>
      <c r="H65" s="228"/>
      <c r="I65" s="228"/>
      <c r="J65" s="228"/>
      <c r="K65" s="228"/>
      <c r="L65" s="228"/>
      <c r="M65" s="227">
        <f t="shared" si="9"/>
        <v>0</v>
      </c>
    </row>
    <row r="66" spans="1:13" ht="21.95" customHeight="1" x14ac:dyDescent="0.2">
      <c r="B66" s="213" t="s">
        <v>1095</v>
      </c>
      <c r="C66" s="218">
        <v>406</v>
      </c>
      <c r="D66" s="217" t="s">
        <v>248</v>
      </c>
      <c r="E66" s="228"/>
      <c r="F66" s="228"/>
      <c r="G66" s="228"/>
      <c r="H66" s="228"/>
      <c r="I66" s="228"/>
      <c r="J66" s="228"/>
      <c r="K66" s="228"/>
      <c r="L66" s="228"/>
      <c r="M66" s="227">
        <f t="shared" si="9"/>
        <v>0</v>
      </c>
    </row>
    <row r="67" spans="1:13" ht="21.95" customHeight="1" x14ac:dyDescent="0.2">
      <c r="B67" s="226" t="s">
        <v>1096</v>
      </c>
      <c r="C67" s="218">
        <v>407</v>
      </c>
      <c r="D67" s="217" t="s">
        <v>248</v>
      </c>
      <c r="E67" s="224">
        <f t="shared" ref="E67:L67" si="10">SUM(E65:E66)</f>
        <v>0</v>
      </c>
      <c r="F67" s="224">
        <f t="shared" si="10"/>
        <v>0</v>
      </c>
      <c r="G67" s="224">
        <f t="shared" si="10"/>
        <v>0</v>
      </c>
      <c r="H67" s="224">
        <f t="shared" si="10"/>
        <v>0</v>
      </c>
      <c r="I67" s="224">
        <f t="shared" si="10"/>
        <v>0</v>
      </c>
      <c r="J67" s="224">
        <f t="shared" si="10"/>
        <v>0</v>
      </c>
      <c r="K67" s="224">
        <f t="shared" si="10"/>
        <v>0</v>
      </c>
      <c r="L67" s="224">
        <f t="shared" si="10"/>
        <v>0</v>
      </c>
      <c r="M67" s="227">
        <f t="shared" si="9"/>
        <v>0</v>
      </c>
    </row>
    <row r="68" spans="1:13" ht="21.95" customHeight="1" x14ac:dyDescent="0.2">
      <c r="B68" s="213" t="s">
        <v>1097</v>
      </c>
      <c r="C68" s="218">
        <v>410</v>
      </c>
      <c r="D68" s="217" t="s">
        <v>248</v>
      </c>
      <c r="E68" s="228"/>
      <c r="F68" s="228"/>
      <c r="G68" s="228"/>
      <c r="H68" s="228"/>
      <c r="I68" s="228"/>
      <c r="J68" s="228"/>
      <c r="K68" s="228"/>
      <c r="L68" s="228"/>
      <c r="M68" s="227">
        <f t="shared" si="9"/>
        <v>0</v>
      </c>
    </row>
    <row r="69" spans="1:13" ht="21.95" customHeight="1" x14ac:dyDescent="0.2">
      <c r="B69" s="213" t="s">
        <v>1098</v>
      </c>
      <c r="C69" s="218">
        <v>420</v>
      </c>
      <c r="D69" s="217" t="s">
        <v>248</v>
      </c>
      <c r="E69" s="228"/>
      <c r="F69" s="228"/>
      <c r="G69" s="228"/>
      <c r="H69" s="228"/>
      <c r="I69" s="228"/>
      <c r="J69" s="228"/>
      <c r="K69" s="228"/>
      <c r="L69" s="228"/>
      <c r="M69" s="227">
        <f t="shared" si="9"/>
        <v>0</v>
      </c>
    </row>
    <row r="70" spans="1:13" ht="21.95" customHeight="1" x14ac:dyDescent="0.2">
      <c r="B70" s="213" t="s">
        <v>1099</v>
      </c>
      <c r="C70" s="234">
        <v>430</v>
      </c>
      <c r="D70" s="237" t="s">
        <v>248</v>
      </c>
      <c r="E70" s="396"/>
      <c r="F70" s="396"/>
      <c r="G70" s="396"/>
      <c r="H70" s="396"/>
      <c r="I70" s="396"/>
      <c r="J70" s="396"/>
      <c r="K70" s="396"/>
      <c r="L70" s="396"/>
      <c r="M70" s="227">
        <f t="shared" si="9"/>
        <v>0</v>
      </c>
    </row>
    <row r="71" spans="1:13" ht="21.95" customHeight="1" thickBot="1" x14ac:dyDescent="0.25">
      <c r="B71" s="233" t="s">
        <v>1100</v>
      </c>
      <c r="C71" s="236">
        <v>440</v>
      </c>
      <c r="D71" s="235" t="s">
        <v>248</v>
      </c>
      <c r="E71" s="240">
        <f t="shared" ref="E71:M71" si="11">SUM(E64:E70)-E67</f>
        <v>0</v>
      </c>
      <c r="F71" s="240">
        <f t="shared" si="11"/>
        <v>0</v>
      </c>
      <c r="G71" s="240">
        <f t="shared" si="11"/>
        <v>0</v>
      </c>
      <c r="H71" s="240">
        <f t="shared" si="11"/>
        <v>0</v>
      </c>
      <c r="I71" s="240">
        <f t="shared" si="11"/>
        <v>0</v>
      </c>
      <c r="J71" s="240">
        <f t="shared" si="11"/>
        <v>0</v>
      </c>
      <c r="K71" s="240">
        <f t="shared" si="11"/>
        <v>0</v>
      </c>
      <c r="L71" s="240">
        <f t="shared" si="11"/>
        <v>0</v>
      </c>
      <c r="M71" s="241">
        <f t="shared" si="11"/>
        <v>0</v>
      </c>
    </row>
    <row r="72" spans="1:13" ht="13.5" thickTop="1" x14ac:dyDescent="0.2">
      <c r="M72" s="108"/>
    </row>
    <row r="74" spans="1:13" ht="13.5" thickBot="1" x14ac:dyDescent="0.25"/>
    <row r="75" spans="1:13" ht="13.5" thickTop="1" x14ac:dyDescent="0.2">
      <c r="B75" s="242"/>
      <c r="C75" s="353"/>
      <c r="D75" s="353" t="s">
        <v>25</v>
      </c>
      <c r="E75" s="353" t="s">
        <v>235</v>
      </c>
      <c r="F75" s="353" t="s">
        <v>236</v>
      </c>
      <c r="G75" s="353" t="s">
        <v>293</v>
      </c>
      <c r="H75" s="353" t="s">
        <v>294</v>
      </c>
      <c r="I75" s="353" t="s">
        <v>295</v>
      </c>
      <c r="J75" s="353" t="s">
        <v>296</v>
      </c>
      <c r="K75" s="353" t="s">
        <v>342</v>
      </c>
      <c r="L75" s="353" t="s">
        <v>297</v>
      </c>
      <c r="M75" s="293" t="s">
        <v>298</v>
      </c>
    </row>
    <row r="76" spans="1:13" ht="51" x14ac:dyDescent="0.2">
      <c r="B76" s="355" t="s">
        <v>1101</v>
      </c>
      <c r="C76" s="201" t="s">
        <v>238</v>
      </c>
      <c r="D76" s="201"/>
      <c r="E76" s="201" t="s">
        <v>1040</v>
      </c>
      <c r="F76" s="201" t="s">
        <v>1102</v>
      </c>
      <c r="G76" s="201" t="s">
        <v>1042</v>
      </c>
      <c r="H76" s="201" t="s">
        <v>1103</v>
      </c>
      <c r="I76" s="201" t="s">
        <v>1044</v>
      </c>
      <c r="J76" s="201" t="s">
        <v>1045</v>
      </c>
      <c r="K76" s="201" t="s">
        <v>1046</v>
      </c>
      <c r="L76" s="201" t="s">
        <v>1047</v>
      </c>
      <c r="M76" s="202" t="s">
        <v>340</v>
      </c>
    </row>
    <row r="77" spans="1:13" x14ac:dyDescent="0.2">
      <c r="B77" s="198"/>
      <c r="C77" s="201" t="s">
        <v>242</v>
      </c>
      <c r="D77" s="201"/>
      <c r="E77" s="201"/>
      <c r="F77" s="201"/>
      <c r="G77" s="201"/>
      <c r="H77" s="201"/>
      <c r="I77" s="201" t="s">
        <v>1050</v>
      </c>
      <c r="J77" s="201" t="s">
        <v>1051</v>
      </c>
      <c r="K77" s="201" t="s">
        <v>1052</v>
      </c>
      <c r="L77" s="201" t="s">
        <v>1053</v>
      </c>
      <c r="M77" s="202"/>
    </row>
    <row r="78" spans="1:13" ht="13.5" thickBot="1" x14ac:dyDescent="0.25">
      <c r="B78" s="198"/>
      <c r="C78" s="278"/>
      <c r="D78" s="278"/>
      <c r="E78" s="278" t="s">
        <v>243</v>
      </c>
      <c r="F78" s="278" t="s">
        <v>243</v>
      </c>
      <c r="G78" s="278" t="s">
        <v>243</v>
      </c>
      <c r="H78" s="278" t="s">
        <v>243</v>
      </c>
      <c r="I78" s="278" t="s">
        <v>243</v>
      </c>
      <c r="J78" s="278" t="s">
        <v>243</v>
      </c>
      <c r="K78" s="278" t="s">
        <v>243</v>
      </c>
      <c r="L78" s="278" t="s">
        <v>243</v>
      </c>
      <c r="M78" s="202" t="s">
        <v>243</v>
      </c>
    </row>
    <row r="79" spans="1:13" ht="21.95" customHeight="1" x14ac:dyDescent="0.2">
      <c r="B79" s="386" t="s">
        <v>1104</v>
      </c>
      <c r="C79" s="207">
        <v>450</v>
      </c>
      <c r="D79" s="206" t="s">
        <v>248</v>
      </c>
      <c r="E79" s="593"/>
      <c r="F79" s="593"/>
      <c r="G79" s="593"/>
      <c r="H79" s="593"/>
      <c r="I79" s="593"/>
      <c r="J79" s="593"/>
      <c r="K79" s="593"/>
      <c r="L79" s="593"/>
      <c r="M79" s="804"/>
    </row>
    <row r="80" spans="1:13" hidden="1" x14ac:dyDescent="0.2">
      <c r="A80" s="99"/>
      <c r="B80" s="97" t="s">
        <v>304</v>
      </c>
      <c r="C80" s="172">
        <v>452</v>
      </c>
      <c r="D80" s="157" t="s">
        <v>251</v>
      </c>
      <c r="M80" s="97"/>
    </row>
    <row r="81" spans="1:47" hidden="1" x14ac:dyDescent="0.2">
      <c r="A81" s="99"/>
      <c r="B81" s="97" t="s">
        <v>303</v>
      </c>
      <c r="C81" s="172">
        <v>454</v>
      </c>
      <c r="D81" s="247" t="s">
        <v>251</v>
      </c>
      <c r="M81" s="97"/>
    </row>
    <row r="82" spans="1:47" hidden="1" x14ac:dyDescent="0.2">
      <c r="A82" s="99"/>
      <c r="B82" s="97" t="s">
        <v>387</v>
      </c>
      <c r="C82" s="172">
        <v>456</v>
      </c>
      <c r="D82" s="157" t="s">
        <v>251</v>
      </c>
      <c r="E82" s="108"/>
      <c r="F82" s="108"/>
      <c r="G82" s="108"/>
      <c r="I82" s="108"/>
      <c r="J82" s="108"/>
      <c r="K82" s="108"/>
      <c r="L82" s="108"/>
      <c r="M82" s="97"/>
    </row>
    <row r="83" spans="1:47" hidden="1" x14ac:dyDescent="0.2">
      <c r="A83" s="99"/>
      <c r="B83" s="97" t="s">
        <v>388</v>
      </c>
      <c r="C83" s="172">
        <v>458</v>
      </c>
      <c r="D83" s="157" t="s">
        <v>251</v>
      </c>
    </row>
    <row r="84" spans="1:47" ht="21.95" customHeight="1" x14ac:dyDescent="0.2">
      <c r="B84" s="406" t="s">
        <v>389</v>
      </c>
      <c r="C84" s="251">
        <v>460</v>
      </c>
      <c r="D84" s="250" t="s">
        <v>251</v>
      </c>
      <c r="E84" s="321"/>
      <c r="F84" s="321"/>
      <c r="G84" s="321"/>
      <c r="H84" s="321"/>
      <c r="I84" s="321"/>
      <c r="J84" s="321"/>
      <c r="K84" s="321"/>
      <c r="L84" s="321"/>
      <c r="M84" s="407">
        <f>SUM(E86:L86)-M79</f>
        <v>0</v>
      </c>
    </row>
    <row r="85" spans="1:47" hidden="1" x14ac:dyDescent="0.2">
      <c r="A85" s="105"/>
      <c r="B85" s="97" t="s">
        <v>1079</v>
      </c>
      <c r="C85" s="172">
        <v>462</v>
      </c>
      <c r="D85" s="157" t="s">
        <v>251</v>
      </c>
      <c r="E85" s="108"/>
      <c r="F85" s="108"/>
      <c r="G85" s="108"/>
      <c r="I85" s="108"/>
      <c r="J85" s="108"/>
      <c r="K85" s="108"/>
      <c r="L85" s="108"/>
      <c r="M85" s="97"/>
    </row>
    <row r="86" spans="1:47" ht="30" customHeight="1" x14ac:dyDescent="0.2">
      <c r="B86" s="355" t="s">
        <v>391</v>
      </c>
      <c r="C86" s="251">
        <v>465</v>
      </c>
      <c r="D86" s="250" t="s">
        <v>248</v>
      </c>
      <c r="E86" s="1092"/>
      <c r="F86" s="1092"/>
      <c r="G86" s="1092"/>
      <c r="H86" s="1092"/>
      <c r="I86" s="1092"/>
      <c r="J86" s="1092"/>
      <c r="K86" s="1092"/>
      <c r="L86" s="1092"/>
      <c r="M86" s="415">
        <f>SUM(E86:L86)</f>
        <v>0</v>
      </c>
    </row>
    <row r="87" spans="1:47" ht="21.95" customHeight="1" x14ac:dyDescent="0.2">
      <c r="B87" s="213" t="s">
        <v>1105</v>
      </c>
      <c r="C87" s="234">
        <v>490</v>
      </c>
      <c r="D87" s="237" t="s">
        <v>251</v>
      </c>
      <c r="E87" s="396"/>
      <c r="F87" s="396"/>
      <c r="G87" s="396"/>
      <c r="H87" s="396"/>
      <c r="I87" s="396"/>
      <c r="J87" s="396"/>
      <c r="K87" s="396"/>
      <c r="L87" s="396"/>
      <c r="M87" s="227">
        <f>SUM(E87:L87)</f>
        <v>0</v>
      </c>
    </row>
    <row r="88" spans="1:47" ht="21.95" customHeight="1" thickBot="1" x14ac:dyDescent="0.25">
      <c r="B88" s="233" t="s">
        <v>1106</v>
      </c>
      <c r="C88" s="236">
        <v>500</v>
      </c>
      <c r="D88" s="235" t="s">
        <v>248</v>
      </c>
      <c r="E88" s="240">
        <f t="shared" ref="E88:L88" si="12">SUM(E86:E87)</f>
        <v>0</v>
      </c>
      <c r="F88" s="240">
        <f t="shared" si="12"/>
        <v>0</v>
      </c>
      <c r="G88" s="240">
        <f t="shared" si="12"/>
        <v>0</v>
      </c>
      <c r="H88" s="240">
        <f t="shared" si="12"/>
        <v>0</v>
      </c>
      <c r="I88" s="240">
        <f t="shared" si="12"/>
        <v>0</v>
      </c>
      <c r="J88" s="240">
        <f t="shared" si="12"/>
        <v>0</v>
      </c>
      <c r="K88" s="240">
        <f t="shared" si="12"/>
        <v>0</v>
      </c>
      <c r="L88" s="240">
        <f t="shared" si="12"/>
        <v>0</v>
      </c>
      <c r="M88" s="241">
        <f>SUM(E88:L88)</f>
        <v>0</v>
      </c>
    </row>
    <row r="89" spans="1:47" ht="13.5" thickTop="1" x14ac:dyDescent="0.2"/>
    <row r="91" spans="1:47" ht="13.5" thickBot="1" x14ac:dyDescent="0.25"/>
    <row r="92" spans="1:47" ht="13.5" thickTop="1" x14ac:dyDescent="0.2">
      <c r="B92" s="791" t="s">
        <v>1107</v>
      </c>
      <c r="C92" s="353" t="s">
        <v>238</v>
      </c>
      <c r="D92" s="353"/>
      <c r="E92" s="353" t="s">
        <v>235</v>
      </c>
      <c r="F92" s="293" t="s">
        <v>236</v>
      </c>
    </row>
    <row r="93" spans="1:47" x14ac:dyDescent="0.2">
      <c r="B93" s="198"/>
      <c r="C93" s="201" t="s">
        <v>242</v>
      </c>
      <c r="D93" s="201" t="s">
        <v>25</v>
      </c>
      <c r="E93" s="201" t="s">
        <v>1109</v>
      </c>
      <c r="F93" s="202" t="s">
        <v>1110</v>
      </c>
    </row>
    <row r="94" spans="1:47" ht="13.5" thickBot="1" x14ac:dyDescent="0.25">
      <c r="B94" s="198"/>
      <c r="C94" s="278"/>
      <c r="D94" s="278"/>
      <c r="E94" s="278" t="s">
        <v>1113</v>
      </c>
      <c r="F94" s="202" t="s">
        <v>1113</v>
      </c>
    </row>
    <row r="95" spans="1:47" ht="21.95" customHeight="1" x14ac:dyDescent="0.2">
      <c r="B95" s="314" t="s">
        <v>311</v>
      </c>
      <c r="C95" s="317"/>
      <c r="D95" s="317"/>
      <c r="E95" s="317"/>
      <c r="F95" s="318"/>
    </row>
    <row r="96" spans="1:47" ht="21.95" customHeight="1" x14ac:dyDescent="0.2">
      <c r="B96" s="188" t="s">
        <v>1114</v>
      </c>
      <c r="C96" s="251">
        <v>510</v>
      </c>
      <c r="D96" s="250" t="s">
        <v>248</v>
      </c>
      <c r="E96" s="422"/>
      <c r="F96" s="694"/>
      <c r="AU96">
        <f>IF(OR(E96=0,F96=0),1,0)</f>
        <v>1</v>
      </c>
    </row>
    <row r="97" spans="2:8" ht="21.95" customHeight="1" x14ac:dyDescent="0.2">
      <c r="B97" s="213" t="s">
        <v>1116</v>
      </c>
      <c r="C97" s="218">
        <v>520</v>
      </c>
      <c r="D97" s="217" t="s">
        <v>248</v>
      </c>
      <c r="E97" s="228"/>
      <c r="F97" s="297"/>
    </row>
    <row r="98" spans="2:8" ht="21.95" customHeight="1" x14ac:dyDescent="0.2">
      <c r="B98" s="213" t="s">
        <v>1117</v>
      </c>
      <c r="C98" s="218">
        <v>530</v>
      </c>
      <c r="D98" s="217" t="s">
        <v>248</v>
      </c>
      <c r="E98" s="228"/>
      <c r="F98" s="297"/>
    </row>
    <row r="99" spans="2:8" ht="21.95" customHeight="1" x14ac:dyDescent="0.2">
      <c r="B99" s="213" t="s">
        <v>1118</v>
      </c>
      <c r="C99" s="218">
        <v>540</v>
      </c>
      <c r="D99" s="217" t="s">
        <v>248</v>
      </c>
      <c r="E99" s="228"/>
      <c r="F99" s="297"/>
    </row>
    <row r="100" spans="2:8" ht="21.95" customHeight="1" x14ac:dyDescent="0.2">
      <c r="B100" s="231" t="s">
        <v>1119</v>
      </c>
      <c r="C100" s="218">
        <v>545</v>
      </c>
      <c r="D100" s="219" t="s">
        <v>248</v>
      </c>
      <c r="E100" s="228"/>
      <c r="F100" s="297"/>
    </row>
    <row r="101" spans="2:8" ht="21.95" customHeight="1" x14ac:dyDescent="0.2">
      <c r="B101" s="226" t="s">
        <v>310</v>
      </c>
      <c r="C101" s="446"/>
      <c r="D101" s="579"/>
      <c r="E101" s="258"/>
      <c r="F101" s="331"/>
    </row>
    <row r="102" spans="2:8" ht="21.95" customHeight="1" x14ac:dyDescent="0.2">
      <c r="B102" s="188" t="s">
        <v>1120</v>
      </c>
      <c r="C102" s="251">
        <v>550</v>
      </c>
      <c r="D102" s="250" t="s">
        <v>248</v>
      </c>
      <c r="E102" s="422"/>
      <c r="F102" s="694"/>
    </row>
    <row r="103" spans="2:8" ht="21.95" customHeight="1" x14ac:dyDescent="0.2">
      <c r="B103" s="213" t="s">
        <v>1042</v>
      </c>
      <c r="C103" s="218">
        <v>560</v>
      </c>
      <c r="D103" s="217" t="s">
        <v>248</v>
      </c>
      <c r="E103" s="228"/>
      <c r="F103" s="297"/>
    </row>
    <row r="104" spans="2:8" ht="21.95" customHeight="1" x14ac:dyDescent="0.2">
      <c r="B104" s="213" t="s">
        <v>1121</v>
      </c>
      <c r="C104" s="218">
        <v>570</v>
      </c>
      <c r="D104" s="217" t="s">
        <v>248</v>
      </c>
      <c r="E104" s="228"/>
      <c r="F104" s="297"/>
    </row>
    <row r="105" spans="2:8" ht="21.95" customHeight="1" x14ac:dyDescent="0.2">
      <c r="B105" s="213" t="s">
        <v>1122</v>
      </c>
      <c r="C105" s="218">
        <v>580</v>
      </c>
      <c r="D105" s="217" t="s">
        <v>248</v>
      </c>
      <c r="E105" s="228"/>
      <c r="F105" s="297"/>
    </row>
    <row r="106" spans="2:8" ht="21.95" customHeight="1" x14ac:dyDescent="0.2">
      <c r="B106" s="213" t="s">
        <v>1123</v>
      </c>
      <c r="C106" s="234">
        <v>590</v>
      </c>
      <c r="D106" s="237" t="s">
        <v>248</v>
      </c>
      <c r="E106" s="396"/>
      <c r="F106" s="297"/>
    </row>
    <row r="107" spans="2:8" ht="21.95" customHeight="1" thickBot="1" x14ac:dyDescent="0.25">
      <c r="B107" s="232" t="s">
        <v>1124</v>
      </c>
      <c r="C107" s="236">
        <v>600</v>
      </c>
      <c r="D107" s="235" t="s">
        <v>248</v>
      </c>
      <c r="E107" s="371"/>
      <c r="F107" s="792"/>
    </row>
    <row r="108" spans="2:8" ht="13.5" thickTop="1" x14ac:dyDescent="0.2"/>
    <row r="109" spans="2:8" ht="13.5" thickBot="1" x14ac:dyDescent="0.25"/>
    <row r="110" spans="2:8" ht="13.5" thickTop="1" x14ac:dyDescent="0.2">
      <c r="B110" s="242"/>
      <c r="C110" s="353"/>
      <c r="D110" s="353" t="s">
        <v>25</v>
      </c>
      <c r="E110" s="353" t="s">
        <v>235</v>
      </c>
      <c r="F110" s="353" t="s">
        <v>236</v>
      </c>
      <c r="G110" s="353" t="s">
        <v>293</v>
      </c>
      <c r="H110" s="293" t="s">
        <v>294</v>
      </c>
    </row>
    <row r="111" spans="2:8" x14ac:dyDescent="0.2">
      <c r="B111" s="355" t="s">
        <v>119</v>
      </c>
      <c r="C111" s="201" t="s">
        <v>238</v>
      </c>
      <c r="D111" s="201"/>
      <c r="E111" s="201" t="s">
        <v>1040</v>
      </c>
      <c r="F111" s="201" t="s">
        <v>1125</v>
      </c>
      <c r="G111" s="201" t="s">
        <v>1042</v>
      </c>
      <c r="H111" s="202" t="s">
        <v>340</v>
      </c>
    </row>
    <row r="112" spans="2:8" x14ac:dyDescent="0.2">
      <c r="B112" s="198"/>
      <c r="C112" s="201" t="s">
        <v>242</v>
      </c>
      <c r="D112" s="201"/>
      <c r="E112" s="201"/>
      <c r="F112" s="201" t="s">
        <v>1126</v>
      </c>
      <c r="G112" s="201"/>
      <c r="H112" s="202"/>
    </row>
    <row r="113" spans="1:14" ht="13.5" thickBot="1" x14ac:dyDescent="0.25">
      <c r="B113" s="198"/>
      <c r="C113" s="278"/>
      <c r="D113" s="278"/>
      <c r="E113" s="278" t="s">
        <v>243</v>
      </c>
      <c r="F113" s="278" t="s">
        <v>243</v>
      </c>
      <c r="G113" s="278" t="s">
        <v>243</v>
      </c>
      <c r="H113" s="202" t="s">
        <v>243</v>
      </c>
    </row>
    <row r="114" spans="1:14" ht="21.95" customHeight="1" x14ac:dyDescent="0.2">
      <c r="B114" s="189" t="s">
        <v>1127</v>
      </c>
      <c r="C114" s="366">
        <v>610</v>
      </c>
      <c r="D114" s="127" t="s">
        <v>248</v>
      </c>
      <c r="E114" s="369"/>
      <c r="F114" s="369"/>
      <c r="G114" s="369"/>
      <c r="H114" s="793">
        <f>SUM(E114:G114)</f>
        <v>0</v>
      </c>
    </row>
    <row r="115" spans="1:14" ht="21.95" customHeight="1" thickBot="1" x14ac:dyDescent="0.25">
      <c r="B115" s="232" t="s">
        <v>1128</v>
      </c>
      <c r="C115" s="236">
        <v>620</v>
      </c>
      <c r="D115" s="235" t="s">
        <v>248</v>
      </c>
      <c r="E115" s="371"/>
      <c r="F115" s="371"/>
      <c r="G115" s="371"/>
      <c r="H115" s="270">
        <f>SUM(E115:G115)</f>
        <v>0</v>
      </c>
    </row>
    <row r="116" spans="1:14" ht="13.5" thickTop="1" x14ac:dyDescent="0.2"/>
    <row r="118" spans="1:14" ht="13.5" thickBot="1" x14ac:dyDescent="0.25"/>
    <row r="119" spans="1:14" ht="13.5" thickTop="1" x14ac:dyDescent="0.2">
      <c r="B119" s="242"/>
      <c r="C119" s="353"/>
      <c r="D119" s="353" t="s">
        <v>25</v>
      </c>
      <c r="E119" s="353" t="s">
        <v>235</v>
      </c>
      <c r="F119" s="353" t="s">
        <v>236</v>
      </c>
      <c r="G119" s="353" t="s">
        <v>293</v>
      </c>
      <c r="H119" s="353" t="s">
        <v>294</v>
      </c>
      <c r="I119" s="353" t="s">
        <v>295</v>
      </c>
      <c r="J119" s="353" t="s">
        <v>296</v>
      </c>
      <c r="K119" s="353" t="s">
        <v>342</v>
      </c>
      <c r="L119" s="353" t="s">
        <v>297</v>
      </c>
      <c r="M119" s="293" t="s">
        <v>298</v>
      </c>
    </row>
    <row r="120" spans="1:14" x14ac:dyDescent="0.2">
      <c r="B120" s="198" t="s">
        <v>1129</v>
      </c>
      <c r="C120" s="201" t="s">
        <v>238</v>
      </c>
      <c r="D120" s="201"/>
      <c r="E120" s="201" t="s">
        <v>1040</v>
      </c>
      <c r="F120" s="201" t="s">
        <v>1041</v>
      </c>
      <c r="G120" s="201" t="s">
        <v>1042</v>
      </c>
      <c r="H120" s="201" t="s">
        <v>1043</v>
      </c>
      <c r="I120" s="201" t="s">
        <v>1044</v>
      </c>
      <c r="J120" s="201" t="s">
        <v>1045</v>
      </c>
      <c r="K120" s="201" t="s">
        <v>1046</v>
      </c>
      <c r="L120" s="201" t="s">
        <v>1047</v>
      </c>
      <c r="M120" s="202" t="s">
        <v>340</v>
      </c>
    </row>
    <row r="121" spans="1:14" x14ac:dyDescent="0.2">
      <c r="B121" s="198"/>
      <c r="C121" s="201" t="s">
        <v>242</v>
      </c>
      <c r="D121" s="201"/>
      <c r="E121" s="201"/>
      <c r="F121" s="201" t="s">
        <v>1042</v>
      </c>
      <c r="G121" s="201"/>
      <c r="H121" s="201" t="s">
        <v>1049</v>
      </c>
      <c r="I121" s="201" t="s">
        <v>1050</v>
      </c>
      <c r="J121" s="201" t="s">
        <v>1051</v>
      </c>
      <c r="K121" s="201" t="s">
        <v>1052</v>
      </c>
      <c r="L121" s="201" t="s">
        <v>1053</v>
      </c>
      <c r="M121" s="202"/>
    </row>
    <row r="122" spans="1:14" x14ac:dyDescent="0.2">
      <c r="B122" s="198"/>
      <c r="C122" s="201"/>
      <c r="D122" s="201"/>
      <c r="E122" s="201"/>
      <c r="F122" s="201"/>
      <c r="G122" s="201"/>
      <c r="H122" s="201" t="s">
        <v>1055</v>
      </c>
      <c r="I122" s="201"/>
      <c r="J122" s="201"/>
      <c r="K122" s="201"/>
      <c r="L122" s="201"/>
      <c r="M122" s="202"/>
    </row>
    <row r="123" spans="1:14" x14ac:dyDescent="0.2">
      <c r="B123" s="198"/>
      <c r="C123" s="201"/>
      <c r="D123" s="201"/>
      <c r="E123" s="201"/>
      <c r="F123" s="201"/>
      <c r="G123" s="201"/>
      <c r="H123" s="201" t="s">
        <v>1056</v>
      </c>
      <c r="I123" s="201"/>
      <c r="J123" s="201"/>
      <c r="K123" s="201"/>
      <c r="L123" s="201"/>
      <c r="M123" s="202"/>
    </row>
    <row r="124" spans="1:14" ht="13.5" thickBot="1" x14ac:dyDescent="0.25">
      <c r="B124" s="198"/>
      <c r="C124" s="278"/>
      <c r="D124" s="278"/>
      <c r="E124" s="278" t="s">
        <v>243</v>
      </c>
      <c r="F124" s="278" t="s">
        <v>243</v>
      </c>
      <c r="G124" s="278" t="s">
        <v>243</v>
      </c>
      <c r="H124" s="278" t="s">
        <v>243</v>
      </c>
      <c r="I124" s="278" t="s">
        <v>243</v>
      </c>
      <c r="J124" s="278" t="s">
        <v>243</v>
      </c>
      <c r="K124" s="278" t="s">
        <v>243</v>
      </c>
      <c r="L124" s="278" t="s">
        <v>243</v>
      </c>
      <c r="M124" s="202" t="s">
        <v>243</v>
      </c>
    </row>
    <row r="125" spans="1:14" ht="21.95" customHeight="1" x14ac:dyDescent="0.2">
      <c r="B125" s="428" t="s">
        <v>1130</v>
      </c>
      <c r="C125" s="207">
        <v>630</v>
      </c>
      <c r="D125" s="206" t="s">
        <v>248</v>
      </c>
      <c r="E125" s="451"/>
      <c r="F125" s="451"/>
      <c r="G125" s="451"/>
      <c r="H125" s="451"/>
      <c r="I125" s="451"/>
      <c r="J125" s="451"/>
      <c r="K125" s="451"/>
      <c r="L125" s="451"/>
      <c r="M125" s="452"/>
      <c r="N125" s="99"/>
    </row>
    <row r="126" spans="1:14" hidden="1" x14ac:dyDescent="0.2">
      <c r="A126" s="794"/>
      <c r="B126" s="108" t="s">
        <v>304</v>
      </c>
      <c r="C126" s="172">
        <v>640</v>
      </c>
      <c r="D126" s="157" t="s">
        <v>251</v>
      </c>
      <c r="M126" s="97"/>
    </row>
    <row r="127" spans="1:14" hidden="1" x14ac:dyDescent="0.2">
      <c r="A127" s="796"/>
      <c r="B127" s="97" t="s">
        <v>303</v>
      </c>
      <c r="C127" s="172">
        <v>650</v>
      </c>
      <c r="D127" s="157" t="s">
        <v>251</v>
      </c>
      <c r="E127" s="97"/>
      <c r="F127" s="97"/>
      <c r="G127" s="97"/>
      <c r="H127" s="97"/>
      <c r="I127" s="97"/>
      <c r="J127" s="97"/>
      <c r="K127" s="97"/>
      <c r="L127" s="97"/>
      <c r="M127" s="97"/>
    </row>
    <row r="128" spans="1:14" hidden="1" x14ac:dyDescent="0.2">
      <c r="A128" s="795"/>
      <c r="B128" s="108" t="s">
        <v>387</v>
      </c>
      <c r="C128" s="172">
        <v>660</v>
      </c>
      <c r="D128" s="157" t="s">
        <v>251</v>
      </c>
      <c r="M128" s="97"/>
    </row>
    <row r="129" spans="2:14" ht="21.95" customHeight="1" x14ac:dyDescent="0.2">
      <c r="B129" s="254" t="s">
        <v>389</v>
      </c>
      <c r="C129" s="251">
        <v>680</v>
      </c>
      <c r="D129" s="250" t="s">
        <v>251</v>
      </c>
      <c r="E129" s="453"/>
      <c r="F129" s="453"/>
      <c r="G129" s="453"/>
      <c r="H129" s="453"/>
      <c r="I129" s="453"/>
      <c r="J129" s="453"/>
      <c r="K129" s="453"/>
      <c r="L129" s="453"/>
      <c r="M129" s="456"/>
      <c r="N129" s="99"/>
    </row>
    <row r="130" spans="2:14" ht="30" customHeight="1" x14ac:dyDescent="0.2">
      <c r="B130" s="336" t="s">
        <v>1058</v>
      </c>
      <c r="C130" s="218">
        <v>700</v>
      </c>
      <c r="D130" s="217" t="s">
        <v>248</v>
      </c>
      <c r="E130" s="458"/>
      <c r="F130" s="458"/>
      <c r="G130" s="458"/>
      <c r="H130" s="460"/>
      <c r="I130" s="458"/>
      <c r="J130" s="458"/>
      <c r="K130" s="458"/>
      <c r="L130" s="458"/>
      <c r="M130" s="457"/>
      <c r="N130" s="99"/>
    </row>
    <row r="131" spans="2:14" ht="27" customHeight="1" x14ac:dyDescent="0.2">
      <c r="B131" s="245" t="s">
        <v>401</v>
      </c>
      <c r="C131" s="218">
        <v>704</v>
      </c>
      <c r="D131" s="219" t="s">
        <v>248</v>
      </c>
      <c r="E131" s="458"/>
      <c r="F131" s="458"/>
      <c r="G131" s="458"/>
      <c r="H131" s="458"/>
      <c r="I131" s="458"/>
      <c r="J131" s="458"/>
      <c r="K131" s="458"/>
      <c r="L131" s="458"/>
      <c r="M131" s="298"/>
    </row>
    <row r="132" spans="2:14" ht="27" customHeight="1" x14ac:dyDescent="0.2">
      <c r="B132" s="245" t="s">
        <v>402</v>
      </c>
      <c r="C132" s="218">
        <v>708</v>
      </c>
      <c r="D132" s="219" t="s">
        <v>251</v>
      </c>
      <c r="E132" s="458"/>
      <c r="F132" s="458"/>
      <c r="G132" s="458"/>
      <c r="H132" s="458"/>
      <c r="I132" s="458"/>
      <c r="J132" s="458"/>
      <c r="K132" s="458"/>
      <c r="L132" s="458"/>
      <c r="M132" s="298"/>
    </row>
    <row r="133" spans="2:14" ht="21.95" customHeight="1" x14ac:dyDescent="0.2">
      <c r="B133" s="231" t="s">
        <v>1059</v>
      </c>
      <c r="C133" s="218">
        <v>710</v>
      </c>
      <c r="D133" s="217" t="s">
        <v>248</v>
      </c>
      <c r="E133" s="768"/>
      <c r="F133" s="768"/>
      <c r="G133" s="768"/>
      <c r="H133" s="458"/>
      <c r="I133" s="768"/>
      <c r="J133" s="768"/>
      <c r="K133" s="768"/>
      <c r="L133" s="768"/>
      <c r="M133" s="457"/>
      <c r="N133" s="99"/>
    </row>
    <row r="134" spans="2:14" ht="21.95" customHeight="1" x14ac:dyDescent="0.2">
      <c r="B134" s="231" t="s">
        <v>1060</v>
      </c>
      <c r="C134" s="218">
        <v>720</v>
      </c>
      <c r="D134" s="217" t="s">
        <v>248</v>
      </c>
      <c r="E134" s="458"/>
      <c r="F134" s="458"/>
      <c r="G134" s="458"/>
      <c r="H134" s="768"/>
      <c r="I134" s="458"/>
      <c r="J134" s="458"/>
      <c r="K134" s="458"/>
      <c r="L134" s="458"/>
      <c r="M134" s="457"/>
      <c r="N134" s="99"/>
    </row>
    <row r="135" spans="2:14" ht="21.95" customHeight="1" x14ac:dyDescent="0.2">
      <c r="B135" s="231" t="s">
        <v>1131</v>
      </c>
      <c r="C135" s="218">
        <v>730</v>
      </c>
      <c r="D135" s="217" t="s">
        <v>248</v>
      </c>
      <c r="E135" s="458"/>
      <c r="F135" s="458"/>
      <c r="G135" s="458"/>
      <c r="H135" s="458"/>
      <c r="I135" s="458"/>
      <c r="J135" s="458"/>
      <c r="K135" s="458"/>
      <c r="L135" s="458"/>
      <c r="M135" s="457"/>
      <c r="N135" s="99"/>
    </row>
    <row r="136" spans="2:14" ht="27" customHeight="1" x14ac:dyDescent="0.2">
      <c r="B136" s="266" t="s">
        <v>1063</v>
      </c>
      <c r="C136" s="218">
        <v>740</v>
      </c>
      <c r="D136" s="217" t="s">
        <v>248</v>
      </c>
      <c r="E136" s="458"/>
      <c r="F136" s="458"/>
      <c r="G136" s="458"/>
      <c r="H136" s="458"/>
      <c r="I136" s="458"/>
      <c r="J136" s="458"/>
      <c r="K136" s="458"/>
      <c r="L136" s="458"/>
      <c r="M136" s="457"/>
      <c r="N136" s="99"/>
    </row>
    <row r="137" spans="2:14" ht="21.95" customHeight="1" x14ac:dyDescent="0.2">
      <c r="B137" s="213" t="s">
        <v>1064</v>
      </c>
      <c r="C137" s="218">
        <v>745</v>
      </c>
      <c r="D137" s="219" t="s">
        <v>248</v>
      </c>
      <c r="E137" s="458"/>
      <c r="F137" s="458"/>
      <c r="G137" s="458"/>
      <c r="H137" s="768"/>
      <c r="I137" s="458"/>
      <c r="J137" s="458"/>
      <c r="K137" s="458"/>
      <c r="L137" s="458"/>
      <c r="M137" s="298"/>
    </row>
    <row r="138" spans="2:14" ht="21.95" customHeight="1" x14ac:dyDescent="0.2">
      <c r="B138" s="231" t="s">
        <v>1065</v>
      </c>
      <c r="C138" s="218">
        <v>750</v>
      </c>
      <c r="D138" s="217" t="s">
        <v>251</v>
      </c>
      <c r="E138" s="458"/>
      <c r="F138" s="458"/>
      <c r="G138" s="458"/>
      <c r="H138" s="458"/>
      <c r="I138" s="458"/>
      <c r="J138" s="458"/>
      <c r="K138" s="458"/>
      <c r="L138" s="458"/>
      <c r="M138" s="457"/>
      <c r="N138" s="99"/>
    </row>
    <row r="139" spans="2:14" ht="21.95" customHeight="1" x14ac:dyDescent="0.2">
      <c r="B139" s="231" t="s">
        <v>1066</v>
      </c>
      <c r="C139" s="218">
        <v>760</v>
      </c>
      <c r="D139" s="217" t="s">
        <v>251</v>
      </c>
      <c r="E139" s="458"/>
      <c r="F139" s="458"/>
      <c r="G139" s="458"/>
      <c r="H139" s="458"/>
      <c r="I139" s="458"/>
      <c r="J139" s="458"/>
      <c r="K139" s="458"/>
      <c r="L139" s="458"/>
      <c r="M139" s="457"/>
      <c r="N139" s="99"/>
    </row>
    <row r="140" spans="2:14" ht="21.95" customHeight="1" x14ac:dyDescent="0.2">
      <c r="B140" s="231" t="s">
        <v>1067</v>
      </c>
      <c r="C140" s="218">
        <v>770</v>
      </c>
      <c r="D140" s="217" t="s">
        <v>245</v>
      </c>
      <c r="E140" s="459"/>
      <c r="F140" s="459"/>
      <c r="G140" s="459"/>
      <c r="H140" s="459"/>
      <c r="I140" s="459"/>
      <c r="J140" s="459"/>
      <c r="K140" s="459"/>
      <c r="L140" s="459"/>
      <c r="M140" s="457"/>
      <c r="N140" s="100"/>
    </row>
    <row r="141" spans="2:14" ht="21.95" customHeight="1" x14ac:dyDescent="0.2">
      <c r="B141" s="231" t="s">
        <v>1068</v>
      </c>
      <c r="C141" s="218">
        <v>780</v>
      </c>
      <c r="D141" s="217" t="s">
        <v>248</v>
      </c>
      <c r="E141" s="458"/>
      <c r="F141" s="458"/>
      <c r="G141" s="458"/>
      <c r="H141" s="458"/>
      <c r="I141" s="458"/>
      <c r="J141" s="458"/>
      <c r="K141" s="458"/>
      <c r="L141" s="458"/>
      <c r="M141" s="457"/>
      <c r="N141" s="99"/>
    </row>
    <row r="142" spans="2:14" ht="21.95" customHeight="1" x14ac:dyDescent="0.2">
      <c r="B142" s="231" t="s">
        <v>1070</v>
      </c>
      <c r="C142" s="218">
        <v>790</v>
      </c>
      <c r="D142" s="217" t="s">
        <v>245</v>
      </c>
      <c r="E142" s="458"/>
      <c r="F142" s="458"/>
      <c r="G142" s="458"/>
      <c r="H142" s="458"/>
      <c r="I142" s="458"/>
      <c r="J142" s="458"/>
      <c r="K142" s="458"/>
      <c r="L142" s="458"/>
      <c r="M142" s="457"/>
      <c r="N142" s="99"/>
    </row>
    <row r="143" spans="2:14" ht="21.95" customHeight="1" x14ac:dyDescent="0.2">
      <c r="B143" s="231" t="s">
        <v>1071</v>
      </c>
      <c r="C143" s="218">
        <v>800</v>
      </c>
      <c r="D143" s="217" t="s">
        <v>248</v>
      </c>
      <c r="E143" s="300"/>
      <c r="F143" s="300"/>
      <c r="G143" s="300"/>
      <c r="H143" s="300"/>
      <c r="I143" s="300"/>
      <c r="J143" s="300"/>
      <c r="K143" s="300"/>
      <c r="L143" s="300"/>
      <c r="M143" s="298"/>
    </row>
    <row r="144" spans="2:14" ht="30" customHeight="1" x14ac:dyDescent="0.2">
      <c r="B144" s="336" t="s">
        <v>1132</v>
      </c>
      <c r="C144" s="218">
        <v>805</v>
      </c>
      <c r="D144" s="217" t="s">
        <v>251</v>
      </c>
      <c r="E144" s="458"/>
      <c r="F144" s="458"/>
      <c r="G144" s="458"/>
      <c r="H144" s="458"/>
      <c r="I144" s="458"/>
      <c r="J144" s="458"/>
      <c r="K144" s="458"/>
      <c r="L144" s="458"/>
      <c r="M144" s="799"/>
    </row>
    <row r="145" spans="1:14" ht="21.95" customHeight="1" x14ac:dyDescent="0.2">
      <c r="B145" s="231" t="s">
        <v>1073</v>
      </c>
      <c r="C145" s="218">
        <v>810</v>
      </c>
      <c r="D145" s="217" t="s">
        <v>245</v>
      </c>
      <c r="E145" s="300"/>
      <c r="F145" s="300"/>
      <c r="G145" s="300"/>
      <c r="H145" s="300"/>
      <c r="I145" s="300"/>
      <c r="J145" s="300"/>
      <c r="K145" s="300"/>
      <c r="L145" s="300"/>
      <c r="M145" s="298"/>
    </row>
    <row r="146" spans="1:14" ht="27" customHeight="1" x14ac:dyDescent="0.2">
      <c r="B146" s="1108" t="s">
        <v>1074</v>
      </c>
      <c r="C146" s="218">
        <v>820</v>
      </c>
      <c r="D146" s="217" t="s">
        <v>251</v>
      </c>
      <c r="E146" s="300"/>
      <c r="F146" s="300"/>
      <c r="G146" s="300"/>
      <c r="H146" s="300"/>
      <c r="I146" s="300"/>
      <c r="J146" s="300"/>
      <c r="K146" s="300"/>
      <c r="L146" s="300"/>
      <c r="M146" s="305"/>
    </row>
    <row r="147" spans="1:14" hidden="1" x14ac:dyDescent="0.2">
      <c r="B147" t="s">
        <v>1075</v>
      </c>
    </row>
    <row r="148" spans="1:14" ht="21.95" customHeight="1" thickBot="1" x14ac:dyDescent="0.25">
      <c r="B148" s="198" t="s">
        <v>1133</v>
      </c>
      <c r="C148" s="204">
        <v>830</v>
      </c>
      <c r="D148" s="138" t="s">
        <v>248</v>
      </c>
      <c r="E148" s="800"/>
      <c r="F148" s="800"/>
      <c r="G148" s="800"/>
      <c r="H148" s="800"/>
      <c r="I148" s="800"/>
      <c r="J148" s="800"/>
      <c r="K148" s="800"/>
      <c r="L148" s="800"/>
      <c r="M148" s="801"/>
    </row>
    <row r="149" spans="1:14" ht="21.95" customHeight="1" x14ac:dyDescent="0.2">
      <c r="B149" s="428" t="s">
        <v>1134</v>
      </c>
      <c r="C149" s="207">
        <v>840</v>
      </c>
      <c r="D149" s="206" t="s">
        <v>248</v>
      </c>
      <c r="E149" s="463"/>
      <c r="F149" s="463"/>
      <c r="G149" s="463"/>
      <c r="H149" s="463"/>
      <c r="I149" s="463"/>
      <c r="J149" s="463"/>
      <c r="K149" s="463"/>
      <c r="L149" s="463"/>
      <c r="M149" s="465"/>
      <c r="N149" s="99"/>
    </row>
    <row r="150" spans="1:14" hidden="1" x14ac:dyDescent="0.2">
      <c r="A150" s="99"/>
      <c r="B150" s="108" t="s">
        <v>304</v>
      </c>
      <c r="C150" s="172">
        <v>850</v>
      </c>
      <c r="D150" s="157" t="s">
        <v>251</v>
      </c>
    </row>
    <row r="151" spans="1:14" hidden="1" x14ac:dyDescent="0.2">
      <c r="A151" s="99"/>
      <c r="B151" s="97" t="s">
        <v>303</v>
      </c>
      <c r="C151" s="172">
        <v>860</v>
      </c>
      <c r="D151" s="157" t="s">
        <v>251</v>
      </c>
    </row>
    <row r="152" spans="1:14" hidden="1" x14ac:dyDescent="0.2">
      <c r="A152" s="99"/>
      <c r="B152" s="108" t="s">
        <v>387</v>
      </c>
      <c r="C152" s="172">
        <v>870</v>
      </c>
      <c r="D152" s="157" t="s">
        <v>251</v>
      </c>
    </row>
    <row r="153" spans="1:14" hidden="1" x14ac:dyDescent="0.2">
      <c r="A153" s="99"/>
      <c r="B153" s="97" t="s">
        <v>1078</v>
      </c>
      <c r="C153" s="172">
        <v>880</v>
      </c>
      <c r="D153" s="157" t="s">
        <v>251</v>
      </c>
    </row>
    <row r="154" spans="1:14" ht="21.95" customHeight="1" x14ac:dyDescent="0.2">
      <c r="B154" s="495" t="s">
        <v>389</v>
      </c>
      <c r="C154" s="251">
        <v>890</v>
      </c>
      <c r="D154" s="250" t="s">
        <v>251</v>
      </c>
      <c r="E154" s="306"/>
      <c r="F154" s="306"/>
      <c r="G154" s="306"/>
      <c r="H154" s="306"/>
      <c r="I154" s="306"/>
      <c r="J154" s="306"/>
      <c r="K154" s="306"/>
      <c r="L154" s="306"/>
      <c r="M154" s="802"/>
      <c r="N154" s="99"/>
    </row>
    <row r="155" spans="1:14" hidden="1" x14ac:dyDescent="0.2">
      <c r="A155" s="99"/>
      <c r="B155" s="108" t="s">
        <v>1079</v>
      </c>
      <c r="C155" s="172">
        <v>900</v>
      </c>
      <c r="D155" s="157" t="s">
        <v>251</v>
      </c>
    </row>
    <row r="156" spans="1:14" ht="30" customHeight="1" x14ac:dyDescent="0.2">
      <c r="B156" s="355" t="s">
        <v>1080</v>
      </c>
      <c r="C156" s="251">
        <v>910</v>
      </c>
      <c r="D156" s="250" t="s">
        <v>248</v>
      </c>
      <c r="E156" s="663"/>
      <c r="F156" s="663"/>
      <c r="G156" s="663"/>
      <c r="H156" s="663"/>
      <c r="I156" s="663"/>
      <c r="J156" s="663"/>
      <c r="K156" s="663"/>
      <c r="L156" s="663"/>
      <c r="M156" s="801"/>
      <c r="N156" s="99"/>
    </row>
    <row r="157" spans="1:14" ht="21.95" customHeight="1" x14ac:dyDescent="0.2">
      <c r="B157" s="231" t="s">
        <v>1065</v>
      </c>
      <c r="C157" s="218">
        <v>920</v>
      </c>
      <c r="D157" s="217" t="s">
        <v>251</v>
      </c>
      <c r="E157" s="300"/>
      <c r="F157" s="300"/>
      <c r="G157" s="300"/>
      <c r="H157" s="768"/>
      <c r="I157" s="300"/>
      <c r="J157" s="300"/>
      <c r="K157" s="300"/>
      <c r="L157" s="300"/>
      <c r="M157" s="298"/>
      <c r="N157" s="99"/>
    </row>
    <row r="158" spans="1:14" ht="21.95" customHeight="1" x14ac:dyDescent="0.2">
      <c r="B158" s="231" t="s">
        <v>1066</v>
      </c>
      <c r="C158" s="218">
        <v>930</v>
      </c>
      <c r="D158" s="217" t="s">
        <v>251</v>
      </c>
      <c r="E158" s="300"/>
      <c r="F158" s="300"/>
      <c r="G158" s="300"/>
      <c r="H158" s="768"/>
      <c r="I158" s="300"/>
      <c r="J158" s="300"/>
      <c r="K158" s="300"/>
      <c r="L158" s="300"/>
      <c r="M158" s="298"/>
      <c r="N158" s="99"/>
    </row>
    <row r="159" spans="1:14" ht="21.95" customHeight="1" x14ac:dyDescent="0.2">
      <c r="B159" s="231" t="s">
        <v>1067</v>
      </c>
      <c r="C159" s="218">
        <v>940</v>
      </c>
      <c r="D159" s="217" t="s">
        <v>245</v>
      </c>
      <c r="E159" s="300"/>
      <c r="F159" s="300"/>
      <c r="G159" s="300"/>
      <c r="H159" s="768"/>
      <c r="I159" s="300"/>
      <c r="J159" s="300"/>
      <c r="K159" s="300"/>
      <c r="L159" s="300"/>
      <c r="M159" s="298"/>
      <c r="N159" s="99"/>
    </row>
    <row r="160" spans="1:14" ht="21.95" customHeight="1" x14ac:dyDescent="0.2">
      <c r="B160" s="231" t="s">
        <v>1068</v>
      </c>
      <c r="C160" s="218">
        <v>950</v>
      </c>
      <c r="D160" s="217" t="s">
        <v>248</v>
      </c>
      <c r="E160" s="300"/>
      <c r="F160" s="300"/>
      <c r="G160" s="300"/>
      <c r="H160" s="805"/>
      <c r="I160" s="300"/>
      <c r="J160" s="300"/>
      <c r="K160" s="300"/>
      <c r="L160" s="300"/>
      <c r="M160" s="298"/>
      <c r="N160" s="99"/>
    </row>
    <row r="161" spans="1:14" ht="27" customHeight="1" x14ac:dyDescent="0.2">
      <c r="B161" s="266" t="s">
        <v>1081</v>
      </c>
      <c r="C161" s="218">
        <v>960</v>
      </c>
      <c r="D161" s="217" t="s">
        <v>248</v>
      </c>
      <c r="E161" s="300"/>
      <c r="F161" s="300"/>
      <c r="G161" s="300"/>
      <c r="H161" s="300"/>
      <c r="I161" s="300"/>
      <c r="J161" s="300"/>
      <c r="K161" s="300"/>
      <c r="L161" s="300"/>
      <c r="M161" s="298"/>
      <c r="N161" s="100"/>
    </row>
    <row r="162" spans="1:14" ht="21.95" customHeight="1" x14ac:dyDescent="0.2">
      <c r="B162" s="231" t="s">
        <v>1082</v>
      </c>
      <c r="C162" s="218">
        <v>970</v>
      </c>
      <c r="D162" s="217" t="s">
        <v>245</v>
      </c>
      <c r="E162" s="300"/>
      <c r="F162" s="300"/>
      <c r="G162" s="300"/>
      <c r="H162" s="300"/>
      <c r="I162" s="300"/>
      <c r="J162" s="300"/>
      <c r="K162" s="300"/>
      <c r="L162" s="300"/>
      <c r="M162" s="298"/>
      <c r="N162" s="99"/>
    </row>
    <row r="163" spans="1:14" ht="30" customHeight="1" x14ac:dyDescent="0.2">
      <c r="B163" s="336" t="s">
        <v>1135</v>
      </c>
      <c r="C163" s="218">
        <v>975</v>
      </c>
      <c r="D163" s="217" t="s">
        <v>251</v>
      </c>
      <c r="E163" s="598"/>
      <c r="F163" s="461"/>
      <c r="G163" s="598"/>
      <c r="H163" s="598"/>
      <c r="I163" s="598"/>
      <c r="J163" s="598"/>
      <c r="K163" s="598"/>
      <c r="L163" s="598"/>
      <c r="M163" s="299"/>
    </row>
    <row r="164" spans="1:14" ht="21.95" customHeight="1" x14ac:dyDescent="0.2">
      <c r="B164" s="230" t="s">
        <v>1084</v>
      </c>
      <c r="C164" s="218">
        <v>980</v>
      </c>
      <c r="D164" s="217" t="s">
        <v>248</v>
      </c>
      <c r="E164" s="300"/>
      <c r="F164" s="300"/>
      <c r="G164" s="300"/>
      <c r="H164" s="768"/>
      <c r="I164" s="300"/>
      <c r="J164" s="300"/>
      <c r="K164" s="300"/>
      <c r="L164" s="300"/>
      <c r="M164" s="305"/>
      <c r="N164" s="99"/>
    </row>
    <row r="165" spans="1:14" hidden="1" x14ac:dyDescent="0.2">
      <c r="A165" s="99"/>
      <c r="B165" s="108"/>
      <c r="C165" s="97"/>
    </row>
    <row r="166" spans="1:14" ht="21.95" customHeight="1" x14ac:dyDescent="0.2">
      <c r="B166" s="254" t="s">
        <v>1073</v>
      </c>
      <c r="C166" s="251">
        <v>990</v>
      </c>
      <c r="D166" s="250" t="s">
        <v>245</v>
      </c>
      <c r="E166" s="306"/>
      <c r="F166" s="306"/>
      <c r="G166" s="306"/>
      <c r="H166" s="306"/>
      <c r="I166" s="306"/>
      <c r="J166" s="306"/>
      <c r="K166" s="306"/>
      <c r="L166" s="306"/>
      <c r="M166" s="307"/>
    </row>
    <row r="167" spans="1:14" ht="27" customHeight="1" x14ac:dyDescent="0.2">
      <c r="B167" s="1108" t="s">
        <v>1074</v>
      </c>
      <c r="C167" s="218">
        <v>1000</v>
      </c>
      <c r="D167" s="217" t="s">
        <v>251</v>
      </c>
      <c r="E167" s="300"/>
      <c r="F167" s="300"/>
      <c r="G167" s="300"/>
      <c r="H167" s="768"/>
      <c r="I167" s="300"/>
      <c r="J167" s="300"/>
      <c r="K167" s="300"/>
      <c r="L167" s="300"/>
      <c r="M167" s="305"/>
    </row>
    <row r="168" spans="1:14" hidden="1" x14ac:dyDescent="0.2">
      <c r="A168" s="99"/>
      <c r="B168" s="108" t="s">
        <v>1086</v>
      </c>
      <c r="C168" s="97"/>
    </row>
    <row r="169" spans="1:14" ht="21.95" customHeight="1" thickBot="1" x14ac:dyDescent="0.25">
      <c r="B169" s="198" t="s">
        <v>1136</v>
      </c>
      <c r="C169" s="204">
        <v>1010</v>
      </c>
      <c r="D169" s="138" t="s">
        <v>248</v>
      </c>
      <c r="E169" s="800"/>
      <c r="F169" s="800"/>
      <c r="G169" s="800"/>
      <c r="H169" s="800"/>
      <c r="I169" s="800"/>
      <c r="J169" s="800"/>
      <c r="K169" s="800"/>
      <c r="L169" s="800"/>
      <c r="M169" s="801"/>
    </row>
    <row r="170" spans="1:14" ht="21.95" customHeight="1" x14ac:dyDescent="0.2">
      <c r="B170" s="428" t="s">
        <v>1137</v>
      </c>
      <c r="C170" s="207">
        <v>1020</v>
      </c>
      <c r="D170" s="206" t="s">
        <v>248</v>
      </c>
      <c r="E170" s="451"/>
      <c r="F170" s="451"/>
      <c r="G170" s="451"/>
      <c r="H170" s="451"/>
      <c r="I170" s="451"/>
      <c r="J170" s="451"/>
      <c r="K170" s="451"/>
      <c r="L170" s="451"/>
      <c r="M170" s="452"/>
      <c r="N170" s="99"/>
    </row>
    <row r="171" spans="1:14" hidden="1" x14ac:dyDescent="0.2"/>
    <row r="172" spans="1:14" hidden="1" x14ac:dyDescent="0.2"/>
    <row r="173" spans="1:14" hidden="1" x14ac:dyDescent="0.2"/>
    <row r="174" spans="1:14" hidden="1" x14ac:dyDescent="0.2"/>
    <row r="175" spans="1:14" ht="21.95" customHeight="1" x14ac:dyDescent="0.2">
      <c r="B175" s="264" t="s">
        <v>116</v>
      </c>
      <c r="C175" s="673"/>
      <c r="D175" s="675"/>
      <c r="E175" s="675"/>
      <c r="F175" s="675"/>
      <c r="G175" s="675"/>
      <c r="H175" s="675"/>
      <c r="I175" s="675"/>
      <c r="J175" s="675"/>
      <c r="K175" s="675"/>
      <c r="L175" s="675"/>
      <c r="M175" s="797"/>
      <c r="N175" s="99"/>
    </row>
    <row r="176" spans="1:14" ht="21.95" customHeight="1" x14ac:dyDescent="0.2">
      <c r="B176" s="254" t="s">
        <v>1093</v>
      </c>
      <c r="C176" s="251">
        <v>1025</v>
      </c>
      <c r="D176" s="250" t="s">
        <v>248</v>
      </c>
      <c r="E176" s="453"/>
      <c r="F176" s="453"/>
      <c r="G176" s="453"/>
      <c r="H176" s="453"/>
      <c r="I176" s="453"/>
      <c r="J176" s="453"/>
      <c r="K176" s="453"/>
      <c r="L176" s="453"/>
      <c r="M176" s="456"/>
      <c r="N176" s="99"/>
    </row>
    <row r="177" spans="1:47" ht="21.95" customHeight="1" x14ac:dyDescent="0.2">
      <c r="B177" s="231" t="s">
        <v>1094</v>
      </c>
      <c r="C177" s="218">
        <v>1026</v>
      </c>
      <c r="D177" s="219" t="s">
        <v>248</v>
      </c>
      <c r="E177" s="458"/>
      <c r="F177" s="458"/>
      <c r="G177" s="458"/>
      <c r="H177" s="458"/>
      <c r="I177" s="458"/>
      <c r="J177" s="458"/>
      <c r="K177" s="458"/>
      <c r="L177" s="458"/>
      <c r="M177" s="457"/>
    </row>
    <row r="178" spans="1:47" ht="21.95" customHeight="1" x14ac:dyDescent="0.2">
      <c r="B178" s="231" t="s">
        <v>1095</v>
      </c>
      <c r="C178" s="218">
        <v>1027</v>
      </c>
      <c r="D178" s="219" t="s">
        <v>248</v>
      </c>
      <c r="E178" s="458"/>
      <c r="F178" s="458"/>
      <c r="G178" s="458"/>
      <c r="H178" s="458"/>
      <c r="I178" s="458"/>
      <c r="J178" s="458"/>
      <c r="K178" s="458"/>
      <c r="L178" s="458"/>
      <c r="M178" s="457"/>
    </row>
    <row r="179" spans="1:47" ht="21.95" customHeight="1" x14ac:dyDescent="0.2">
      <c r="A179" s="97"/>
      <c r="B179" s="445" t="s">
        <v>1096</v>
      </c>
      <c r="C179" s="218">
        <v>1028</v>
      </c>
      <c r="D179" s="218" t="s">
        <v>248</v>
      </c>
      <c r="E179" s="460"/>
      <c r="F179" s="460"/>
      <c r="G179" s="460"/>
      <c r="H179" s="460"/>
      <c r="I179" s="460"/>
      <c r="J179" s="460"/>
      <c r="K179" s="460"/>
      <c r="L179" s="460"/>
      <c r="M179" s="45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</row>
    <row r="180" spans="1:47" ht="21.95" customHeight="1" x14ac:dyDescent="0.2">
      <c r="B180" s="231" t="s">
        <v>1097</v>
      </c>
      <c r="C180" s="218">
        <v>1030</v>
      </c>
      <c r="D180" s="217" t="s">
        <v>248</v>
      </c>
      <c r="E180" s="458"/>
      <c r="F180" s="458"/>
      <c r="G180" s="458"/>
      <c r="H180" s="458"/>
      <c r="I180" s="458"/>
      <c r="J180" s="458"/>
      <c r="K180" s="458"/>
      <c r="L180" s="458"/>
      <c r="M180" s="457"/>
      <c r="N180" s="99"/>
    </row>
    <row r="181" spans="1:47" ht="21.95" customHeight="1" x14ac:dyDescent="0.2">
      <c r="B181" s="231" t="s">
        <v>1098</v>
      </c>
      <c r="C181" s="218">
        <v>1035</v>
      </c>
      <c r="D181" s="217" t="s">
        <v>248</v>
      </c>
      <c r="E181" s="460"/>
      <c r="F181" s="460"/>
      <c r="G181" s="460"/>
      <c r="H181" s="460"/>
      <c r="I181" s="460"/>
      <c r="J181" s="460"/>
      <c r="K181" s="460"/>
      <c r="L181" s="460"/>
      <c r="M181" s="457"/>
      <c r="N181" s="99"/>
    </row>
    <row r="182" spans="1:47" ht="21.95" customHeight="1" x14ac:dyDescent="0.2">
      <c r="B182" s="231" t="s">
        <v>1099</v>
      </c>
      <c r="C182" s="234">
        <v>1040</v>
      </c>
      <c r="D182" s="237" t="s">
        <v>248</v>
      </c>
      <c r="E182" s="783"/>
      <c r="F182" s="783"/>
      <c r="G182" s="783"/>
      <c r="H182" s="783"/>
      <c r="I182" s="783"/>
      <c r="J182" s="783"/>
      <c r="K182" s="783"/>
      <c r="L182" s="783"/>
      <c r="M182" s="799"/>
      <c r="N182" s="99"/>
    </row>
    <row r="183" spans="1:47" ht="21.95" customHeight="1" thickBot="1" x14ac:dyDescent="0.25">
      <c r="B183" s="497" t="s">
        <v>1137</v>
      </c>
      <c r="C183" s="236">
        <v>1045</v>
      </c>
      <c r="D183" s="235" t="s">
        <v>248</v>
      </c>
      <c r="E183" s="803"/>
      <c r="F183" s="803"/>
      <c r="G183" s="803"/>
      <c r="H183" s="803"/>
      <c r="I183" s="803"/>
      <c r="J183" s="803"/>
      <c r="K183" s="803"/>
      <c r="L183" s="803"/>
      <c r="M183" s="570"/>
      <c r="N183" s="99"/>
    </row>
    <row r="184" spans="1:47" ht="13.5" thickTop="1" x14ac:dyDescent="0.2"/>
    <row r="186" spans="1:47" ht="13.5" thickBot="1" x14ac:dyDescent="0.25"/>
    <row r="187" spans="1:47" ht="13.5" thickTop="1" x14ac:dyDescent="0.2">
      <c r="B187" s="190"/>
      <c r="C187" s="192"/>
      <c r="D187" s="195" t="s">
        <v>25</v>
      </c>
      <c r="E187" s="195" t="s">
        <v>235</v>
      </c>
      <c r="F187" s="197" t="s">
        <v>236</v>
      </c>
    </row>
    <row r="188" spans="1:47" x14ac:dyDescent="0.2">
      <c r="B188" s="198" t="s">
        <v>1138</v>
      </c>
      <c r="C188" s="199" t="s">
        <v>238</v>
      </c>
      <c r="D188" s="112"/>
      <c r="E188" s="199" t="s">
        <v>300</v>
      </c>
      <c r="F188" s="210" t="s">
        <v>307</v>
      </c>
    </row>
    <row r="189" spans="1:47" x14ac:dyDescent="0.2">
      <c r="B189" s="188"/>
      <c r="C189" s="199" t="s">
        <v>242</v>
      </c>
      <c r="D189" s="112"/>
      <c r="E189" s="112"/>
      <c r="F189" s="798"/>
    </row>
    <row r="190" spans="1:47" ht="13.5" thickBot="1" x14ac:dyDescent="0.25">
      <c r="B190" s="188"/>
      <c r="C190" s="137"/>
      <c r="D190" s="137"/>
      <c r="E190" s="204" t="s">
        <v>243</v>
      </c>
      <c r="F190" s="210" t="s">
        <v>243</v>
      </c>
    </row>
    <row r="191" spans="1:47" ht="21.95" customHeight="1" x14ac:dyDescent="0.2">
      <c r="B191" s="189" t="s">
        <v>1040</v>
      </c>
      <c r="C191" s="207">
        <v>1050</v>
      </c>
      <c r="D191" s="206" t="s">
        <v>248</v>
      </c>
      <c r="E191" s="356"/>
      <c r="F191" s="221"/>
    </row>
    <row r="192" spans="1:47" ht="21.95" customHeight="1" x14ac:dyDescent="0.2">
      <c r="B192" s="213" t="s">
        <v>1139</v>
      </c>
      <c r="C192" s="218">
        <v>1060</v>
      </c>
      <c r="D192" s="217" t="s">
        <v>251</v>
      </c>
      <c r="E192" s="228"/>
      <c r="F192" s="222"/>
    </row>
    <row r="193" spans="1:13" ht="21.95" customHeight="1" x14ac:dyDescent="0.2">
      <c r="B193" s="213" t="s">
        <v>1042</v>
      </c>
      <c r="C193" s="218">
        <v>1070</v>
      </c>
      <c r="D193" s="217" t="s">
        <v>251</v>
      </c>
      <c r="E193" s="228"/>
      <c r="F193" s="222"/>
    </row>
    <row r="194" spans="1:13" ht="21.95" customHeight="1" x14ac:dyDescent="0.2">
      <c r="B194" s="213" t="s">
        <v>1121</v>
      </c>
      <c r="C194" s="234">
        <v>1080</v>
      </c>
      <c r="D194" s="237" t="s">
        <v>248</v>
      </c>
      <c r="E194" s="396"/>
      <c r="F194" s="222"/>
    </row>
    <row r="195" spans="1:13" ht="21.95" customHeight="1" thickBot="1" x14ac:dyDescent="0.25">
      <c r="B195" s="233" t="s">
        <v>1106</v>
      </c>
      <c r="C195" s="236">
        <v>1090</v>
      </c>
      <c r="D195" s="235" t="s">
        <v>248</v>
      </c>
      <c r="E195" s="240">
        <f>SUM(E191:E194)</f>
        <v>0</v>
      </c>
      <c r="F195" s="241">
        <f>SUM(F191:F194)</f>
        <v>0</v>
      </c>
    </row>
    <row r="196" spans="1:13" ht="13.5" thickTop="1" x14ac:dyDescent="0.2"/>
    <row r="199" spans="1:13" hidden="1" x14ac:dyDescent="0.2">
      <c r="A199" s="99"/>
      <c r="D199" s="97" t="s">
        <v>25</v>
      </c>
      <c r="E199" s="97" t="s">
        <v>235</v>
      </c>
      <c r="F199" s="97" t="s">
        <v>236</v>
      </c>
      <c r="G199" s="97" t="s">
        <v>293</v>
      </c>
      <c r="H199" s="97" t="s">
        <v>294</v>
      </c>
      <c r="I199" s="97" t="s">
        <v>295</v>
      </c>
      <c r="J199" s="97" t="s">
        <v>296</v>
      </c>
      <c r="K199" s="97" t="s">
        <v>342</v>
      </c>
      <c r="L199" s="97" t="s">
        <v>297</v>
      </c>
      <c r="M199" s="97" t="s">
        <v>298</v>
      </c>
    </row>
    <row r="200" spans="1:13" hidden="1" x14ac:dyDescent="0.2">
      <c r="A200" s="99"/>
      <c r="B200" s="97" t="s">
        <v>1039</v>
      </c>
      <c r="C200" s="97" t="s">
        <v>238</v>
      </c>
      <c r="E200" s="97" t="s">
        <v>1040</v>
      </c>
      <c r="F200" s="97" t="s">
        <v>1041</v>
      </c>
      <c r="G200" s="97" t="s">
        <v>1042</v>
      </c>
      <c r="H200" s="97" t="s">
        <v>1043</v>
      </c>
      <c r="I200" s="97" t="s">
        <v>1044</v>
      </c>
      <c r="J200" s="97" t="s">
        <v>1045</v>
      </c>
      <c r="K200" s="97" t="s">
        <v>1046</v>
      </c>
      <c r="L200" s="97" t="s">
        <v>1047</v>
      </c>
      <c r="M200" s="97" t="s">
        <v>340</v>
      </c>
    </row>
    <row r="201" spans="1:13" hidden="1" x14ac:dyDescent="0.2">
      <c r="A201" s="99"/>
      <c r="C201" s="97" t="s">
        <v>242</v>
      </c>
      <c r="F201" s="97" t="s">
        <v>1042</v>
      </c>
      <c r="H201" s="97" t="s">
        <v>1049</v>
      </c>
      <c r="I201" s="97" t="s">
        <v>1050</v>
      </c>
      <c r="J201" s="97" t="s">
        <v>1051</v>
      </c>
      <c r="K201" s="97" t="s">
        <v>1052</v>
      </c>
      <c r="L201" s="97" t="s">
        <v>1053</v>
      </c>
    </row>
    <row r="202" spans="1:13" hidden="1" x14ac:dyDescent="0.2">
      <c r="A202" s="99"/>
      <c r="H202" s="97" t="s">
        <v>1055</v>
      </c>
    </row>
    <row r="203" spans="1:13" hidden="1" x14ac:dyDescent="0.2">
      <c r="A203" s="99"/>
      <c r="H203" s="97" t="s">
        <v>1056</v>
      </c>
    </row>
    <row r="204" spans="1:13" hidden="1" x14ac:dyDescent="0.2">
      <c r="A204" s="99"/>
      <c r="E204" s="97" t="s">
        <v>243</v>
      </c>
      <c r="F204" s="97" t="s">
        <v>243</v>
      </c>
      <c r="G204" s="97" t="s">
        <v>243</v>
      </c>
      <c r="H204" s="97" t="s">
        <v>243</v>
      </c>
      <c r="I204" s="97" t="s">
        <v>243</v>
      </c>
      <c r="J204" s="97" t="s">
        <v>243</v>
      </c>
      <c r="K204" s="97" t="s">
        <v>243</v>
      </c>
      <c r="L204" s="97" t="s">
        <v>243</v>
      </c>
      <c r="M204" s="97" t="s">
        <v>243</v>
      </c>
    </row>
    <row r="205" spans="1:13" hidden="1" x14ac:dyDescent="0.2">
      <c r="A205" s="105"/>
      <c r="B205" s="97" t="s">
        <v>1140</v>
      </c>
      <c r="C205" s="97">
        <v>1200</v>
      </c>
      <c r="D205" t="s">
        <v>248</v>
      </c>
      <c r="M205" s="97"/>
    </row>
    <row r="206" spans="1:13" hidden="1" x14ac:dyDescent="0.2"/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N17 A17:D17 B5 O1:AT1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A205 E195 F191:F195 E176:M183 E169:M170 E166:M167 G164:L164 E164 M163:M164 F163:F164 E156:M162 E154:M154 E148:M149 E129:M146 A126:A128 E125:M125 H114:H115 E88:L88 M86:M88 A85 M84 E79:M79 L71 E67:L67 M64:M71 E57:M58 M54:M55 H52 E51:L51 H45:H48 M44:M52 A43 E42:M42 A38 E36:M37 E32:L32 M22:M34 E21:M21 M18 E17:M17 E13:M13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191:E194 E114:G115 E102:F107 E96:F100 E86:L87 E68:L70 E64:L66 E54:L55 I52:L52 E52:G52 H49:L50 E45:G50 I45:L48 E44:L44 E33:L34 H26:L31 E22:G31 I25:L25 H23:L24 I22:L22 E18:L18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5" fitToHeight="3" orientation="landscape" horizontalDpi="90" verticalDpi="90" r:id="rId1"/>
  <rowBreaks count="1" manualBreakCount="1">
    <brk id="71" max="5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W146"/>
  <sheetViews>
    <sheetView zoomScale="70" zoomScaleNormal="7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/>
    </sheetView>
  </sheetViews>
  <sheetFormatPr defaultRowHeight="12.75" x14ac:dyDescent="0.2"/>
  <cols>
    <col min="1" max="1" width="5.140625" customWidth="1"/>
    <col min="2" max="2" width="57.7109375" customWidth="1"/>
    <col min="3" max="4" width="10.140625" customWidth="1"/>
    <col min="5" max="8" width="14.7109375" customWidth="1"/>
    <col min="9" max="9" width="15.85546875" customWidth="1"/>
    <col min="10" max="10" width="14.7109375" customWidth="1"/>
    <col min="12" max="49" width="2.5703125" hidden="1" customWidth="1"/>
  </cols>
  <sheetData>
    <row r="1" spans="1:49" ht="15.75" x14ac:dyDescent="0.25">
      <c r="A1" s="1143" t="s">
        <v>3726</v>
      </c>
      <c r="B1" s="1130" t="str">
        <f>OrgName</f>
        <v>ZZZ NHS TRUST</v>
      </c>
      <c r="C1" s="1164"/>
      <c r="D1" s="1164"/>
      <c r="E1" s="1177" t="str">
        <f>HYPERLINK(CHAR(35)&amp;"1415TRU_Index_P13"&amp;"!A1","GoTo Index tab")</f>
        <v>GoTo Index tab</v>
      </c>
      <c r="F1" s="108"/>
      <c r="G1" s="108"/>
      <c r="H1" s="108"/>
      <c r="I1" s="108"/>
      <c r="J1" s="108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</row>
    <row r="2" spans="1:49" x14ac:dyDescent="0.2">
      <c r="A2" s="1131" t="s">
        <v>3727</v>
      </c>
      <c r="B2" s="1121" t="str">
        <f>"Org Code: " &amp; Orgcode</f>
        <v>Org Code: ZZZ</v>
      </c>
      <c r="C2" s="1140"/>
      <c r="D2" s="1140"/>
      <c r="E2" s="1166"/>
      <c r="F2" s="108"/>
      <c r="G2" s="108"/>
      <c r="H2" s="108"/>
      <c r="I2" s="108"/>
      <c r="J2" s="108"/>
    </row>
    <row r="3" spans="1:49" x14ac:dyDescent="0.2">
      <c r="A3" s="1131" t="s">
        <v>3740</v>
      </c>
      <c r="B3" s="1124" t="s">
        <v>3725</v>
      </c>
      <c r="C3" s="1165"/>
      <c r="D3" s="1165"/>
      <c r="E3" s="1167"/>
      <c r="F3" s="108"/>
      <c r="G3" s="108"/>
      <c r="H3" s="108"/>
      <c r="I3" s="108"/>
      <c r="J3" s="108"/>
    </row>
    <row r="4" spans="1:49" x14ac:dyDescent="0.2">
      <c r="B4" s="97" t="s">
        <v>1141</v>
      </c>
      <c r="C4" s="108"/>
      <c r="D4" s="108"/>
      <c r="E4" s="108"/>
      <c r="F4" s="108"/>
      <c r="G4" s="108"/>
      <c r="H4" s="108"/>
      <c r="I4" s="108"/>
      <c r="J4" s="108"/>
    </row>
    <row r="5" spans="1:49" x14ac:dyDescent="0.2">
      <c r="B5" s="103" t="s">
        <v>66</v>
      </c>
      <c r="C5" s="108"/>
      <c r="D5" s="108"/>
      <c r="E5" s="108"/>
      <c r="F5" s="108"/>
      <c r="G5" s="108"/>
      <c r="H5" s="108"/>
      <c r="I5" s="108"/>
      <c r="J5" s="108"/>
    </row>
    <row r="6" spans="1:49" ht="13.5" thickBot="1" x14ac:dyDescent="0.25">
      <c r="B6" s="108"/>
      <c r="C6" s="108"/>
      <c r="D6" s="108"/>
      <c r="E6" s="108"/>
      <c r="F6" s="108"/>
      <c r="G6" s="108"/>
      <c r="H6" s="108"/>
      <c r="I6" s="108"/>
      <c r="J6" s="108"/>
    </row>
    <row r="7" spans="1:49" ht="13.5" thickTop="1" x14ac:dyDescent="0.2">
      <c r="B7" s="242"/>
      <c r="C7" s="353"/>
      <c r="D7" s="353" t="s">
        <v>25</v>
      </c>
      <c r="E7" s="353" t="s">
        <v>235</v>
      </c>
      <c r="F7" s="353" t="s">
        <v>236</v>
      </c>
      <c r="G7" s="353" t="s">
        <v>293</v>
      </c>
      <c r="H7" s="353" t="s">
        <v>294</v>
      </c>
      <c r="I7" s="353" t="s">
        <v>295</v>
      </c>
      <c r="J7" s="293" t="s">
        <v>296</v>
      </c>
    </row>
    <row r="8" spans="1:49" ht="51" x14ac:dyDescent="0.2">
      <c r="B8" s="198" t="s">
        <v>1147</v>
      </c>
      <c r="C8" s="201" t="s">
        <v>238</v>
      </c>
      <c r="D8" s="201"/>
      <c r="E8" s="201" t="s">
        <v>1148</v>
      </c>
      <c r="F8" s="201" t="s">
        <v>1149</v>
      </c>
      <c r="G8" s="201" t="s">
        <v>1150</v>
      </c>
      <c r="H8" s="201" t="s">
        <v>1117</v>
      </c>
      <c r="I8" s="201" t="s">
        <v>1151</v>
      </c>
      <c r="J8" s="202" t="s">
        <v>340</v>
      </c>
    </row>
    <row r="9" spans="1:49" x14ac:dyDescent="0.2">
      <c r="B9" s="198"/>
      <c r="C9" s="201" t="s">
        <v>242</v>
      </c>
      <c r="D9" s="201"/>
      <c r="E9" s="201"/>
      <c r="F9" s="201"/>
      <c r="G9" s="201"/>
      <c r="H9" s="201"/>
      <c r="I9" s="201"/>
      <c r="J9" s="202"/>
    </row>
    <row r="10" spans="1:49" ht="13.5" thickBot="1" x14ac:dyDescent="0.25">
      <c r="B10" s="198"/>
      <c r="C10" s="278"/>
      <c r="D10" s="278"/>
      <c r="E10" s="278" t="s">
        <v>243</v>
      </c>
      <c r="F10" s="278" t="s">
        <v>243</v>
      </c>
      <c r="G10" s="278" t="s">
        <v>243</v>
      </c>
      <c r="H10" s="278" t="s">
        <v>243</v>
      </c>
      <c r="I10" s="278" t="s">
        <v>243</v>
      </c>
      <c r="J10" s="202" t="s">
        <v>243</v>
      </c>
    </row>
    <row r="11" spans="1:49" ht="30" customHeight="1" x14ac:dyDescent="0.2">
      <c r="B11" s="1098" t="s">
        <v>1057</v>
      </c>
      <c r="C11" s="207">
        <v>100</v>
      </c>
      <c r="D11" s="208" t="s">
        <v>248</v>
      </c>
      <c r="E11" s="463"/>
      <c r="F11" s="463"/>
      <c r="G11" s="463"/>
      <c r="H11" s="463"/>
      <c r="I11" s="463"/>
      <c r="J11" s="465">
        <f>SUM(E11:I11)</f>
        <v>0</v>
      </c>
    </row>
    <row r="12" spans="1:49" hidden="1" x14ac:dyDescent="0.2">
      <c r="A12" s="105"/>
      <c r="B12" s="97" t="s">
        <v>304</v>
      </c>
      <c r="C12" s="97">
        <v>101</v>
      </c>
      <c r="D12" s="108" t="s">
        <v>251</v>
      </c>
      <c r="E12" s="108"/>
      <c r="F12" s="108"/>
      <c r="G12" s="108"/>
      <c r="H12" s="108"/>
      <c r="I12" s="108"/>
      <c r="J12" s="97"/>
    </row>
    <row r="13" spans="1:49" hidden="1" x14ac:dyDescent="0.2">
      <c r="A13" s="99"/>
      <c r="B13" s="97" t="s">
        <v>303</v>
      </c>
      <c r="C13" s="97">
        <v>102</v>
      </c>
      <c r="D13" s="108" t="s">
        <v>251</v>
      </c>
      <c r="E13" s="108"/>
      <c r="F13" s="108"/>
      <c r="G13" s="108"/>
      <c r="H13" s="108"/>
      <c r="I13" s="108"/>
      <c r="J13" s="97"/>
    </row>
    <row r="14" spans="1:49" hidden="1" x14ac:dyDescent="0.2">
      <c r="A14" s="105"/>
      <c r="B14" s="97" t="s">
        <v>387</v>
      </c>
      <c r="C14" s="97">
        <v>103</v>
      </c>
      <c r="D14" s="108" t="s">
        <v>251</v>
      </c>
      <c r="E14" s="108"/>
      <c r="F14" s="108"/>
      <c r="G14" s="108"/>
      <c r="H14" s="108"/>
      <c r="I14" s="108"/>
      <c r="J14" s="97"/>
    </row>
    <row r="15" spans="1:49" ht="21.95" customHeight="1" x14ac:dyDescent="0.2">
      <c r="A15" s="99"/>
      <c r="B15" s="264" t="s">
        <v>389</v>
      </c>
      <c r="C15" s="251">
        <v>104</v>
      </c>
      <c r="D15" s="252" t="s">
        <v>251</v>
      </c>
      <c r="E15" s="494">
        <f>E16-E11</f>
        <v>0</v>
      </c>
      <c r="F15" s="494">
        <f>F16-F11</f>
        <v>0</v>
      </c>
      <c r="G15" s="494">
        <f>G16-G11</f>
        <v>0</v>
      </c>
      <c r="H15" s="494">
        <f>H16-H11</f>
        <v>0</v>
      </c>
      <c r="I15" s="494">
        <f>I16-I11</f>
        <v>0</v>
      </c>
      <c r="J15" s="436">
        <f>SUM(E15:I15)</f>
        <v>0</v>
      </c>
      <c r="K15" s="99"/>
    </row>
    <row r="16" spans="1:49" ht="30" customHeight="1" x14ac:dyDescent="0.2">
      <c r="B16" s="1099" t="s">
        <v>1058</v>
      </c>
      <c r="C16" s="218">
        <v>105</v>
      </c>
      <c r="D16" s="219" t="s">
        <v>251</v>
      </c>
      <c r="E16" s="933"/>
      <c r="F16" s="933"/>
      <c r="G16" s="933"/>
      <c r="H16" s="933"/>
      <c r="I16" s="933"/>
      <c r="J16" s="225">
        <f>SUM(E16:I16)</f>
        <v>0</v>
      </c>
    </row>
    <row r="17" spans="1:49" hidden="1" x14ac:dyDescent="0.2">
      <c r="A17" s="99"/>
      <c r="B17" s="100" t="s">
        <v>401</v>
      </c>
      <c r="C17" s="102">
        <v>106</v>
      </c>
      <c r="D17" s="100" t="s">
        <v>248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</row>
    <row r="18" spans="1:49" hidden="1" x14ac:dyDescent="0.2">
      <c r="A18" s="99"/>
      <c r="B18" s="100" t="s">
        <v>402</v>
      </c>
      <c r="C18" s="102">
        <v>107</v>
      </c>
      <c r="D18" s="100" t="s">
        <v>251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</row>
    <row r="19" spans="1:49" ht="21.95" customHeight="1" x14ac:dyDescent="0.2">
      <c r="B19" s="785" t="s">
        <v>1060</v>
      </c>
      <c r="C19" s="251">
        <v>110</v>
      </c>
      <c r="D19" s="252" t="s">
        <v>248</v>
      </c>
      <c r="E19" s="691"/>
      <c r="F19" s="691"/>
      <c r="G19" s="691"/>
      <c r="H19" s="691"/>
      <c r="I19" s="691"/>
      <c r="J19" s="415">
        <f t="shared" ref="J19:J32" si="0">SUM(E19:I19)</f>
        <v>0</v>
      </c>
    </row>
    <row r="20" spans="1:49" ht="21.95" customHeight="1" x14ac:dyDescent="0.2">
      <c r="B20" s="657" t="s">
        <v>1153</v>
      </c>
      <c r="C20" s="218">
        <v>120</v>
      </c>
      <c r="D20" s="219" t="s">
        <v>248</v>
      </c>
      <c r="E20" s="561"/>
      <c r="F20" s="561"/>
      <c r="G20" s="561"/>
      <c r="H20" s="561"/>
      <c r="I20" s="561"/>
      <c r="J20" s="227">
        <f t="shared" si="0"/>
        <v>0</v>
      </c>
    </row>
    <row r="21" spans="1:49" ht="21.95" customHeight="1" x14ac:dyDescent="0.2">
      <c r="B21" s="657" t="s">
        <v>1061</v>
      </c>
      <c r="C21" s="218">
        <v>130</v>
      </c>
      <c r="D21" s="219" t="s">
        <v>248</v>
      </c>
      <c r="E21" s="561"/>
      <c r="F21" s="561"/>
      <c r="G21" s="561"/>
      <c r="H21" s="561"/>
      <c r="I21" s="561"/>
      <c r="J21" s="227">
        <f t="shared" si="0"/>
        <v>0</v>
      </c>
    </row>
    <row r="22" spans="1:49" ht="27" customHeight="1" x14ac:dyDescent="0.2">
      <c r="B22" s="266" t="s">
        <v>1154</v>
      </c>
      <c r="C22" s="218">
        <v>140</v>
      </c>
      <c r="D22" s="219" t="s">
        <v>248</v>
      </c>
      <c r="E22" s="561"/>
      <c r="F22" s="561"/>
      <c r="G22" s="561"/>
      <c r="H22" s="561"/>
      <c r="I22" s="561"/>
      <c r="J22" s="227">
        <f t="shared" si="0"/>
        <v>0</v>
      </c>
    </row>
    <row r="23" spans="1:49" ht="21.95" customHeight="1" x14ac:dyDescent="0.2">
      <c r="B23" s="213" t="s">
        <v>1064</v>
      </c>
      <c r="C23" s="218">
        <v>145</v>
      </c>
      <c r="D23" s="217" t="s">
        <v>248</v>
      </c>
      <c r="E23" s="561"/>
      <c r="F23" s="561"/>
      <c r="G23" s="561"/>
      <c r="H23" s="561"/>
      <c r="I23" s="561"/>
      <c r="J23" s="227">
        <f t="shared" si="0"/>
        <v>0</v>
      </c>
    </row>
    <row r="24" spans="1:49" ht="21.95" customHeight="1" x14ac:dyDescent="0.2">
      <c r="B24" s="657" t="s">
        <v>1065</v>
      </c>
      <c r="C24" s="218">
        <v>150</v>
      </c>
      <c r="D24" s="219" t="s">
        <v>251</v>
      </c>
      <c r="E24" s="561"/>
      <c r="F24" s="561"/>
      <c r="G24" s="561"/>
      <c r="H24" s="561"/>
      <c r="I24" s="561"/>
      <c r="J24" s="227">
        <f t="shared" si="0"/>
        <v>0</v>
      </c>
    </row>
    <row r="25" spans="1:49" ht="21.95" customHeight="1" x14ac:dyDescent="0.2">
      <c r="B25" s="657" t="s">
        <v>1066</v>
      </c>
      <c r="C25" s="218">
        <v>160</v>
      </c>
      <c r="D25" s="219" t="s">
        <v>251</v>
      </c>
      <c r="E25" s="561"/>
      <c r="F25" s="561"/>
      <c r="G25" s="561"/>
      <c r="H25" s="561"/>
      <c r="I25" s="561"/>
      <c r="J25" s="227">
        <f t="shared" si="0"/>
        <v>0</v>
      </c>
    </row>
    <row r="26" spans="1:49" ht="21.95" customHeight="1" x14ac:dyDescent="0.2">
      <c r="B26" s="657" t="s">
        <v>1067</v>
      </c>
      <c r="C26" s="218">
        <v>170</v>
      </c>
      <c r="D26" s="219" t="s">
        <v>245</v>
      </c>
      <c r="E26" s="561"/>
      <c r="F26" s="561"/>
      <c r="G26" s="561"/>
      <c r="H26" s="561"/>
      <c r="I26" s="561"/>
      <c r="J26" s="227">
        <f t="shared" si="0"/>
        <v>0</v>
      </c>
    </row>
    <row r="27" spans="1:49" ht="21.95" customHeight="1" x14ac:dyDescent="0.2">
      <c r="B27" s="657" t="s">
        <v>1155</v>
      </c>
      <c r="C27" s="218">
        <v>180</v>
      </c>
      <c r="D27" s="219" t="s">
        <v>248</v>
      </c>
      <c r="E27" s="561"/>
      <c r="F27" s="561"/>
      <c r="G27" s="561"/>
      <c r="H27" s="561"/>
      <c r="I27" s="561"/>
      <c r="J27" s="227">
        <f t="shared" si="0"/>
        <v>0</v>
      </c>
    </row>
    <row r="28" spans="1:49" ht="21.95" customHeight="1" x14ac:dyDescent="0.2">
      <c r="B28" s="657" t="s">
        <v>1070</v>
      </c>
      <c r="C28" s="218">
        <v>190</v>
      </c>
      <c r="D28" s="219" t="s">
        <v>245</v>
      </c>
      <c r="E28" s="561"/>
      <c r="F28" s="561"/>
      <c r="G28" s="561"/>
      <c r="H28" s="561"/>
      <c r="I28" s="561"/>
      <c r="J28" s="227">
        <f t="shared" si="0"/>
        <v>0</v>
      </c>
    </row>
    <row r="29" spans="1:49" ht="21.95" customHeight="1" x14ac:dyDescent="0.2">
      <c r="B29" s="657" t="s">
        <v>1071</v>
      </c>
      <c r="C29" s="218">
        <v>200</v>
      </c>
      <c r="D29" s="219" t="s">
        <v>248</v>
      </c>
      <c r="E29" s="561"/>
      <c r="F29" s="561"/>
      <c r="G29" s="561"/>
      <c r="H29" s="561"/>
      <c r="I29" s="561"/>
      <c r="J29" s="227">
        <f t="shared" si="0"/>
        <v>0</v>
      </c>
    </row>
    <row r="30" spans="1:49" ht="30" customHeight="1" x14ac:dyDescent="0.2">
      <c r="B30" s="336" t="s">
        <v>1157</v>
      </c>
      <c r="C30" s="218">
        <v>202</v>
      </c>
      <c r="D30" s="219" t="s">
        <v>251</v>
      </c>
      <c r="E30" s="224">
        <f>SUM(E28:E29)</f>
        <v>0</v>
      </c>
      <c r="F30" s="224">
        <f>SUM(F28:F29)</f>
        <v>0</v>
      </c>
      <c r="G30" s="224">
        <f>SUM(G28:G29)</f>
        <v>0</v>
      </c>
      <c r="H30" s="224">
        <f>SUM(H28:H29)</f>
        <v>0</v>
      </c>
      <c r="I30" s="224">
        <f>SUM(I28:I29)</f>
        <v>0</v>
      </c>
      <c r="J30" s="227">
        <f t="shared" si="0"/>
        <v>0</v>
      </c>
    </row>
    <row r="31" spans="1:49" ht="21.95" customHeight="1" x14ac:dyDescent="0.2">
      <c r="B31" s="657" t="s">
        <v>508</v>
      </c>
      <c r="C31" s="218">
        <v>210</v>
      </c>
      <c r="D31" s="219" t="s">
        <v>245</v>
      </c>
      <c r="E31" s="561"/>
      <c r="F31" s="561"/>
      <c r="G31" s="561"/>
      <c r="H31" s="561"/>
      <c r="I31" s="561"/>
      <c r="J31" s="227">
        <f t="shared" si="0"/>
        <v>0</v>
      </c>
    </row>
    <row r="32" spans="1:49" ht="27" customHeight="1" x14ac:dyDescent="0.2">
      <c r="B32" s="1108" t="s">
        <v>1158</v>
      </c>
      <c r="C32" s="218">
        <v>215</v>
      </c>
      <c r="D32" s="219" t="s">
        <v>251</v>
      </c>
      <c r="E32" s="561"/>
      <c r="F32" s="561"/>
      <c r="G32" s="561"/>
      <c r="H32" s="561"/>
      <c r="I32" s="561"/>
      <c r="J32" s="225">
        <f t="shared" si="0"/>
        <v>0</v>
      </c>
    </row>
    <row r="33" spans="1:10" hidden="1" x14ac:dyDescent="0.2">
      <c r="A33" s="105"/>
      <c r="B33" s="108" t="s">
        <v>1075</v>
      </c>
      <c r="C33" s="97">
        <v>220</v>
      </c>
      <c r="D33" s="108" t="s">
        <v>245</v>
      </c>
      <c r="E33" s="108"/>
      <c r="F33" s="108"/>
      <c r="G33" s="108"/>
      <c r="H33" s="108"/>
      <c r="I33" s="108"/>
      <c r="J33" s="97"/>
    </row>
    <row r="34" spans="1:10" ht="21.95" customHeight="1" thickBot="1" x14ac:dyDescent="0.25">
      <c r="B34" s="198" t="s">
        <v>1159</v>
      </c>
      <c r="C34" s="204">
        <v>225</v>
      </c>
      <c r="D34" s="147" t="s">
        <v>248</v>
      </c>
      <c r="E34" s="786">
        <f>SUM(E16:E33)-E30</f>
        <v>0</v>
      </c>
      <c r="F34" s="786">
        <f>SUM(F16:F33)-F30</f>
        <v>0</v>
      </c>
      <c r="G34" s="786">
        <f>SUM(G16:G33)-G30</f>
        <v>0</v>
      </c>
      <c r="H34" s="786">
        <f>SUM(H16:H33)-H30</f>
        <v>0</v>
      </c>
      <c r="I34" s="786">
        <f>SUM(I16:I33)-I30</f>
        <v>0</v>
      </c>
      <c r="J34" s="415">
        <f>SUM(E34:I34)</f>
        <v>0</v>
      </c>
    </row>
    <row r="35" spans="1:10" ht="30" customHeight="1" x14ac:dyDescent="0.2">
      <c r="B35" s="1098" t="s">
        <v>1160</v>
      </c>
      <c r="C35" s="207">
        <v>230</v>
      </c>
      <c r="D35" s="208" t="s">
        <v>248</v>
      </c>
      <c r="E35" s="302"/>
      <c r="F35" s="302"/>
      <c r="G35" s="302"/>
      <c r="H35" s="302"/>
      <c r="I35" s="302"/>
      <c r="J35" s="804">
        <f>SUM(E35:I35)</f>
        <v>0</v>
      </c>
    </row>
    <row r="36" spans="1:10" hidden="1" x14ac:dyDescent="0.2">
      <c r="A36" s="105"/>
      <c r="B36" s="97" t="s">
        <v>304</v>
      </c>
      <c r="C36" s="97">
        <v>231</v>
      </c>
      <c r="D36" s="108" t="s">
        <v>251</v>
      </c>
      <c r="E36" s="108"/>
      <c r="F36" s="108"/>
      <c r="G36" s="108"/>
      <c r="H36" s="108"/>
      <c r="I36" s="108"/>
      <c r="J36" s="97"/>
    </row>
    <row r="37" spans="1:10" hidden="1" x14ac:dyDescent="0.2">
      <c r="A37" s="105"/>
      <c r="B37" s="97" t="s">
        <v>303</v>
      </c>
      <c r="C37" s="97">
        <v>232</v>
      </c>
      <c r="D37" s="108" t="s">
        <v>251</v>
      </c>
      <c r="E37" s="108"/>
      <c r="F37" s="108"/>
      <c r="G37" s="108"/>
      <c r="H37" s="108"/>
      <c r="I37" s="108"/>
      <c r="J37" s="97"/>
    </row>
    <row r="38" spans="1:10" hidden="1" x14ac:dyDescent="0.2">
      <c r="A38" s="105"/>
      <c r="B38" s="97" t="s">
        <v>387</v>
      </c>
      <c r="C38" s="97">
        <v>233</v>
      </c>
      <c r="D38" s="108" t="s">
        <v>251</v>
      </c>
      <c r="E38" s="108"/>
      <c r="F38" s="108"/>
      <c r="G38" s="108"/>
      <c r="H38" s="108"/>
      <c r="I38" s="108"/>
      <c r="J38" s="97"/>
    </row>
    <row r="39" spans="1:10" hidden="1" x14ac:dyDescent="0.2">
      <c r="A39" s="105"/>
      <c r="B39" s="97" t="s">
        <v>1161</v>
      </c>
      <c r="C39" s="97">
        <v>234</v>
      </c>
      <c r="D39" s="108" t="s">
        <v>251</v>
      </c>
      <c r="E39" s="108"/>
      <c r="F39" s="108"/>
      <c r="G39" s="108"/>
      <c r="H39" s="108"/>
      <c r="I39" s="108"/>
      <c r="J39" s="97"/>
    </row>
    <row r="40" spans="1:10" ht="21.95" customHeight="1" x14ac:dyDescent="0.2">
      <c r="B40" s="495" t="s">
        <v>389</v>
      </c>
      <c r="C40" s="251">
        <v>235</v>
      </c>
      <c r="D40" s="252" t="s">
        <v>251</v>
      </c>
      <c r="E40" s="337">
        <f>E42-E35</f>
        <v>0</v>
      </c>
      <c r="F40" s="337">
        <f>F42-F35</f>
        <v>0</v>
      </c>
      <c r="G40" s="337">
        <f>G42-G35</f>
        <v>0</v>
      </c>
      <c r="H40" s="337">
        <f>H42-H35</f>
        <v>0</v>
      </c>
      <c r="I40" s="337">
        <f>I42-I35</f>
        <v>0</v>
      </c>
      <c r="J40" s="407">
        <f>SUM(E40:I40)</f>
        <v>0</v>
      </c>
    </row>
    <row r="41" spans="1:10" hidden="1" x14ac:dyDescent="0.2">
      <c r="A41" s="105"/>
      <c r="B41" s="97" t="s">
        <v>390</v>
      </c>
      <c r="C41" s="97">
        <v>236</v>
      </c>
      <c r="D41" s="108" t="s">
        <v>251</v>
      </c>
      <c r="E41" s="108"/>
      <c r="F41" s="108"/>
      <c r="G41" s="108"/>
      <c r="H41" s="108"/>
      <c r="I41" s="108"/>
      <c r="J41" s="97"/>
    </row>
    <row r="42" spans="1:10" ht="30" customHeight="1" x14ac:dyDescent="0.2">
      <c r="B42" s="355" t="s">
        <v>1162</v>
      </c>
      <c r="C42" s="251">
        <v>237</v>
      </c>
      <c r="D42" s="252" t="s">
        <v>248</v>
      </c>
      <c r="E42" s="1092"/>
      <c r="F42" s="1092"/>
      <c r="G42" s="1092"/>
      <c r="H42" s="1092"/>
      <c r="I42" s="1092"/>
      <c r="J42" s="415">
        <f t="shared" ref="J42:J50" si="1">SUM(E42:I42)</f>
        <v>0</v>
      </c>
    </row>
    <row r="43" spans="1:10" ht="21.95" customHeight="1" x14ac:dyDescent="0.2">
      <c r="B43" s="657" t="s">
        <v>1065</v>
      </c>
      <c r="C43" s="218">
        <v>250</v>
      </c>
      <c r="D43" s="219" t="s">
        <v>251</v>
      </c>
      <c r="E43" s="561"/>
      <c r="F43" s="561"/>
      <c r="G43" s="561"/>
      <c r="H43" s="561"/>
      <c r="I43" s="561"/>
      <c r="J43" s="227">
        <f t="shared" si="1"/>
        <v>0</v>
      </c>
    </row>
    <row r="44" spans="1:10" ht="21.95" customHeight="1" x14ac:dyDescent="0.2">
      <c r="B44" s="657" t="s">
        <v>1066</v>
      </c>
      <c r="C44" s="218">
        <v>260</v>
      </c>
      <c r="D44" s="219" t="s">
        <v>251</v>
      </c>
      <c r="E44" s="561"/>
      <c r="F44" s="561"/>
      <c r="G44" s="561"/>
      <c r="H44" s="561"/>
      <c r="I44" s="561"/>
      <c r="J44" s="227">
        <f t="shared" si="1"/>
        <v>0</v>
      </c>
    </row>
    <row r="45" spans="1:10" ht="21.95" customHeight="1" x14ac:dyDescent="0.2">
      <c r="B45" s="657" t="s">
        <v>1067</v>
      </c>
      <c r="C45" s="218">
        <v>270</v>
      </c>
      <c r="D45" s="219" t="s">
        <v>245</v>
      </c>
      <c r="E45" s="561"/>
      <c r="F45" s="561"/>
      <c r="G45" s="561"/>
      <c r="H45" s="561"/>
      <c r="I45" s="561"/>
      <c r="J45" s="227">
        <f t="shared" si="1"/>
        <v>0</v>
      </c>
    </row>
    <row r="46" spans="1:10" ht="21.95" customHeight="1" x14ac:dyDescent="0.2">
      <c r="B46" s="657" t="s">
        <v>1155</v>
      </c>
      <c r="C46" s="218">
        <v>280</v>
      </c>
      <c r="D46" s="219" t="s">
        <v>248</v>
      </c>
      <c r="E46" s="561"/>
      <c r="F46" s="561"/>
      <c r="G46" s="561"/>
      <c r="H46" s="561"/>
      <c r="I46" s="561"/>
      <c r="J46" s="227">
        <f t="shared" si="1"/>
        <v>0</v>
      </c>
    </row>
    <row r="47" spans="1:10" ht="27" customHeight="1" x14ac:dyDescent="0.2">
      <c r="B47" s="266" t="s">
        <v>1081</v>
      </c>
      <c r="C47" s="218">
        <v>290</v>
      </c>
      <c r="D47" s="219" t="s">
        <v>248</v>
      </c>
      <c r="E47" s="561"/>
      <c r="F47" s="561"/>
      <c r="G47" s="561"/>
      <c r="H47" s="561"/>
      <c r="I47" s="561"/>
      <c r="J47" s="227">
        <f t="shared" si="1"/>
        <v>0</v>
      </c>
    </row>
    <row r="48" spans="1:10" ht="21.95" customHeight="1" x14ac:dyDescent="0.2">
      <c r="B48" s="657" t="s">
        <v>1082</v>
      </c>
      <c r="C48" s="218">
        <v>300</v>
      </c>
      <c r="D48" s="219" t="s">
        <v>245</v>
      </c>
      <c r="E48" s="561"/>
      <c r="F48" s="561"/>
      <c r="G48" s="561"/>
      <c r="H48" s="561"/>
      <c r="I48" s="561"/>
      <c r="J48" s="227">
        <f t="shared" si="1"/>
        <v>0</v>
      </c>
    </row>
    <row r="49" spans="1:10" ht="30" customHeight="1" x14ac:dyDescent="0.2">
      <c r="B49" s="336" t="s">
        <v>1163</v>
      </c>
      <c r="C49" s="218">
        <v>305</v>
      </c>
      <c r="D49" s="219" t="s">
        <v>251</v>
      </c>
      <c r="E49" s="224">
        <f>SUM(E47:E48)</f>
        <v>0</v>
      </c>
      <c r="F49" s="224">
        <f>SUM(F47:F48)</f>
        <v>0</v>
      </c>
      <c r="G49" s="224">
        <f>SUM(G47:G48)</f>
        <v>0</v>
      </c>
      <c r="H49" s="224">
        <f>SUM(H47:H48)</f>
        <v>0</v>
      </c>
      <c r="I49" s="224">
        <f>SUM(I47:I48)</f>
        <v>0</v>
      </c>
      <c r="J49" s="227">
        <f t="shared" si="1"/>
        <v>0</v>
      </c>
    </row>
    <row r="50" spans="1:10" ht="21.95" customHeight="1" x14ac:dyDescent="0.2">
      <c r="B50" s="655" t="s">
        <v>1084</v>
      </c>
      <c r="C50" s="218">
        <v>310</v>
      </c>
      <c r="D50" s="219" t="s">
        <v>248</v>
      </c>
      <c r="E50" s="561"/>
      <c r="F50" s="561"/>
      <c r="G50" s="561"/>
      <c r="H50" s="561"/>
      <c r="I50" s="561"/>
      <c r="J50" s="225">
        <f t="shared" si="1"/>
        <v>0</v>
      </c>
    </row>
    <row r="51" spans="1:10" hidden="1" x14ac:dyDescent="0.2">
      <c r="A51" s="99"/>
      <c r="B51" s="108" t="s">
        <v>529</v>
      </c>
      <c r="C51" s="97">
        <v>315</v>
      </c>
      <c r="D51" s="108" t="s">
        <v>251</v>
      </c>
    </row>
    <row r="52" spans="1:10" ht="21.95" customHeight="1" x14ac:dyDescent="0.2">
      <c r="B52" s="785" t="s">
        <v>508</v>
      </c>
      <c r="C52" s="251">
        <v>320</v>
      </c>
      <c r="D52" s="252" t="s">
        <v>245</v>
      </c>
      <c r="E52" s="691"/>
      <c r="F52" s="691"/>
      <c r="G52" s="691"/>
      <c r="H52" s="691"/>
      <c r="I52" s="691"/>
      <c r="J52" s="415">
        <f>SUM(E52:I52)</f>
        <v>0</v>
      </c>
    </row>
    <row r="53" spans="1:10" ht="27" customHeight="1" x14ac:dyDescent="0.2">
      <c r="B53" s="1108" t="s">
        <v>1158</v>
      </c>
      <c r="C53" s="218">
        <v>325</v>
      </c>
      <c r="D53" s="219" t="s">
        <v>251</v>
      </c>
      <c r="E53" s="561"/>
      <c r="F53" s="561"/>
      <c r="G53" s="561"/>
      <c r="H53" s="561"/>
      <c r="I53" s="561"/>
      <c r="J53" s="225">
        <f>SUM(E53:I53)</f>
        <v>0</v>
      </c>
    </row>
    <row r="54" spans="1:10" hidden="1" x14ac:dyDescent="0.2">
      <c r="A54" s="99"/>
      <c r="B54" s="108" t="s">
        <v>1086</v>
      </c>
      <c r="C54" s="97">
        <v>330</v>
      </c>
      <c r="D54" s="108" t="s">
        <v>245</v>
      </c>
      <c r="E54" s="108"/>
      <c r="F54" s="108"/>
      <c r="G54" s="108"/>
      <c r="H54" s="108"/>
      <c r="I54" s="108"/>
      <c r="J54" s="97"/>
    </row>
    <row r="55" spans="1:10" ht="21.95" customHeight="1" thickBot="1" x14ac:dyDescent="0.25">
      <c r="B55" s="198" t="s">
        <v>1164</v>
      </c>
      <c r="C55" s="204">
        <v>340</v>
      </c>
      <c r="D55" s="147" t="s">
        <v>248</v>
      </c>
      <c r="E55" s="786">
        <f t="shared" ref="E55:J55" si="2">SUM(E42:E54)-E49</f>
        <v>0</v>
      </c>
      <c r="F55" s="786">
        <f t="shared" si="2"/>
        <v>0</v>
      </c>
      <c r="G55" s="786">
        <f t="shared" si="2"/>
        <v>0</v>
      </c>
      <c r="H55" s="786">
        <f t="shared" si="2"/>
        <v>0</v>
      </c>
      <c r="I55" s="786">
        <f t="shared" si="2"/>
        <v>0</v>
      </c>
      <c r="J55" s="415">
        <f t="shared" si="2"/>
        <v>0</v>
      </c>
    </row>
    <row r="56" spans="1:10" ht="21.95" customHeight="1" thickBot="1" x14ac:dyDescent="0.25">
      <c r="B56" s="314" t="s">
        <v>1088</v>
      </c>
      <c r="C56" s="558">
        <v>350</v>
      </c>
      <c r="D56" s="178" t="s">
        <v>248</v>
      </c>
      <c r="E56" s="559">
        <f t="shared" ref="E56:J56" si="3">E34-E55</f>
        <v>0</v>
      </c>
      <c r="F56" s="559">
        <f t="shared" si="3"/>
        <v>0</v>
      </c>
      <c r="G56" s="559">
        <f t="shared" si="3"/>
        <v>0</v>
      </c>
      <c r="H56" s="559">
        <f t="shared" si="3"/>
        <v>0</v>
      </c>
      <c r="I56" s="559">
        <f t="shared" si="3"/>
        <v>0</v>
      </c>
      <c r="J56" s="808">
        <f t="shared" si="3"/>
        <v>0</v>
      </c>
    </row>
    <row r="57" spans="1:10" ht="21.95" customHeight="1" x14ac:dyDescent="0.2">
      <c r="B57" s="654" t="s">
        <v>1165</v>
      </c>
      <c r="C57" s="207">
        <v>360</v>
      </c>
      <c r="D57" s="208" t="s">
        <v>248</v>
      </c>
      <c r="E57" s="689"/>
      <c r="F57" s="689"/>
      <c r="G57" s="689"/>
      <c r="H57" s="689"/>
      <c r="I57" s="689"/>
      <c r="J57" s="808">
        <f t="shared" ref="J57:J62" si="4">SUM(E57:I57)</f>
        <v>0</v>
      </c>
    </row>
    <row r="58" spans="1:10" ht="21.95" customHeight="1" x14ac:dyDescent="0.2">
      <c r="B58" s="657" t="s">
        <v>1166</v>
      </c>
      <c r="C58" s="218">
        <v>370</v>
      </c>
      <c r="D58" s="219" t="s">
        <v>248</v>
      </c>
      <c r="E58" s="561"/>
      <c r="F58" s="561"/>
      <c r="G58" s="561"/>
      <c r="H58" s="561"/>
      <c r="I58" s="561"/>
      <c r="J58" s="227">
        <f t="shared" si="4"/>
        <v>0</v>
      </c>
    </row>
    <row r="59" spans="1:10" ht="21.95" customHeight="1" x14ac:dyDescent="0.2">
      <c r="B59" s="657" t="s">
        <v>1167</v>
      </c>
      <c r="C59" s="218">
        <v>380</v>
      </c>
      <c r="D59" s="219" t="s">
        <v>248</v>
      </c>
      <c r="E59" s="561"/>
      <c r="F59" s="561"/>
      <c r="G59" s="561"/>
      <c r="H59" s="561"/>
      <c r="I59" s="561"/>
      <c r="J59" s="227">
        <f t="shared" si="4"/>
        <v>0</v>
      </c>
    </row>
    <row r="60" spans="1:10" ht="21.95" customHeight="1" x14ac:dyDescent="0.2">
      <c r="B60" s="226" t="s">
        <v>1096</v>
      </c>
      <c r="C60" s="218">
        <v>382</v>
      </c>
      <c r="D60" s="217" t="s">
        <v>248</v>
      </c>
      <c r="E60" s="224">
        <f>SUM(E58:E59)</f>
        <v>0</v>
      </c>
      <c r="F60" s="224">
        <f>SUM(F58:F59)</f>
        <v>0</v>
      </c>
      <c r="G60" s="224">
        <f>SUM(G58:G59)</f>
        <v>0</v>
      </c>
      <c r="H60" s="224">
        <f>SUM(H58:H59)</f>
        <v>0</v>
      </c>
      <c r="I60" s="224">
        <f>SUM(I58:I59)</f>
        <v>0</v>
      </c>
      <c r="J60" s="227">
        <f t="shared" si="4"/>
        <v>0</v>
      </c>
    </row>
    <row r="61" spans="1:10" ht="21.95" customHeight="1" x14ac:dyDescent="0.2">
      <c r="B61" s="213" t="s">
        <v>1097</v>
      </c>
      <c r="C61" s="218">
        <v>384</v>
      </c>
      <c r="D61" s="217" t="s">
        <v>248</v>
      </c>
      <c r="E61" s="561"/>
      <c r="F61" s="561"/>
      <c r="G61" s="561"/>
      <c r="H61" s="561"/>
      <c r="I61" s="561"/>
      <c r="J61" s="227">
        <f t="shared" si="4"/>
        <v>0</v>
      </c>
    </row>
    <row r="62" spans="1:10" ht="21.95" customHeight="1" x14ac:dyDescent="0.2">
      <c r="B62" s="213" t="s">
        <v>1168</v>
      </c>
      <c r="C62" s="234">
        <v>386</v>
      </c>
      <c r="D62" s="237" t="s">
        <v>248</v>
      </c>
      <c r="E62" s="809"/>
      <c r="F62" s="809"/>
      <c r="G62" s="809"/>
      <c r="H62" s="809"/>
      <c r="I62" s="809"/>
      <c r="J62" s="227">
        <f t="shared" si="4"/>
        <v>0</v>
      </c>
    </row>
    <row r="63" spans="1:10" ht="21.95" customHeight="1" thickBot="1" x14ac:dyDescent="0.25">
      <c r="B63" s="233" t="s">
        <v>1092</v>
      </c>
      <c r="C63" s="236">
        <v>390</v>
      </c>
      <c r="D63" s="238" t="s">
        <v>248</v>
      </c>
      <c r="E63" s="240">
        <f t="shared" ref="E63:J63" si="5">SUM(E57:E62)-E60</f>
        <v>0</v>
      </c>
      <c r="F63" s="240">
        <f t="shared" si="5"/>
        <v>0</v>
      </c>
      <c r="G63" s="240">
        <f t="shared" si="5"/>
        <v>0</v>
      </c>
      <c r="H63" s="240">
        <f t="shared" si="5"/>
        <v>0</v>
      </c>
      <c r="I63" s="240">
        <f t="shared" si="5"/>
        <v>0</v>
      </c>
      <c r="J63" s="241">
        <f t="shared" si="5"/>
        <v>0</v>
      </c>
    </row>
    <row r="64" spans="1:10" ht="13.5" thickTop="1" x14ac:dyDescent="0.2">
      <c r="B64" s="108"/>
      <c r="C64" s="108"/>
      <c r="D64" s="108"/>
      <c r="E64" s="108"/>
      <c r="F64" s="108"/>
      <c r="G64" s="108"/>
      <c r="H64" s="108"/>
      <c r="I64" s="108"/>
      <c r="J64" s="108"/>
    </row>
    <row r="65" spans="1:10" x14ac:dyDescent="0.2">
      <c r="B65" s="108"/>
      <c r="C65" s="108"/>
      <c r="D65" s="108"/>
      <c r="E65" s="108"/>
      <c r="F65" s="108"/>
      <c r="G65" s="108"/>
      <c r="H65" s="108"/>
      <c r="I65" s="108"/>
      <c r="J65" s="108"/>
    </row>
    <row r="66" spans="1:10" ht="13.5" thickBot="1" x14ac:dyDescent="0.25">
      <c r="B66" s="108"/>
      <c r="C66" s="108"/>
      <c r="D66" s="108"/>
      <c r="E66" s="713"/>
      <c r="F66" s="108"/>
      <c r="G66" s="108"/>
      <c r="H66" s="108"/>
      <c r="I66" s="108"/>
      <c r="J66" s="108"/>
    </row>
    <row r="67" spans="1:10" ht="13.5" thickTop="1" x14ac:dyDescent="0.2">
      <c r="B67" s="242"/>
      <c r="C67" s="353"/>
      <c r="D67" s="353" t="s">
        <v>25</v>
      </c>
      <c r="E67" s="353" t="s">
        <v>235</v>
      </c>
      <c r="F67" s="353" t="s">
        <v>236</v>
      </c>
      <c r="G67" s="353" t="s">
        <v>293</v>
      </c>
      <c r="H67" s="353" t="s">
        <v>294</v>
      </c>
      <c r="I67" s="353" t="s">
        <v>295</v>
      </c>
      <c r="J67" s="293" t="s">
        <v>296</v>
      </c>
    </row>
    <row r="68" spans="1:10" ht="51" x14ac:dyDescent="0.2">
      <c r="B68" s="198"/>
      <c r="C68" s="201" t="s">
        <v>238</v>
      </c>
      <c r="D68" s="201"/>
      <c r="E68" s="201" t="s">
        <v>1148</v>
      </c>
      <c r="F68" s="201" t="s">
        <v>1149</v>
      </c>
      <c r="G68" s="201" t="s">
        <v>1150</v>
      </c>
      <c r="H68" s="201" t="s">
        <v>1117</v>
      </c>
      <c r="I68" s="201" t="s">
        <v>1151</v>
      </c>
      <c r="J68" s="202" t="s">
        <v>340</v>
      </c>
    </row>
    <row r="69" spans="1:10" x14ac:dyDescent="0.2">
      <c r="B69" s="198" t="s">
        <v>1169</v>
      </c>
      <c r="C69" s="201" t="s">
        <v>242</v>
      </c>
      <c r="D69" s="201"/>
      <c r="E69" s="201"/>
      <c r="F69" s="201"/>
      <c r="G69" s="201"/>
      <c r="H69" s="201"/>
      <c r="I69" s="201"/>
      <c r="J69" s="202"/>
    </row>
    <row r="70" spans="1:10" ht="13.5" thickBot="1" x14ac:dyDescent="0.25">
      <c r="B70" s="198"/>
      <c r="C70" s="278"/>
      <c r="D70" s="278"/>
      <c r="E70" s="278" t="s">
        <v>243</v>
      </c>
      <c r="F70" s="278" t="s">
        <v>243</v>
      </c>
      <c r="G70" s="278" t="s">
        <v>243</v>
      </c>
      <c r="H70" s="278" t="s">
        <v>243</v>
      </c>
      <c r="I70" s="278" t="s">
        <v>243</v>
      </c>
      <c r="J70" s="202" t="s">
        <v>243</v>
      </c>
    </row>
    <row r="71" spans="1:10" ht="30" customHeight="1" x14ac:dyDescent="0.2">
      <c r="B71" s="1098" t="s">
        <v>305</v>
      </c>
      <c r="C71" s="207">
        <v>400</v>
      </c>
      <c r="D71" s="208" t="s">
        <v>248</v>
      </c>
      <c r="E71" s="810"/>
      <c r="F71" s="810"/>
      <c r="G71" s="810"/>
      <c r="H71" s="810"/>
      <c r="I71" s="810"/>
      <c r="J71" s="465"/>
    </row>
    <row r="72" spans="1:10" hidden="1" x14ac:dyDescent="0.2">
      <c r="A72" s="99"/>
      <c r="B72" s="97" t="s">
        <v>304</v>
      </c>
      <c r="C72" s="97">
        <v>406</v>
      </c>
      <c r="D72" s="108" t="s">
        <v>251</v>
      </c>
      <c r="E72" s="108"/>
      <c r="F72" s="108"/>
      <c r="G72" s="108"/>
      <c r="H72" s="108"/>
      <c r="I72" s="108"/>
      <c r="J72" s="97"/>
    </row>
    <row r="73" spans="1:10" hidden="1" x14ac:dyDescent="0.2">
      <c r="A73" s="105"/>
      <c r="B73" s="97" t="s">
        <v>303</v>
      </c>
      <c r="C73" s="97">
        <v>412</v>
      </c>
      <c r="D73" s="108" t="s">
        <v>251</v>
      </c>
      <c r="E73" s="97"/>
      <c r="F73" s="97"/>
      <c r="G73" s="97"/>
      <c r="H73" s="97"/>
      <c r="I73" s="97"/>
      <c r="J73" s="97"/>
    </row>
    <row r="74" spans="1:10" hidden="1" x14ac:dyDescent="0.2">
      <c r="A74" s="105"/>
      <c r="B74" s="97" t="s">
        <v>387</v>
      </c>
      <c r="C74" s="97">
        <v>418</v>
      </c>
      <c r="D74" t="s">
        <v>251</v>
      </c>
      <c r="E74" s="108"/>
      <c r="F74" s="108"/>
      <c r="G74" s="108"/>
      <c r="H74" s="108"/>
      <c r="I74" s="108"/>
      <c r="J74" s="97"/>
    </row>
    <row r="75" spans="1:10" hidden="1" x14ac:dyDescent="0.2">
      <c r="A75" s="105"/>
      <c r="B75" s="97" t="s">
        <v>1170</v>
      </c>
      <c r="C75" s="97">
        <v>424</v>
      </c>
      <c r="D75" t="s">
        <v>251</v>
      </c>
      <c r="E75" s="97"/>
      <c r="F75" s="97"/>
      <c r="G75" s="97"/>
      <c r="H75" s="97"/>
      <c r="I75" s="97"/>
      <c r="J75" s="97"/>
    </row>
    <row r="76" spans="1:10" ht="21.95" customHeight="1" x14ac:dyDescent="0.2">
      <c r="B76" s="406" t="s">
        <v>389</v>
      </c>
      <c r="C76" s="251">
        <v>430</v>
      </c>
      <c r="D76" s="250" t="s">
        <v>251</v>
      </c>
      <c r="E76" s="784"/>
      <c r="F76" s="784"/>
      <c r="G76" s="784"/>
      <c r="H76" s="784"/>
      <c r="I76" s="784"/>
      <c r="J76" s="407">
        <f>SUM(E78:I78)-J71</f>
        <v>0</v>
      </c>
    </row>
    <row r="77" spans="1:10" hidden="1" x14ac:dyDescent="0.2">
      <c r="A77" s="105"/>
      <c r="B77" s="97" t="s">
        <v>1079</v>
      </c>
      <c r="C77" s="97">
        <v>434</v>
      </c>
      <c r="E77" s="108"/>
      <c r="F77" s="108"/>
      <c r="G77" s="108"/>
      <c r="H77" s="108"/>
      <c r="I77" s="108"/>
      <c r="J77" s="97"/>
    </row>
    <row r="78" spans="1:10" ht="30" customHeight="1" x14ac:dyDescent="0.2">
      <c r="B78" s="355" t="s">
        <v>391</v>
      </c>
      <c r="C78" s="251">
        <v>436</v>
      </c>
      <c r="D78" s="250" t="s">
        <v>248</v>
      </c>
      <c r="E78" s="1092"/>
      <c r="F78" s="1092"/>
      <c r="G78" s="1092"/>
      <c r="H78" s="1092"/>
      <c r="I78" s="1092"/>
      <c r="J78" s="415">
        <f>SUM(E78:I78)</f>
        <v>0</v>
      </c>
    </row>
    <row r="79" spans="1:10" ht="21.95" customHeight="1" x14ac:dyDescent="0.2">
      <c r="B79" s="657" t="s">
        <v>1171</v>
      </c>
      <c r="C79" s="234">
        <v>438</v>
      </c>
      <c r="D79" s="267" t="s">
        <v>251</v>
      </c>
      <c r="E79" s="809"/>
      <c r="F79" s="809"/>
      <c r="G79" s="809"/>
      <c r="H79" s="809"/>
      <c r="I79" s="809"/>
      <c r="J79" s="227">
        <f>SUM(E79:I79)</f>
        <v>0</v>
      </c>
    </row>
    <row r="80" spans="1:10" ht="21.95" customHeight="1" thickBot="1" x14ac:dyDescent="0.25">
      <c r="B80" s="233" t="s">
        <v>1106</v>
      </c>
      <c r="C80" s="236">
        <v>440</v>
      </c>
      <c r="D80" s="238" t="s">
        <v>248</v>
      </c>
      <c r="E80" s="240">
        <f>SUM(E78:E79)</f>
        <v>0</v>
      </c>
      <c r="F80" s="240">
        <f>SUM(F78:F79)</f>
        <v>0</v>
      </c>
      <c r="G80" s="240">
        <f>SUM(G78:G79)</f>
        <v>0</v>
      </c>
      <c r="H80" s="240">
        <f>SUM(H78:H79)</f>
        <v>0</v>
      </c>
      <c r="I80" s="240">
        <f>SUM(I78:I79)</f>
        <v>0</v>
      </c>
      <c r="J80" s="241">
        <f>SUM(E80:I80)</f>
        <v>0</v>
      </c>
    </row>
    <row r="81" spans="1:11" ht="13.5" thickTop="1" x14ac:dyDescent="0.2"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1" x14ac:dyDescent="0.2">
      <c r="B82" s="108"/>
      <c r="C82" s="108"/>
      <c r="D82" s="108"/>
      <c r="E82" s="108"/>
      <c r="F82" s="108"/>
      <c r="G82" s="108"/>
      <c r="H82" s="108"/>
      <c r="I82" s="108"/>
      <c r="J82" s="108"/>
    </row>
    <row r="83" spans="1:11" ht="13.5" thickBot="1" x14ac:dyDescent="0.25">
      <c r="B83" s="108"/>
      <c r="C83" s="108"/>
      <c r="D83" s="108"/>
      <c r="E83" s="108"/>
      <c r="F83" s="108"/>
      <c r="G83" s="108"/>
      <c r="H83" s="108"/>
      <c r="I83" s="108"/>
      <c r="J83" s="108"/>
    </row>
    <row r="84" spans="1:11" ht="13.5" thickTop="1" x14ac:dyDescent="0.2">
      <c r="B84" s="242"/>
      <c r="C84" s="353"/>
      <c r="D84" s="353" t="s">
        <v>25</v>
      </c>
      <c r="E84" s="353" t="s">
        <v>235</v>
      </c>
      <c r="F84" s="353" t="s">
        <v>236</v>
      </c>
      <c r="G84" s="353" t="s">
        <v>293</v>
      </c>
      <c r="H84" s="353" t="s">
        <v>294</v>
      </c>
      <c r="I84" s="353" t="s">
        <v>295</v>
      </c>
      <c r="J84" s="293" t="s">
        <v>296</v>
      </c>
    </row>
    <row r="85" spans="1:11" ht="51" x14ac:dyDescent="0.2">
      <c r="B85" s="198" t="s">
        <v>1172</v>
      </c>
      <c r="C85" s="201" t="s">
        <v>238</v>
      </c>
      <c r="D85" s="201"/>
      <c r="E85" s="201" t="s">
        <v>1148</v>
      </c>
      <c r="F85" s="201" t="s">
        <v>1149</v>
      </c>
      <c r="G85" s="201" t="s">
        <v>1150</v>
      </c>
      <c r="H85" s="201" t="s">
        <v>1117</v>
      </c>
      <c r="I85" s="201" t="s">
        <v>1151</v>
      </c>
      <c r="J85" s="202" t="s">
        <v>340</v>
      </c>
    </row>
    <row r="86" spans="1:11" x14ac:dyDescent="0.2">
      <c r="B86" s="198"/>
      <c r="C86" s="201" t="s">
        <v>242</v>
      </c>
      <c r="D86" s="201"/>
      <c r="E86" s="201"/>
      <c r="F86" s="201"/>
      <c r="G86" s="201"/>
      <c r="H86" s="201"/>
      <c r="I86" s="201"/>
      <c r="J86" s="202"/>
    </row>
    <row r="87" spans="1:11" ht="13.5" thickBot="1" x14ac:dyDescent="0.25">
      <c r="B87" s="198"/>
      <c r="C87" s="278"/>
      <c r="D87" s="278"/>
      <c r="E87" s="278" t="s">
        <v>243</v>
      </c>
      <c r="F87" s="278" t="s">
        <v>243</v>
      </c>
      <c r="G87" s="278" t="s">
        <v>243</v>
      </c>
      <c r="H87" s="278" t="s">
        <v>243</v>
      </c>
      <c r="I87" s="278" t="s">
        <v>243</v>
      </c>
      <c r="J87" s="202" t="s">
        <v>243</v>
      </c>
    </row>
    <row r="88" spans="1:11" ht="21.95" customHeight="1" x14ac:dyDescent="0.2">
      <c r="A88" s="99"/>
      <c r="B88" s="428" t="s">
        <v>1173</v>
      </c>
      <c r="C88" s="207">
        <v>450</v>
      </c>
      <c r="D88" s="208" t="s">
        <v>248</v>
      </c>
      <c r="E88" s="451"/>
      <c r="F88" s="451"/>
      <c r="G88" s="451"/>
      <c r="H88" s="451"/>
      <c r="I88" s="451"/>
      <c r="J88" s="452"/>
      <c r="K88" s="99"/>
    </row>
    <row r="89" spans="1:11" hidden="1" x14ac:dyDescent="0.2">
      <c r="A89" s="438"/>
      <c r="B89" s="108" t="s">
        <v>304</v>
      </c>
      <c r="C89" s="97">
        <v>460</v>
      </c>
      <c r="D89" s="108" t="s">
        <v>251</v>
      </c>
      <c r="E89" s="108"/>
      <c r="F89" s="108"/>
      <c r="G89" s="108"/>
      <c r="H89" s="108"/>
      <c r="I89" s="108"/>
      <c r="J89" s="108"/>
    </row>
    <row r="90" spans="1:11" hidden="1" x14ac:dyDescent="0.2">
      <c r="A90" s="106"/>
      <c r="B90" s="97" t="s">
        <v>303</v>
      </c>
      <c r="C90" s="97">
        <v>470</v>
      </c>
      <c r="D90" s="108" t="s">
        <v>251</v>
      </c>
      <c r="E90" s="97"/>
      <c r="F90" s="97"/>
      <c r="G90" s="97"/>
      <c r="H90" s="97"/>
      <c r="I90" s="97"/>
      <c r="J90" s="97"/>
    </row>
    <row r="91" spans="1:11" hidden="1" x14ac:dyDescent="0.2">
      <c r="A91" s="438"/>
      <c r="B91" s="108" t="s">
        <v>387</v>
      </c>
      <c r="C91" s="97">
        <v>480</v>
      </c>
      <c r="D91" s="108" t="s">
        <v>251</v>
      </c>
      <c r="E91" s="108"/>
      <c r="F91" s="108"/>
      <c r="G91" s="108"/>
      <c r="H91" s="108"/>
      <c r="I91" s="108"/>
      <c r="J91" s="108"/>
    </row>
    <row r="92" spans="1:11" ht="21.95" customHeight="1" x14ac:dyDescent="0.2">
      <c r="A92" s="99"/>
      <c r="B92" s="254" t="s">
        <v>389</v>
      </c>
      <c r="C92" s="251">
        <v>500</v>
      </c>
      <c r="D92" s="252" t="s">
        <v>251</v>
      </c>
      <c r="E92" s="567"/>
      <c r="F92" s="567"/>
      <c r="G92" s="567"/>
      <c r="H92" s="567"/>
      <c r="I92" s="567"/>
      <c r="J92" s="456"/>
      <c r="K92" s="99"/>
    </row>
    <row r="93" spans="1:11" ht="30" customHeight="1" x14ac:dyDescent="0.2">
      <c r="A93" s="99"/>
      <c r="B93" s="336" t="s">
        <v>1058</v>
      </c>
      <c r="C93" s="218">
        <v>520</v>
      </c>
      <c r="D93" s="219" t="s">
        <v>248</v>
      </c>
      <c r="E93" s="460"/>
      <c r="F93" s="460"/>
      <c r="G93" s="460"/>
      <c r="H93" s="460"/>
      <c r="I93" s="460"/>
      <c r="J93" s="457"/>
      <c r="K93" s="99"/>
    </row>
    <row r="94" spans="1:11" ht="27" customHeight="1" x14ac:dyDescent="0.2">
      <c r="B94" s="266" t="s">
        <v>401</v>
      </c>
      <c r="C94" s="218">
        <v>524</v>
      </c>
      <c r="D94" s="219" t="s">
        <v>248</v>
      </c>
      <c r="E94" s="460"/>
      <c r="F94" s="460"/>
      <c r="G94" s="460"/>
      <c r="H94" s="460"/>
      <c r="I94" s="460"/>
      <c r="J94" s="457"/>
    </row>
    <row r="95" spans="1:11" ht="27" customHeight="1" x14ac:dyDescent="0.2">
      <c r="B95" s="266" t="s">
        <v>402</v>
      </c>
      <c r="C95" s="218">
        <v>526</v>
      </c>
      <c r="D95" s="219" t="s">
        <v>251</v>
      </c>
      <c r="E95" s="460"/>
      <c r="F95" s="460"/>
      <c r="G95" s="460"/>
      <c r="H95" s="460"/>
      <c r="I95" s="460"/>
      <c r="J95" s="457"/>
    </row>
    <row r="96" spans="1:11" ht="21.95" customHeight="1" x14ac:dyDescent="0.2">
      <c r="A96" s="99"/>
      <c r="B96" s="231" t="s">
        <v>1060</v>
      </c>
      <c r="C96" s="218">
        <v>530</v>
      </c>
      <c r="D96" s="219" t="s">
        <v>248</v>
      </c>
      <c r="E96" s="459"/>
      <c r="F96" s="459"/>
      <c r="G96" s="459"/>
      <c r="H96" s="459"/>
      <c r="I96" s="459"/>
      <c r="J96" s="457"/>
      <c r="K96" s="99"/>
    </row>
    <row r="97" spans="1:11" ht="21.95" customHeight="1" x14ac:dyDescent="0.2">
      <c r="A97" s="99"/>
      <c r="B97" s="231" t="s">
        <v>1153</v>
      </c>
      <c r="C97" s="218">
        <v>540</v>
      </c>
      <c r="D97" s="219" t="s">
        <v>248</v>
      </c>
      <c r="E97" s="459"/>
      <c r="F97" s="459"/>
      <c r="G97" s="459"/>
      <c r="H97" s="459"/>
      <c r="I97" s="459"/>
      <c r="J97" s="457"/>
      <c r="K97" s="99"/>
    </row>
    <row r="98" spans="1:11" ht="21.95" customHeight="1" x14ac:dyDescent="0.2">
      <c r="A98" s="99"/>
      <c r="B98" s="231" t="s">
        <v>1174</v>
      </c>
      <c r="C98" s="218">
        <v>550</v>
      </c>
      <c r="D98" s="219" t="s">
        <v>248</v>
      </c>
      <c r="E98" s="459"/>
      <c r="F98" s="459"/>
      <c r="G98" s="459"/>
      <c r="H98" s="459"/>
      <c r="I98" s="459"/>
      <c r="J98" s="457"/>
      <c r="K98" s="99"/>
    </row>
    <row r="99" spans="1:11" ht="21.95" customHeight="1" x14ac:dyDescent="0.2">
      <c r="A99" s="99"/>
      <c r="B99" s="231" t="s">
        <v>1175</v>
      </c>
      <c r="C99" s="218">
        <v>560</v>
      </c>
      <c r="D99" s="219" t="s">
        <v>248</v>
      </c>
      <c r="E99" s="459"/>
      <c r="F99" s="459"/>
      <c r="G99" s="459"/>
      <c r="H99" s="459"/>
      <c r="I99" s="459"/>
      <c r="J99" s="457"/>
      <c r="K99" s="99"/>
    </row>
    <row r="100" spans="1:11" ht="21.95" customHeight="1" x14ac:dyDescent="0.2">
      <c r="B100" s="231" t="s">
        <v>1064</v>
      </c>
      <c r="C100" s="218">
        <v>565</v>
      </c>
      <c r="D100" s="219" t="s">
        <v>248</v>
      </c>
      <c r="E100" s="460"/>
      <c r="F100" s="460"/>
      <c r="G100" s="460"/>
      <c r="H100" s="460"/>
      <c r="I100" s="460"/>
      <c r="J100" s="457"/>
    </row>
    <row r="101" spans="1:11" ht="21.95" customHeight="1" x14ac:dyDescent="0.2">
      <c r="A101" s="99"/>
      <c r="B101" s="231" t="s">
        <v>1065</v>
      </c>
      <c r="C101" s="218">
        <v>570</v>
      </c>
      <c r="D101" s="219" t="s">
        <v>251</v>
      </c>
      <c r="E101" s="459"/>
      <c r="F101" s="459"/>
      <c r="G101" s="459"/>
      <c r="H101" s="459"/>
      <c r="I101" s="459"/>
      <c r="J101" s="457"/>
      <c r="K101" s="99"/>
    </row>
    <row r="102" spans="1:11" ht="21.95" customHeight="1" x14ac:dyDescent="0.2">
      <c r="A102" s="99"/>
      <c r="B102" s="231" t="s">
        <v>1066</v>
      </c>
      <c r="C102" s="218">
        <v>580</v>
      </c>
      <c r="D102" s="219" t="s">
        <v>251</v>
      </c>
      <c r="E102" s="459"/>
      <c r="F102" s="459"/>
      <c r="G102" s="459"/>
      <c r="H102" s="459"/>
      <c r="I102" s="459"/>
      <c r="J102" s="457"/>
      <c r="K102" s="99"/>
    </row>
    <row r="103" spans="1:11" ht="21.95" customHeight="1" x14ac:dyDescent="0.2">
      <c r="A103" s="99"/>
      <c r="B103" s="231" t="s">
        <v>1067</v>
      </c>
      <c r="C103" s="218">
        <v>590</v>
      </c>
      <c r="D103" s="219" t="s">
        <v>245</v>
      </c>
      <c r="E103" s="459"/>
      <c r="F103" s="459"/>
      <c r="G103" s="459"/>
      <c r="H103" s="459"/>
      <c r="I103" s="459"/>
      <c r="J103" s="457"/>
      <c r="K103" s="99"/>
    </row>
    <row r="104" spans="1:11" ht="21.95" customHeight="1" x14ac:dyDescent="0.2">
      <c r="A104" s="99"/>
      <c r="B104" s="231" t="s">
        <v>1155</v>
      </c>
      <c r="C104" s="218">
        <v>600</v>
      </c>
      <c r="D104" s="219" t="s">
        <v>248</v>
      </c>
      <c r="E104" s="458"/>
      <c r="F104" s="458"/>
      <c r="G104" s="458"/>
      <c r="H104" s="458"/>
      <c r="I104" s="458"/>
      <c r="J104" s="457"/>
      <c r="K104" s="99"/>
    </row>
    <row r="105" spans="1:11" ht="21.95" customHeight="1" x14ac:dyDescent="0.2">
      <c r="A105" s="99"/>
      <c r="B105" s="231" t="s">
        <v>1070</v>
      </c>
      <c r="C105" s="218">
        <v>610</v>
      </c>
      <c r="D105" s="219" t="s">
        <v>245</v>
      </c>
      <c r="E105" s="459"/>
      <c r="F105" s="459"/>
      <c r="G105" s="459"/>
      <c r="H105" s="459"/>
      <c r="I105" s="459"/>
      <c r="J105" s="457"/>
      <c r="K105" s="99"/>
    </row>
    <row r="106" spans="1:11" ht="21.95" customHeight="1" x14ac:dyDescent="0.2">
      <c r="A106" s="99"/>
      <c r="B106" s="231" t="s">
        <v>1071</v>
      </c>
      <c r="C106" s="218">
        <v>620</v>
      </c>
      <c r="D106" s="219" t="s">
        <v>248</v>
      </c>
      <c r="E106" s="459"/>
      <c r="F106" s="459"/>
      <c r="G106" s="459"/>
      <c r="H106" s="459"/>
      <c r="I106" s="459"/>
      <c r="J106" s="457"/>
      <c r="K106" s="99"/>
    </row>
    <row r="107" spans="1:11" ht="30" customHeight="1" x14ac:dyDescent="0.2">
      <c r="A107" s="99"/>
      <c r="B107" s="336" t="s">
        <v>1157</v>
      </c>
      <c r="C107" s="218">
        <v>625</v>
      </c>
      <c r="D107" s="219" t="s">
        <v>251</v>
      </c>
      <c r="E107" s="460"/>
      <c r="F107" s="460"/>
      <c r="G107" s="460"/>
      <c r="H107" s="460"/>
      <c r="I107" s="460"/>
      <c r="J107" s="457"/>
    </row>
    <row r="108" spans="1:11" ht="21.95" customHeight="1" x14ac:dyDescent="0.2">
      <c r="B108" s="231" t="s">
        <v>508</v>
      </c>
      <c r="C108" s="218">
        <v>630</v>
      </c>
      <c r="D108" s="219" t="s">
        <v>245</v>
      </c>
      <c r="E108" s="300"/>
      <c r="F108" s="300"/>
      <c r="G108" s="300"/>
      <c r="H108" s="300"/>
      <c r="I108" s="300"/>
      <c r="J108" s="298"/>
    </row>
    <row r="109" spans="1:11" ht="27" customHeight="1" x14ac:dyDescent="0.2">
      <c r="B109" s="1108" t="s">
        <v>1074</v>
      </c>
      <c r="C109" s="218">
        <v>640</v>
      </c>
      <c r="D109" s="219" t="s">
        <v>251</v>
      </c>
      <c r="E109" s="300"/>
      <c r="F109" s="300"/>
      <c r="G109" s="300"/>
      <c r="H109" s="300"/>
      <c r="I109" s="300"/>
      <c r="J109" s="305"/>
    </row>
    <row r="110" spans="1:11" hidden="1" x14ac:dyDescent="0.2">
      <c r="A110" s="438"/>
      <c r="B110" s="108"/>
      <c r="C110" s="97"/>
      <c r="D110" s="108"/>
      <c r="E110" s="108"/>
      <c r="F110" s="108"/>
      <c r="G110" s="108"/>
      <c r="H110" s="108"/>
      <c r="I110" s="108"/>
      <c r="J110" s="108"/>
    </row>
    <row r="111" spans="1:11" ht="21.95" customHeight="1" thickBot="1" x14ac:dyDescent="0.25">
      <c r="B111" s="198" t="s">
        <v>1176</v>
      </c>
      <c r="C111" s="204">
        <v>650</v>
      </c>
      <c r="D111" s="147" t="s">
        <v>248</v>
      </c>
      <c r="E111" s="800"/>
      <c r="F111" s="800"/>
      <c r="G111" s="800"/>
      <c r="H111" s="800"/>
      <c r="I111" s="800"/>
      <c r="J111" s="801"/>
    </row>
    <row r="112" spans="1:11" ht="21.95" customHeight="1" x14ac:dyDescent="0.2">
      <c r="A112" s="99"/>
      <c r="B112" s="428" t="s">
        <v>1177</v>
      </c>
      <c r="C112" s="207">
        <v>660</v>
      </c>
      <c r="D112" s="208" t="s">
        <v>248</v>
      </c>
      <c r="E112" s="463"/>
      <c r="F112" s="463"/>
      <c r="G112" s="463"/>
      <c r="H112" s="463"/>
      <c r="I112" s="463"/>
      <c r="J112" s="465"/>
      <c r="K112" s="99"/>
    </row>
    <row r="113" spans="1:49" hidden="1" x14ac:dyDescent="0.2">
      <c r="A113" s="99"/>
      <c r="B113" s="100" t="s">
        <v>304</v>
      </c>
      <c r="C113" s="102">
        <v>670</v>
      </c>
      <c r="D113" s="100" t="s">
        <v>251</v>
      </c>
      <c r="E113" s="438"/>
      <c r="F113" s="438"/>
      <c r="G113" s="438"/>
      <c r="H113" s="438"/>
      <c r="I113" s="438"/>
      <c r="J113" s="438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</row>
    <row r="114" spans="1:49" hidden="1" x14ac:dyDescent="0.2">
      <c r="A114" s="99"/>
      <c r="B114" s="102" t="s">
        <v>303</v>
      </c>
      <c r="C114" s="102">
        <v>680</v>
      </c>
      <c r="D114" s="100" t="s">
        <v>251</v>
      </c>
      <c r="E114" s="823"/>
      <c r="F114" s="823"/>
      <c r="G114" s="823"/>
      <c r="H114" s="823"/>
      <c r="I114" s="823"/>
      <c r="J114" s="823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</row>
    <row r="115" spans="1:49" hidden="1" x14ac:dyDescent="0.2">
      <c r="A115" s="99"/>
      <c r="B115" s="100" t="s">
        <v>387</v>
      </c>
      <c r="C115" s="102">
        <v>690</v>
      </c>
      <c r="D115" s="100" t="s">
        <v>251</v>
      </c>
      <c r="E115" s="438"/>
      <c r="F115" s="438"/>
      <c r="G115" s="438"/>
      <c r="H115" s="438"/>
      <c r="I115" s="438"/>
      <c r="J115" s="438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</row>
    <row r="116" spans="1:49" hidden="1" x14ac:dyDescent="0.2">
      <c r="A116" s="99"/>
      <c r="B116" s="100" t="s">
        <v>1178</v>
      </c>
      <c r="C116" s="102">
        <v>700</v>
      </c>
      <c r="D116" s="100" t="s">
        <v>251</v>
      </c>
      <c r="E116" s="823"/>
      <c r="F116" s="823"/>
      <c r="G116" s="823"/>
      <c r="H116" s="823"/>
      <c r="I116" s="823"/>
      <c r="J116" s="823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</row>
    <row r="117" spans="1:49" ht="21.95" customHeight="1" x14ac:dyDescent="0.2">
      <c r="A117" s="99"/>
      <c r="B117" s="249" t="s">
        <v>389</v>
      </c>
      <c r="C117" s="251">
        <v>710</v>
      </c>
      <c r="D117" s="252" t="s">
        <v>251</v>
      </c>
      <c r="E117" s="306"/>
      <c r="F117" s="306"/>
      <c r="G117" s="306"/>
      <c r="H117" s="306"/>
      <c r="I117" s="306"/>
      <c r="J117" s="802"/>
      <c r="K117" s="99"/>
    </row>
    <row r="118" spans="1:49" hidden="1" x14ac:dyDescent="0.2">
      <c r="A118" s="99"/>
      <c r="B118" s="100" t="s">
        <v>1079</v>
      </c>
      <c r="C118" s="102">
        <v>720</v>
      </c>
      <c r="D118" s="100" t="s">
        <v>251</v>
      </c>
      <c r="E118" s="438"/>
      <c r="F118" s="438"/>
      <c r="G118" s="438"/>
      <c r="H118" s="438"/>
      <c r="I118" s="438"/>
      <c r="J118" s="438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</row>
    <row r="119" spans="1:49" ht="30" customHeight="1" x14ac:dyDescent="0.2">
      <c r="A119" s="99"/>
      <c r="B119" s="355" t="s">
        <v>1162</v>
      </c>
      <c r="C119" s="251">
        <v>730</v>
      </c>
      <c r="D119" s="252" t="s">
        <v>248</v>
      </c>
      <c r="E119" s="663"/>
      <c r="F119" s="663"/>
      <c r="G119" s="663"/>
      <c r="H119" s="663"/>
      <c r="I119" s="663"/>
      <c r="J119" s="801"/>
      <c r="K119" s="99"/>
    </row>
    <row r="120" spans="1:49" ht="21.95" customHeight="1" x14ac:dyDescent="0.2">
      <c r="A120" s="99"/>
      <c r="B120" s="231" t="s">
        <v>1065</v>
      </c>
      <c r="C120" s="218">
        <v>740</v>
      </c>
      <c r="D120" s="219" t="s">
        <v>251</v>
      </c>
      <c r="E120" s="300"/>
      <c r="F120" s="300"/>
      <c r="G120" s="300"/>
      <c r="H120" s="300"/>
      <c r="I120" s="300"/>
      <c r="J120" s="298"/>
      <c r="K120" s="99"/>
    </row>
    <row r="121" spans="1:49" ht="21.95" customHeight="1" x14ac:dyDescent="0.2">
      <c r="A121" s="99"/>
      <c r="B121" s="231" t="s">
        <v>1066</v>
      </c>
      <c r="C121" s="218">
        <v>750</v>
      </c>
      <c r="D121" s="219" t="s">
        <v>251</v>
      </c>
      <c r="E121" s="300"/>
      <c r="F121" s="300"/>
      <c r="G121" s="300"/>
      <c r="H121" s="300"/>
      <c r="I121" s="300"/>
      <c r="J121" s="298"/>
      <c r="K121" s="99"/>
    </row>
    <row r="122" spans="1:49" ht="21.95" customHeight="1" x14ac:dyDescent="0.2">
      <c r="A122" s="99"/>
      <c r="B122" s="231" t="s">
        <v>1067</v>
      </c>
      <c r="C122" s="218">
        <v>760</v>
      </c>
      <c r="D122" s="219" t="s">
        <v>245</v>
      </c>
      <c r="E122" s="300"/>
      <c r="F122" s="300"/>
      <c r="G122" s="300"/>
      <c r="H122" s="300"/>
      <c r="I122" s="300"/>
      <c r="J122" s="298"/>
      <c r="K122" s="99"/>
    </row>
    <row r="123" spans="1:49" ht="21.95" customHeight="1" x14ac:dyDescent="0.2">
      <c r="A123" s="99"/>
      <c r="B123" s="231" t="s">
        <v>1155</v>
      </c>
      <c r="C123" s="218">
        <v>770</v>
      </c>
      <c r="D123" s="219" t="s">
        <v>248</v>
      </c>
      <c r="E123" s="300"/>
      <c r="F123" s="300"/>
      <c r="G123" s="300"/>
      <c r="H123" s="300"/>
      <c r="I123" s="300"/>
      <c r="J123" s="298"/>
      <c r="K123" s="99"/>
    </row>
    <row r="124" spans="1:49" ht="27" customHeight="1" x14ac:dyDescent="0.2">
      <c r="A124" s="99"/>
      <c r="B124" s="266" t="s">
        <v>1081</v>
      </c>
      <c r="C124" s="218">
        <v>780</v>
      </c>
      <c r="D124" s="219" t="s">
        <v>248</v>
      </c>
      <c r="E124" s="300"/>
      <c r="F124" s="300"/>
      <c r="G124" s="300"/>
      <c r="H124" s="300"/>
      <c r="I124" s="300"/>
      <c r="J124" s="298"/>
      <c r="K124" s="99"/>
    </row>
    <row r="125" spans="1:49" ht="21.95" customHeight="1" x14ac:dyDescent="0.2">
      <c r="A125" s="99"/>
      <c r="B125" s="231" t="s">
        <v>1082</v>
      </c>
      <c r="C125" s="218">
        <v>790</v>
      </c>
      <c r="D125" s="219" t="s">
        <v>245</v>
      </c>
      <c r="E125" s="300"/>
      <c r="F125" s="300"/>
      <c r="G125" s="300"/>
      <c r="H125" s="300"/>
      <c r="I125" s="300"/>
      <c r="J125" s="298"/>
      <c r="K125" s="99"/>
    </row>
    <row r="126" spans="1:49" ht="30" customHeight="1" x14ac:dyDescent="0.2">
      <c r="B126" s="336" t="s">
        <v>1163</v>
      </c>
      <c r="C126" s="218">
        <v>795</v>
      </c>
      <c r="D126" s="219" t="s">
        <v>251</v>
      </c>
      <c r="E126" s="460"/>
      <c r="F126" s="460"/>
      <c r="G126" s="460"/>
      <c r="H126" s="460"/>
      <c r="I126" s="460"/>
      <c r="J126" s="457"/>
    </row>
    <row r="127" spans="1:49" ht="21.95" customHeight="1" x14ac:dyDescent="0.2">
      <c r="A127" s="99"/>
      <c r="B127" s="230" t="s">
        <v>1084</v>
      </c>
      <c r="C127" s="218">
        <v>800</v>
      </c>
      <c r="D127" s="219" t="s">
        <v>248</v>
      </c>
      <c r="E127" s="300"/>
      <c r="F127" s="300"/>
      <c r="G127" s="300"/>
      <c r="H127" s="300"/>
      <c r="I127" s="300"/>
      <c r="J127" s="305"/>
      <c r="K127" s="99"/>
    </row>
    <row r="128" spans="1:49" hidden="1" x14ac:dyDescent="0.2">
      <c r="A128" s="438"/>
      <c r="B128" s="108"/>
      <c r="C128" s="108"/>
      <c r="D128" s="108"/>
      <c r="E128" s="108"/>
      <c r="F128" s="108"/>
      <c r="G128" s="108"/>
      <c r="H128" s="108"/>
      <c r="I128" s="108"/>
      <c r="J128" s="108"/>
    </row>
    <row r="129" spans="1:11" ht="21.95" customHeight="1" x14ac:dyDescent="0.2">
      <c r="B129" s="254" t="s">
        <v>508</v>
      </c>
      <c r="C129" s="251">
        <v>810</v>
      </c>
      <c r="D129" s="252" t="s">
        <v>245</v>
      </c>
      <c r="E129" s="306"/>
      <c r="F129" s="306"/>
      <c r="G129" s="306"/>
      <c r="H129" s="306"/>
      <c r="I129" s="306"/>
      <c r="J129" s="307"/>
    </row>
    <row r="130" spans="1:11" ht="27" customHeight="1" x14ac:dyDescent="0.2">
      <c r="B130" s="1108" t="s">
        <v>1074</v>
      </c>
      <c r="C130" s="218">
        <v>820</v>
      </c>
      <c r="D130" s="219" t="s">
        <v>251</v>
      </c>
      <c r="E130" s="300"/>
      <c r="F130" s="300"/>
      <c r="G130" s="300"/>
      <c r="H130" s="300"/>
      <c r="I130" s="300"/>
      <c r="J130" s="305"/>
    </row>
    <row r="131" spans="1:11" hidden="1" x14ac:dyDescent="0.2">
      <c r="A131" s="438"/>
      <c r="B131" s="108"/>
      <c r="C131" s="108"/>
      <c r="D131" s="108"/>
      <c r="E131" s="108"/>
      <c r="F131" s="108"/>
      <c r="G131" s="108"/>
      <c r="H131" s="108"/>
      <c r="I131" s="108"/>
      <c r="J131" s="108"/>
    </row>
    <row r="132" spans="1:11" ht="21.95" customHeight="1" thickBot="1" x14ac:dyDescent="0.25">
      <c r="B132" s="198" t="s">
        <v>1179</v>
      </c>
      <c r="C132" s="199">
        <v>830</v>
      </c>
      <c r="D132" s="132" t="s">
        <v>248</v>
      </c>
      <c r="E132" s="820"/>
      <c r="F132" s="820"/>
      <c r="G132" s="820"/>
      <c r="H132" s="820"/>
      <c r="I132" s="820"/>
      <c r="J132" s="801"/>
    </row>
    <row r="133" spans="1:11" ht="21.95" customHeight="1" thickBot="1" x14ac:dyDescent="0.25">
      <c r="A133" s="99"/>
      <c r="B133" s="812" t="s">
        <v>1137</v>
      </c>
      <c r="C133" s="814">
        <v>840</v>
      </c>
      <c r="D133" s="815" t="s">
        <v>248</v>
      </c>
      <c r="E133" s="821">
        <f>'1314TRU13_INT_P16'!E56</f>
        <v>0</v>
      </c>
      <c r="F133" s="821">
        <f>'1314TRU13_INT_P16'!F56</f>
        <v>0</v>
      </c>
      <c r="G133" s="821">
        <f>'1314TRU13_INT_P16'!G56</f>
        <v>0</v>
      </c>
      <c r="H133" s="821">
        <f>'1314TRU13_INT_P16'!H56</f>
        <v>0</v>
      </c>
      <c r="I133" s="821">
        <f>'1314TRU13_INT_P16'!I56</f>
        <v>0</v>
      </c>
      <c r="J133" s="822">
        <f>'1314TRU13_INT_P16'!J56</f>
        <v>0</v>
      </c>
      <c r="K133" s="99"/>
    </row>
    <row r="134" spans="1:11" ht="13.5" hidden="1" thickTop="1" x14ac:dyDescent="0.2">
      <c r="A134" s="105"/>
      <c r="B134" s="108" t="s">
        <v>1089</v>
      </c>
      <c r="C134" s="97">
        <v>850</v>
      </c>
      <c r="D134" s="108" t="s">
        <v>248</v>
      </c>
      <c r="E134" s="108"/>
      <c r="F134" s="108"/>
      <c r="G134" s="108"/>
      <c r="H134" s="108"/>
      <c r="I134" s="108"/>
      <c r="J134" s="97"/>
    </row>
    <row r="135" spans="1:11" ht="13.5" hidden="1" thickTop="1" x14ac:dyDescent="0.2">
      <c r="A135" s="105"/>
      <c r="B135" s="108" t="s">
        <v>1090</v>
      </c>
      <c r="C135" s="97">
        <v>860</v>
      </c>
      <c r="D135" s="108" t="s">
        <v>248</v>
      </c>
      <c r="E135" s="108"/>
      <c r="F135" s="108"/>
      <c r="G135" s="108"/>
      <c r="H135" s="108"/>
      <c r="I135" s="108"/>
      <c r="J135" s="97"/>
    </row>
    <row r="136" spans="1:11" ht="13.5" hidden="1" thickTop="1" x14ac:dyDescent="0.2">
      <c r="A136" s="105"/>
      <c r="B136" s="108" t="s">
        <v>1091</v>
      </c>
      <c r="C136" s="97">
        <v>870</v>
      </c>
      <c r="D136" s="108" t="s">
        <v>248</v>
      </c>
      <c r="E136" s="108"/>
      <c r="F136" s="108"/>
      <c r="G136" s="108"/>
      <c r="H136" s="108"/>
      <c r="I136" s="108"/>
      <c r="J136" s="97"/>
    </row>
    <row r="137" spans="1:11" ht="13.5" hidden="1" thickTop="1" x14ac:dyDescent="0.2">
      <c r="A137" s="105"/>
      <c r="B137" s="97" t="s">
        <v>1180</v>
      </c>
      <c r="C137" s="97">
        <v>880</v>
      </c>
      <c r="D137" s="108" t="s">
        <v>248</v>
      </c>
      <c r="E137" s="97"/>
      <c r="F137" s="97"/>
      <c r="G137" s="97"/>
      <c r="H137" s="97"/>
      <c r="I137" s="97"/>
      <c r="J137" s="97"/>
    </row>
    <row r="138" spans="1:11" ht="13.5" thickTop="1" x14ac:dyDescent="0.2"/>
    <row r="141" spans="1:11" hidden="1" x14ac:dyDescent="0.2">
      <c r="A141" s="99"/>
      <c r="D141" s="97" t="s">
        <v>25</v>
      </c>
      <c r="E141" s="97" t="s">
        <v>235</v>
      </c>
      <c r="F141" s="97" t="s">
        <v>236</v>
      </c>
      <c r="G141" s="97" t="s">
        <v>293</v>
      </c>
      <c r="H141" s="97" t="s">
        <v>294</v>
      </c>
      <c r="I141" s="97" t="s">
        <v>295</v>
      </c>
      <c r="J141" s="97" t="s">
        <v>296</v>
      </c>
    </row>
    <row r="142" spans="1:11" hidden="1" x14ac:dyDescent="0.2">
      <c r="A142" s="143"/>
      <c r="B142" s="97" t="s">
        <v>1147</v>
      </c>
      <c r="C142" s="97" t="s">
        <v>238</v>
      </c>
      <c r="E142" s="97" t="s">
        <v>1148</v>
      </c>
      <c r="F142" s="97" t="s">
        <v>1149</v>
      </c>
      <c r="G142" s="97" t="s">
        <v>1150</v>
      </c>
      <c r="H142" s="97" t="s">
        <v>1117</v>
      </c>
      <c r="I142" s="97" t="s">
        <v>1151</v>
      </c>
      <c r="J142" s="97" t="s">
        <v>340</v>
      </c>
    </row>
    <row r="143" spans="1:11" hidden="1" x14ac:dyDescent="0.2">
      <c r="A143" s="99"/>
      <c r="C143" s="97" t="s">
        <v>242</v>
      </c>
    </row>
    <row r="144" spans="1:11" hidden="1" x14ac:dyDescent="0.2">
      <c r="A144" s="99"/>
      <c r="E144" s="97" t="s">
        <v>243</v>
      </c>
      <c r="F144" s="97" t="s">
        <v>243</v>
      </c>
      <c r="G144" s="97" t="s">
        <v>243</v>
      </c>
      <c r="H144" s="97" t="s">
        <v>243</v>
      </c>
      <c r="I144" s="97" t="s">
        <v>243</v>
      </c>
      <c r="J144" s="97" t="s">
        <v>243</v>
      </c>
    </row>
    <row r="145" spans="1:4" hidden="1" x14ac:dyDescent="0.2">
      <c r="A145" s="105"/>
      <c r="B145" s="97" t="s">
        <v>1181</v>
      </c>
      <c r="C145" s="97">
        <v>890</v>
      </c>
      <c r="D145" t="s">
        <v>248</v>
      </c>
    </row>
    <row r="146" spans="1:4" hidden="1" x14ac:dyDescent="0.2"/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A145 A134:A137 E132:J133 E129:J130 E119:J127 E117:J117 E111:J112 E92:J109 A90 E88:J88 E80:I80 J78:J80 A77 J76 A73:A75 E71:J71 E66 E63:I63 E60:I60 J57:J63 E55:J56 J52:J53 E49:I49 J42:J50 A41 E40:J40 A36:A39 E34:J35 A33 E30:I30 J19:J32 J16 F15:J15 A14 A12 E11:J11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78:I79 E61:I62 E57:I59 E52:I53 E50:I50 E42:I48 E31:I32 E19:I29 E16:I16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50" fitToHeight="3" orientation="landscape" horizontalDpi="90" verticalDpi="90" r:id="rId1"/>
  <rowBreaks count="1" manualBreakCount="1">
    <brk id="64" max="5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BB112"/>
  <sheetViews>
    <sheetView zoomScale="70" zoomScaleNormal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2.75" x14ac:dyDescent="0.2"/>
  <cols>
    <col min="1" max="1" width="4.140625" customWidth="1"/>
    <col min="2" max="2" width="57.7109375" customWidth="1"/>
    <col min="3" max="4" width="10.140625" customWidth="1"/>
    <col min="5" max="5" width="14.7109375" customWidth="1"/>
    <col min="6" max="6" width="3.85546875" customWidth="1"/>
    <col min="7" max="7" width="4" hidden="1" customWidth="1"/>
    <col min="8" max="8" width="3.5703125" hidden="1" customWidth="1"/>
    <col min="9" max="51" width="3.42578125" hidden="1" customWidth="1"/>
    <col min="52" max="54" width="3.7109375" hidden="1" customWidth="1"/>
  </cols>
  <sheetData>
    <row r="1" spans="1:5" ht="15.75" x14ac:dyDescent="0.25">
      <c r="A1" s="1131" t="s">
        <v>3726</v>
      </c>
      <c r="B1" s="1139" t="str">
        <f>OrgName</f>
        <v>ZZZ NHS TRUST</v>
      </c>
      <c r="C1" s="1162"/>
      <c r="D1" s="1134"/>
      <c r="E1" s="1177" t="str">
        <f>HYPERLINK(CHAR(35)&amp;"1415TRU_Index_P13"&amp;"!A1","GoTo Index tab")</f>
        <v>GoTo Index tab</v>
      </c>
    </row>
    <row r="2" spans="1:5" x14ac:dyDescent="0.2">
      <c r="A2" s="1131" t="s">
        <v>3727</v>
      </c>
      <c r="B2" s="1137" t="str">
        <f>"Org Code: " &amp; Orgcode</f>
        <v>Org Code: ZZZ</v>
      </c>
      <c r="C2" s="1161"/>
      <c r="D2" s="1119"/>
      <c r="E2" s="1135"/>
    </row>
    <row r="3" spans="1:5" x14ac:dyDescent="0.2">
      <c r="A3" s="1131" t="s">
        <v>3741</v>
      </c>
      <c r="B3" s="1160" t="s">
        <v>3725</v>
      </c>
      <c r="C3" s="1163"/>
      <c r="D3" s="1125"/>
      <c r="E3" s="1136"/>
    </row>
    <row r="4" spans="1:5" x14ac:dyDescent="0.2">
      <c r="B4" s="102" t="s">
        <v>1183</v>
      </c>
      <c r="C4" s="172"/>
      <c r="D4" s="97"/>
    </row>
    <row r="5" spans="1:5" x14ac:dyDescent="0.2">
      <c r="B5" s="103" t="s">
        <v>66</v>
      </c>
      <c r="C5" s="172"/>
    </row>
    <row r="6" spans="1:5" ht="13.5" thickBot="1" x14ac:dyDescent="0.25">
      <c r="C6" s="172"/>
    </row>
    <row r="7" spans="1:5" ht="13.5" thickTop="1" x14ac:dyDescent="0.2">
      <c r="B7" s="242"/>
      <c r="C7" s="195"/>
      <c r="D7" s="353" t="s">
        <v>25</v>
      </c>
      <c r="E7" s="293" t="s">
        <v>235</v>
      </c>
    </row>
    <row r="8" spans="1:5" ht="25.5" x14ac:dyDescent="0.2">
      <c r="B8" s="198" t="s">
        <v>1184</v>
      </c>
      <c r="C8" s="199" t="s">
        <v>238</v>
      </c>
      <c r="D8" s="201"/>
      <c r="E8" s="202" t="s">
        <v>1185</v>
      </c>
    </row>
    <row r="9" spans="1:5" ht="13.5" thickBot="1" x14ac:dyDescent="0.25">
      <c r="B9" s="198"/>
      <c r="C9" s="204" t="s">
        <v>242</v>
      </c>
      <c r="D9" s="278"/>
      <c r="E9" s="202" t="s">
        <v>243</v>
      </c>
    </row>
    <row r="10" spans="1:5" ht="30" customHeight="1" x14ac:dyDescent="0.2">
      <c r="B10" s="1005" t="s">
        <v>1186</v>
      </c>
      <c r="C10" s="763"/>
      <c r="D10" s="317"/>
      <c r="E10" s="318"/>
    </row>
    <row r="11" spans="1:5" ht="21.95" customHeight="1" x14ac:dyDescent="0.2">
      <c r="B11" s="188" t="s">
        <v>1187</v>
      </c>
      <c r="C11" s="251">
        <v>100</v>
      </c>
      <c r="D11" s="250" t="s">
        <v>251</v>
      </c>
      <c r="E11" s="824"/>
    </row>
    <row r="12" spans="1:5" ht="21.95" customHeight="1" x14ac:dyDescent="0.2">
      <c r="B12" s="213" t="s">
        <v>1188</v>
      </c>
      <c r="C12" s="218">
        <v>110</v>
      </c>
      <c r="D12" s="217" t="s">
        <v>251</v>
      </c>
      <c r="E12" s="825"/>
    </row>
    <row r="13" spans="1:5" ht="21.95" customHeight="1" x14ac:dyDescent="0.2">
      <c r="B13" s="213" t="s">
        <v>1189</v>
      </c>
      <c r="C13" s="218">
        <v>120</v>
      </c>
      <c r="D13" s="217" t="s">
        <v>251</v>
      </c>
      <c r="E13" s="825"/>
    </row>
    <row r="14" spans="1:5" ht="21.95" customHeight="1" x14ac:dyDescent="0.2">
      <c r="B14" s="226" t="s">
        <v>1190</v>
      </c>
      <c r="C14" s="218">
        <v>130</v>
      </c>
      <c r="D14" s="217" t="s">
        <v>251</v>
      </c>
      <c r="E14" s="227">
        <f>SUM(E11:E13)</f>
        <v>0</v>
      </c>
    </row>
    <row r="15" spans="1:5" ht="21.95" customHeight="1" x14ac:dyDescent="0.2">
      <c r="B15" s="213" t="s">
        <v>1191</v>
      </c>
      <c r="C15" s="218">
        <v>140</v>
      </c>
      <c r="D15" s="217" t="s">
        <v>251</v>
      </c>
      <c r="E15" s="825"/>
    </row>
    <row r="16" spans="1:5" ht="21.95" customHeight="1" x14ac:dyDescent="0.2">
      <c r="B16" s="213" t="s">
        <v>1192</v>
      </c>
      <c r="C16" s="218">
        <v>150</v>
      </c>
      <c r="D16" s="217" t="s">
        <v>251</v>
      </c>
      <c r="E16" s="825"/>
    </row>
    <row r="17" spans="2:5" ht="21.95" customHeight="1" x14ac:dyDescent="0.2">
      <c r="B17" s="213" t="s">
        <v>1193</v>
      </c>
      <c r="C17" s="218">
        <v>160</v>
      </c>
      <c r="D17" s="217" t="s">
        <v>251</v>
      </c>
      <c r="E17" s="825"/>
    </row>
    <row r="18" spans="2:5" ht="21.95" customHeight="1" x14ac:dyDescent="0.2">
      <c r="B18" s="213" t="s">
        <v>1194</v>
      </c>
      <c r="C18" s="218">
        <v>170</v>
      </c>
      <c r="D18" s="217" t="s">
        <v>251</v>
      </c>
      <c r="E18" s="825"/>
    </row>
    <row r="19" spans="2:5" ht="21.95" customHeight="1" thickBot="1" x14ac:dyDescent="0.25">
      <c r="B19" s="826" t="s">
        <v>1195</v>
      </c>
      <c r="C19" s="358">
        <v>180</v>
      </c>
      <c r="D19" s="357" t="s">
        <v>251</v>
      </c>
      <c r="E19" s="827">
        <f>SUM(E15:E18)</f>
        <v>0</v>
      </c>
    </row>
    <row r="20" spans="2:5" hidden="1" x14ac:dyDescent="0.2">
      <c r="B20" s="97" t="s">
        <v>1196</v>
      </c>
      <c r="C20" s="172"/>
      <c r="D20" s="157"/>
      <c r="E20" s="104"/>
    </row>
    <row r="21" spans="2:5" hidden="1" x14ac:dyDescent="0.2">
      <c r="B21" t="s">
        <v>1187</v>
      </c>
      <c r="C21" s="172">
        <v>190</v>
      </c>
      <c r="D21" s="157" t="s">
        <v>251</v>
      </c>
      <c r="E21" s="108"/>
    </row>
    <row r="22" spans="2:5" hidden="1" x14ac:dyDescent="0.2">
      <c r="B22" t="s">
        <v>1188</v>
      </c>
      <c r="C22" s="172">
        <v>200</v>
      </c>
      <c r="D22" s="157" t="s">
        <v>251</v>
      </c>
      <c r="E22" s="108"/>
    </row>
    <row r="23" spans="2:5" hidden="1" x14ac:dyDescent="0.2">
      <c r="B23" t="s">
        <v>1189</v>
      </c>
      <c r="C23" s="172">
        <v>210</v>
      </c>
      <c r="D23" s="157" t="s">
        <v>251</v>
      </c>
      <c r="E23" s="108"/>
    </row>
    <row r="24" spans="2:5" hidden="1" x14ac:dyDescent="0.2">
      <c r="B24" t="s">
        <v>1191</v>
      </c>
      <c r="C24" s="172">
        <v>220</v>
      </c>
      <c r="D24" s="157" t="s">
        <v>251</v>
      </c>
      <c r="E24" s="108"/>
    </row>
    <row r="25" spans="2:5" hidden="1" x14ac:dyDescent="0.2">
      <c r="B25" t="s">
        <v>1192</v>
      </c>
      <c r="C25" s="172">
        <v>230</v>
      </c>
      <c r="D25" s="157" t="s">
        <v>251</v>
      </c>
      <c r="E25" s="108"/>
    </row>
    <row r="26" spans="2:5" hidden="1" x14ac:dyDescent="0.2">
      <c r="B26" t="s">
        <v>1193</v>
      </c>
      <c r="C26" s="172">
        <v>240</v>
      </c>
      <c r="D26" s="157" t="s">
        <v>251</v>
      </c>
      <c r="E26" s="108"/>
    </row>
    <row r="27" spans="2:5" hidden="1" x14ac:dyDescent="0.2">
      <c r="B27" t="s">
        <v>1194</v>
      </c>
      <c r="C27" s="172">
        <v>250</v>
      </c>
      <c r="D27" s="157" t="s">
        <v>251</v>
      </c>
      <c r="E27" s="108"/>
    </row>
    <row r="28" spans="2:5" hidden="1" x14ac:dyDescent="0.2">
      <c r="B28" s="97" t="s">
        <v>1197</v>
      </c>
      <c r="C28" s="172">
        <v>260</v>
      </c>
      <c r="D28" s="157" t="s">
        <v>251</v>
      </c>
      <c r="E28" s="97"/>
    </row>
    <row r="29" spans="2:5" ht="21.95" customHeight="1" thickBot="1" x14ac:dyDescent="0.25">
      <c r="B29" s="198" t="s">
        <v>1198</v>
      </c>
      <c r="C29" s="204">
        <v>270</v>
      </c>
      <c r="D29" s="138" t="s">
        <v>251</v>
      </c>
      <c r="E29" s="415">
        <f>SUM(E14,E19)</f>
        <v>0</v>
      </c>
    </row>
    <row r="30" spans="2:5" ht="30" customHeight="1" x14ac:dyDescent="0.2">
      <c r="B30" s="1005" t="s">
        <v>1199</v>
      </c>
      <c r="C30" s="763"/>
      <c r="D30" s="735"/>
      <c r="E30" s="614"/>
    </row>
    <row r="31" spans="2:5" ht="21.95" customHeight="1" x14ac:dyDescent="0.2">
      <c r="B31" s="188" t="s">
        <v>1187</v>
      </c>
      <c r="C31" s="251">
        <v>280</v>
      </c>
      <c r="D31" s="250" t="s">
        <v>251</v>
      </c>
      <c r="E31" s="824"/>
    </row>
    <row r="32" spans="2:5" ht="21.95" customHeight="1" x14ac:dyDescent="0.2">
      <c r="B32" s="213" t="s">
        <v>1188</v>
      </c>
      <c r="C32" s="218">
        <v>290</v>
      </c>
      <c r="D32" s="217" t="s">
        <v>251</v>
      </c>
      <c r="E32" s="825"/>
    </row>
    <row r="33" spans="2:5" ht="21.95" customHeight="1" x14ac:dyDescent="0.2">
      <c r="B33" s="213" t="s">
        <v>1189</v>
      </c>
      <c r="C33" s="218">
        <v>300</v>
      </c>
      <c r="D33" s="217" t="s">
        <v>251</v>
      </c>
      <c r="E33" s="825"/>
    </row>
    <row r="34" spans="2:5" ht="21.95" customHeight="1" x14ac:dyDescent="0.2">
      <c r="B34" s="226" t="s">
        <v>1190</v>
      </c>
      <c r="C34" s="218">
        <v>310</v>
      </c>
      <c r="D34" s="217" t="s">
        <v>251</v>
      </c>
      <c r="E34" s="227">
        <f>SUM(E31:E33)</f>
        <v>0</v>
      </c>
    </row>
    <row r="35" spans="2:5" ht="21.95" customHeight="1" x14ac:dyDescent="0.2">
      <c r="B35" s="213" t="s">
        <v>1191</v>
      </c>
      <c r="C35" s="218">
        <v>320</v>
      </c>
      <c r="D35" s="217" t="s">
        <v>251</v>
      </c>
      <c r="E35" s="825"/>
    </row>
    <row r="36" spans="2:5" ht="21.95" customHeight="1" x14ac:dyDescent="0.2">
      <c r="B36" s="213" t="s">
        <v>1192</v>
      </c>
      <c r="C36" s="218">
        <v>330</v>
      </c>
      <c r="D36" s="217" t="s">
        <v>251</v>
      </c>
      <c r="E36" s="825"/>
    </row>
    <row r="37" spans="2:5" ht="21.95" customHeight="1" x14ac:dyDescent="0.2">
      <c r="B37" s="213" t="s">
        <v>1193</v>
      </c>
      <c r="C37" s="218">
        <v>340</v>
      </c>
      <c r="D37" s="217" t="s">
        <v>251</v>
      </c>
      <c r="E37" s="825"/>
    </row>
    <row r="38" spans="2:5" ht="21.95" customHeight="1" x14ac:dyDescent="0.2">
      <c r="B38" s="213" t="s">
        <v>1194</v>
      </c>
      <c r="C38" s="218">
        <v>350</v>
      </c>
      <c r="D38" s="217" t="s">
        <v>251</v>
      </c>
      <c r="E38" s="825"/>
    </row>
    <row r="39" spans="2:5" ht="21.95" customHeight="1" thickBot="1" x14ac:dyDescent="0.25">
      <c r="B39" s="826" t="s">
        <v>1195</v>
      </c>
      <c r="C39" s="358">
        <v>360</v>
      </c>
      <c r="D39" s="357" t="s">
        <v>251</v>
      </c>
      <c r="E39" s="827">
        <f>SUM(E35:E38)</f>
        <v>0</v>
      </c>
    </row>
    <row r="40" spans="2:5" hidden="1" x14ac:dyDescent="0.2">
      <c r="B40" s="97" t="s">
        <v>1200</v>
      </c>
      <c r="C40" s="172"/>
      <c r="D40" s="157"/>
      <c r="E40" s="104"/>
    </row>
    <row r="41" spans="2:5" hidden="1" x14ac:dyDescent="0.2">
      <c r="B41" t="s">
        <v>1187</v>
      </c>
      <c r="C41" s="172">
        <v>370</v>
      </c>
      <c r="D41" s="157" t="s">
        <v>251</v>
      </c>
      <c r="E41" s="108"/>
    </row>
    <row r="42" spans="2:5" hidden="1" x14ac:dyDescent="0.2">
      <c r="B42" t="s">
        <v>1188</v>
      </c>
      <c r="C42" s="172">
        <v>380</v>
      </c>
      <c r="D42" s="157" t="s">
        <v>251</v>
      </c>
      <c r="E42" s="108"/>
    </row>
    <row r="43" spans="2:5" hidden="1" x14ac:dyDescent="0.2">
      <c r="B43" t="s">
        <v>1189</v>
      </c>
      <c r="C43" s="172">
        <v>390</v>
      </c>
      <c r="D43" s="157" t="s">
        <v>251</v>
      </c>
      <c r="E43" s="108"/>
    </row>
    <row r="44" spans="2:5" hidden="1" x14ac:dyDescent="0.2">
      <c r="B44" t="s">
        <v>1191</v>
      </c>
      <c r="C44" s="172">
        <v>400</v>
      </c>
      <c r="D44" s="157" t="s">
        <v>251</v>
      </c>
      <c r="E44" s="108"/>
    </row>
    <row r="45" spans="2:5" hidden="1" x14ac:dyDescent="0.2">
      <c r="B45" t="s">
        <v>1192</v>
      </c>
      <c r="C45" s="172">
        <v>410</v>
      </c>
      <c r="D45" s="157" t="s">
        <v>251</v>
      </c>
      <c r="E45" s="108"/>
    </row>
    <row r="46" spans="2:5" hidden="1" x14ac:dyDescent="0.2">
      <c r="B46" t="s">
        <v>1193</v>
      </c>
      <c r="C46" s="172">
        <v>420</v>
      </c>
      <c r="D46" s="157" t="s">
        <v>251</v>
      </c>
      <c r="E46" s="108"/>
    </row>
    <row r="47" spans="2:5" hidden="1" x14ac:dyDescent="0.2">
      <c r="B47" t="s">
        <v>1194</v>
      </c>
      <c r="C47" s="172">
        <v>430</v>
      </c>
      <c r="D47" s="157" t="s">
        <v>251</v>
      </c>
      <c r="E47" s="108"/>
    </row>
    <row r="48" spans="2:5" hidden="1" x14ac:dyDescent="0.2">
      <c r="B48" s="97" t="s">
        <v>1201</v>
      </c>
      <c r="C48" s="172">
        <v>440</v>
      </c>
      <c r="D48" s="157" t="s">
        <v>251</v>
      </c>
      <c r="E48" s="97"/>
    </row>
    <row r="49" spans="2:5" ht="30" customHeight="1" thickBot="1" x14ac:dyDescent="0.25">
      <c r="B49" s="355" t="s">
        <v>1202</v>
      </c>
      <c r="C49" s="204">
        <v>450</v>
      </c>
      <c r="D49" s="138" t="s">
        <v>251</v>
      </c>
      <c r="E49" s="415">
        <f>SUM(E34,E39)</f>
        <v>0</v>
      </c>
    </row>
    <row r="50" spans="2:5" ht="21.95" customHeight="1" x14ac:dyDescent="0.2">
      <c r="B50" s="314" t="s">
        <v>1203</v>
      </c>
      <c r="C50" s="763"/>
      <c r="D50" s="735"/>
      <c r="E50" s="614"/>
    </row>
    <row r="51" spans="2:5" ht="21.95" customHeight="1" x14ac:dyDescent="0.2">
      <c r="B51" s="188" t="s">
        <v>1187</v>
      </c>
      <c r="C51" s="251">
        <v>460</v>
      </c>
      <c r="D51" s="250" t="s">
        <v>251</v>
      </c>
      <c r="E51" s="824"/>
    </row>
    <row r="52" spans="2:5" ht="21.95" customHeight="1" x14ac:dyDescent="0.2">
      <c r="B52" s="226" t="s">
        <v>1190</v>
      </c>
      <c r="C52" s="218">
        <v>470</v>
      </c>
      <c r="D52" s="217" t="s">
        <v>251</v>
      </c>
      <c r="E52" s="227">
        <f>SUM(E51:E51)</f>
        <v>0</v>
      </c>
    </row>
    <row r="53" spans="2:5" ht="21.95" customHeight="1" x14ac:dyDescent="0.2">
      <c r="B53" s="213" t="s">
        <v>1192</v>
      </c>
      <c r="C53" s="218">
        <v>480</v>
      </c>
      <c r="D53" s="217" t="s">
        <v>251</v>
      </c>
      <c r="E53" s="825"/>
    </row>
    <row r="54" spans="2:5" ht="21.95" customHeight="1" x14ac:dyDescent="0.2">
      <c r="B54" s="213" t="s">
        <v>1204</v>
      </c>
      <c r="C54" s="218">
        <v>490</v>
      </c>
      <c r="D54" s="217" t="s">
        <v>251</v>
      </c>
      <c r="E54" s="825"/>
    </row>
    <row r="55" spans="2:5" ht="21.95" customHeight="1" thickBot="1" x14ac:dyDescent="0.25">
      <c r="B55" s="826" t="s">
        <v>1195</v>
      </c>
      <c r="C55" s="358">
        <v>500</v>
      </c>
      <c r="D55" s="357" t="s">
        <v>251</v>
      </c>
      <c r="E55" s="827">
        <f>SUM(E53:E54)</f>
        <v>0</v>
      </c>
    </row>
    <row r="56" spans="2:5" hidden="1" x14ac:dyDescent="0.2">
      <c r="B56" s="97" t="s">
        <v>1205</v>
      </c>
      <c r="C56" s="172"/>
      <c r="D56" s="157"/>
      <c r="E56" s="104"/>
    </row>
    <row r="57" spans="2:5" hidden="1" x14ac:dyDescent="0.2">
      <c r="B57" t="s">
        <v>1187</v>
      </c>
      <c r="C57" s="172">
        <v>510</v>
      </c>
      <c r="D57" s="157" t="s">
        <v>251</v>
      </c>
      <c r="E57" s="108"/>
    </row>
    <row r="58" spans="2:5" hidden="1" x14ac:dyDescent="0.2">
      <c r="B58" t="s">
        <v>1192</v>
      </c>
      <c r="C58" s="172">
        <v>520</v>
      </c>
      <c r="D58" s="157" t="s">
        <v>251</v>
      </c>
      <c r="E58" s="108"/>
    </row>
    <row r="59" spans="2:5" hidden="1" x14ac:dyDescent="0.2">
      <c r="B59" t="s">
        <v>1204</v>
      </c>
      <c r="C59" s="172">
        <v>530</v>
      </c>
      <c r="D59" s="157" t="s">
        <v>251</v>
      </c>
      <c r="E59" s="108"/>
    </row>
    <row r="60" spans="2:5" hidden="1" x14ac:dyDescent="0.2">
      <c r="B60" s="97" t="s">
        <v>1206</v>
      </c>
      <c r="C60" s="172">
        <v>540</v>
      </c>
      <c r="D60" s="157" t="s">
        <v>251</v>
      </c>
      <c r="E60" s="97"/>
    </row>
    <row r="61" spans="2:5" ht="21.95" customHeight="1" thickBot="1" x14ac:dyDescent="0.25">
      <c r="B61" s="198" t="s">
        <v>1207</v>
      </c>
      <c r="C61" s="204">
        <v>550</v>
      </c>
      <c r="D61" s="138" t="s">
        <v>251</v>
      </c>
      <c r="E61" s="415">
        <f>SUM(E52,E55)</f>
        <v>0</v>
      </c>
    </row>
    <row r="62" spans="2:5" ht="30" customHeight="1" x14ac:dyDescent="0.2">
      <c r="B62" s="1005" t="s">
        <v>1208</v>
      </c>
      <c r="C62" s="763"/>
      <c r="D62" s="763"/>
      <c r="E62" s="828"/>
    </row>
    <row r="63" spans="2:5" ht="21.95" customHeight="1" x14ac:dyDescent="0.2">
      <c r="B63" s="188" t="s">
        <v>1187</v>
      </c>
      <c r="C63" s="251">
        <v>560</v>
      </c>
      <c r="D63" s="250" t="s">
        <v>251</v>
      </c>
      <c r="E63" s="824"/>
    </row>
    <row r="64" spans="2:5" ht="21.95" customHeight="1" x14ac:dyDescent="0.2">
      <c r="B64" s="213" t="s">
        <v>1189</v>
      </c>
      <c r="C64" s="218">
        <v>570</v>
      </c>
      <c r="D64" s="217" t="s">
        <v>251</v>
      </c>
      <c r="E64" s="825"/>
    </row>
    <row r="65" spans="1:5" ht="21.95" customHeight="1" x14ac:dyDescent="0.2">
      <c r="B65" s="226" t="s">
        <v>1190</v>
      </c>
      <c r="C65" s="218">
        <v>580</v>
      </c>
      <c r="D65" s="217" t="s">
        <v>251</v>
      </c>
      <c r="E65" s="227">
        <f>SUM(E63:E64)</f>
        <v>0</v>
      </c>
    </row>
    <row r="66" spans="1:5" ht="21.95" customHeight="1" x14ac:dyDescent="0.2">
      <c r="B66" s="213" t="s">
        <v>1191</v>
      </c>
      <c r="C66" s="218">
        <v>590</v>
      </c>
      <c r="D66" s="217" t="s">
        <v>251</v>
      </c>
      <c r="E66" s="825"/>
    </row>
    <row r="67" spans="1:5" ht="21.95" customHeight="1" x14ac:dyDescent="0.2">
      <c r="B67" s="213" t="s">
        <v>1192</v>
      </c>
      <c r="C67" s="218">
        <v>600</v>
      </c>
      <c r="D67" s="217" t="s">
        <v>251</v>
      </c>
      <c r="E67" s="825"/>
    </row>
    <row r="68" spans="1:5" ht="21.95" customHeight="1" x14ac:dyDescent="0.2">
      <c r="B68" s="213" t="s">
        <v>1204</v>
      </c>
      <c r="C68" s="218">
        <v>610</v>
      </c>
      <c r="D68" s="217" t="s">
        <v>251</v>
      </c>
      <c r="E68" s="825"/>
    </row>
    <row r="69" spans="1:5" ht="21.95" customHeight="1" x14ac:dyDescent="0.2">
      <c r="B69" s="213" t="s">
        <v>1194</v>
      </c>
      <c r="C69" s="218">
        <v>620</v>
      </c>
      <c r="D69" s="217" t="s">
        <v>251</v>
      </c>
      <c r="E69" s="825"/>
    </row>
    <row r="70" spans="1:5" ht="21.95" customHeight="1" x14ac:dyDescent="0.2">
      <c r="B70" s="226" t="s">
        <v>1195</v>
      </c>
      <c r="C70" s="218">
        <v>630</v>
      </c>
      <c r="D70" s="217" t="s">
        <v>251</v>
      </c>
      <c r="E70" s="227">
        <f>SUM(E66:E69)</f>
        <v>0</v>
      </c>
    </row>
    <row r="71" spans="1:5" ht="30" customHeight="1" thickBot="1" x14ac:dyDescent="0.25">
      <c r="A71" s="108"/>
      <c r="B71" s="1109" t="s">
        <v>1209</v>
      </c>
      <c r="C71" s="358">
        <v>640</v>
      </c>
      <c r="D71" s="357" t="s">
        <v>251</v>
      </c>
      <c r="E71" s="827">
        <f>E65+E70</f>
        <v>0</v>
      </c>
    </row>
    <row r="72" spans="1:5" hidden="1" x14ac:dyDescent="0.2">
      <c r="B72" s="97" t="s">
        <v>1210</v>
      </c>
      <c r="C72" s="172"/>
      <c r="D72" s="172"/>
      <c r="E72" s="829"/>
    </row>
    <row r="73" spans="1:5" hidden="1" x14ac:dyDescent="0.2">
      <c r="B73" s="100" t="s">
        <v>1187</v>
      </c>
      <c r="C73" s="172">
        <v>650</v>
      </c>
      <c r="D73" s="157" t="s">
        <v>251</v>
      </c>
      <c r="E73" s="108"/>
    </row>
    <row r="74" spans="1:5" hidden="1" x14ac:dyDescent="0.2">
      <c r="B74" s="100" t="s">
        <v>1189</v>
      </c>
      <c r="C74" s="172"/>
      <c r="D74" s="157" t="s">
        <v>251</v>
      </c>
      <c r="E74" s="97"/>
    </row>
    <row r="75" spans="1:5" hidden="1" x14ac:dyDescent="0.2">
      <c r="B75" s="100" t="s">
        <v>1190</v>
      </c>
      <c r="C75" s="172">
        <v>660</v>
      </c>
      <c r="D75" s="157" t="s">
        <v>251</v>
      </c>
      <c r="E75" s="97"/>
    </row>
    <row r="76" spans="1:5" hidden="1" x14ac:dyDescent="0.2">
      <c r="B76" s="102" t="s">
        <v>1191</v>
      </c>
      <c r="C76" s="172">
        <v>670</v>
      </c>
      <c r="D76" s="157" t="s">
        <v>251</v>
      </c>
      <c r="E76" s="108"/>
    </row>
    <row r="77" spans="1:5" hidden="1" x14ac:dyDescent="0.2">
      <c r="B77" s="97" t="s">
        <v>1192</v>
      </c>
      <c r="C77" s="172">
        <v>680</v>
      </c>
      <c r="D77" s="157" t="s">
        <v>251</v>
      </c>
      <c r="E77" s="108"/>
    </row>
    <row r="78" spans="1:5" hidden="1" x14ac:dyDescent="0.2">
      <c r="B78" t="s">
        <v>1204</v>
      </c>
      <c r="C78" s="172">
        <v>690</v>
      </c>
      <c r="D78" s="157" t="s">
        <v>251</v>
      </c>
      <c r="E78" s="108"/>
    </row>
    <row r="79" spans="1:5" hidden="1" x14ac:dyDescent="0.2">
      <c r="B79" t="s">
        <v>1194</v>
      </c>
      <c r="C79" s="172">
        <v>700</v>
      </c>
      <c r="D79" s="157" t="s">
        <v>251</v>
      </c>
      <c r="E79" s="108"/>
    </row>
    <row r="80" spans="1:5" hidden="1" x14ac:dyDescent="0.2">
      <c r="B80" s="97" t="s">
        <v>1195</v>
      </c>
      <c r="C80" s="172">
        <v>710</v>
      </c>
      <c r="D80" s="247" t="s">
        <v>251</v>
      </c>
      <c r="E80" s="97"/>
    </row>
    <row r="81" spans="2:5" hidden="1" x14ac:dyDescent="0.2">
      <c r="B81" s="97" t="s">
        <v>1211</v>
      </c>
      <c r="C81" s="172">
        <v>720</v>
      </c>
      <c r="D81" s="247" t="s">
        <v>251</v>
      </c>
      <c r="E81" s="97"/>
    </row>
    <row r="82" spans="2:5" hidden="1" x14ac:dyDescent="0.2">
      <c r="B82" t="s">
        <v>1212</v>
      </c>
    </row>
    <row r="83" spans="2:5" hidden="1" x14ac:dyDescent="0.2">
      <c r="B83" t="s">
        <v>1187</v>
      </c>
      <c r="C83" s="172">
        <v>730</v>
      </c>
      <c r="D83" s="157" t="s">
        <v>251</v>
      </c>
      <c r="E83" s="108"/>
    </row>
    <row r="84" spans="2:5" hidden="1" x14ac:dyDescent="0.2">
      <c r="B84" t="s">
        <v>1189</v>
      </c>
      <c r="D84" s="157" t="s">
        <v>251</v>
      </c>
    </row>
    <row r="85" spans="2:5" hidden="1" x14ac:dyDescent="0.2">
      <c r="B85" t="s">
        <v>1190</v>
      </c>
      <c r="C85" s="172">
        <v>740</v>
      </c>
      <c r="D85" s="157" t="s">
        <v>251</v>
      </c>
    </row>
    <row r="86" spans="2:5" hidden="1" x14ac:dyDescent="0.2">
      <c r="B86" t="s">
        <v>1191</v>
      </c>
      <c r="C86" s="172">
        <v>750</v>
      </c>
      <c r="D86" s="157" t="s">
        <v>251</v>
      </c>
      <c r="E86" s="108"/>
    </row>
    <row r="87" spans="2:5" hidden="1" x14ac:dyDescent="0.2">
      <c r="B87" t="s">
        <v>1192</v>
      </c>
      <c r="C87" s="172">
        <v>760</v>
      </c>
      <c r="D87" s="157" t="s">
        <v>251</v>
      </c>
      <c r="E87" s="108"/>
    </row>
    <row r="88" spans="2:5" hidden="1" x14ac:dyDescent="0.2">
      <c r="B88" t="s">
        <v>1204</v>
      </c>
      <c r="C88" s="172">
        <v>770</v>
      </c>
      <c r="D88" s="157" t="s">
        <v>251</v>
      </c>
      <c r="E88" s="108"/>
    </row>
    <row r="89" spans="2:5" hidden="1" x14ac:dyDescent="0.2">
      <c r="B89" t="s">
        <v>1194</v>
      </c>
      <c r="C89" s="172">
        <v>780</v>
      </c>
      <c r="D89" s="157" t="s">
        <v>251</v>
      </c>
      <c r="E89" s="97"/>
    </row>
    <row r="90" spans="2:5" hidden="1" x14ac:dyDescent="0.2">
      <c r="B90" s="97" t="s">
        <v>1195</v>
      </c>
      <c r="C90" s="172">
        <v>790</v>
      </c>
      <c r="D90" s="157" t="s">
        <v>251</v>
      </c>
      <c r="E90" s="97"/>
    </row>
    <row r="91" spans="2:5" hidden="1" x14ac:dyDescent="0.2">
      <c r="B91" s="97" t="s">
        <v>1213</v>
      </c>
      <c r="C91" s="172">
        <v>800</v>
      </c>
      <c r="D91" s="157" t="s">
        <v>251</v>
      </c>
      <c r="E91" s="97"/>
    </row>
    <row r="92" spans="2:5" hidden="1" x14ac:dyDescent="0.2">
      <c r="B92" t="s">
        <v>1214</v>
      </c>
    </row>
    <row r="93" spans="2:5" hidden="1" x14ac:dyDescent="0.2">
      <c r="B93" t="s">
        <v>1187</v>
      </c>
      <c r="C93" s="172">
        <v>810</v>
      </c>
      <c r="D93" s="157" t="s">
        <v>251</v>
      </c>
    </row>
    <row r="94" spans="2:5" hidden="1" x14ac:dyDescent="0.2">
      <c r="B94" t="s">
        <v>1188</v>
      </c>
      <c r="C94" s="172">
        <v>820</v>
      </c>
      <c r="D94" s="157" t="s">
        <v>251</v>
      </c>
    </row>
    <row r="95" spans="2:5" hidden="1" x14ac:dyDescent="0.2">
      <c r="B95" t="s">
        <v>1189</v>
      </c>
      <c r="C95" s="172">
        <v>830</v>
      </c>
      <c r="D95" s="157" t="s">
        <v>251</v>
      </c>
    </row>
    <row r="96" spans="2:5" hidden="1" x14ac:dyDescent="0.2">
      <c r="B96" t="s">
        <v>1191</v>
      </c>
      <c r="C96" s="172">
        <v>840</v>
      </c>
      <c r="D96" s="157" t="s">
        <v>251</v>
      </c>
    </row>
    <row r="97" spans="2:5" hidden="1" x14ac:dyDescent="0.2">
      <c r="B97" t="s">
        <v>1192</v>
      </c>
      <c r="C97" s="172">
        <v>850</v>
      </c>
      <c r="D97" s="157" t="s">
        <v>251</v>
      </c>
    </row>
    <row r="98" spans="2:5" hidden="1" x14ac:dyDescent="0.2">
      <c r="B98" t="s">
        <v>1193</v>
      </c>
      <c r="C98" s="172">
        <v>860</v>
      </c>
      <c r="D98" s="157" t="s">
        <v>251</v>
      </c>
    </row>
    <row r="99" spans="2:5" hidden="1" x14ac:dyDescent="0.2">
      <c r="B99" t="s">
        <v>1194</v>
      </c>
      <c r="C99" s="172">
        <v>870</v>
      </c>
      <c r="D99" s="157" t="s">
        <v>251</v>
      </c>
    </row>
    <row r="100" spans="2:5" hidden="1" x14ac:dyDescent="0.2">
      <c r="B100" s="97" t="s">
        <v>1215</v>
      </c>
      <c r="C100" s="172">
        <v>880</v>
      </c>
      <c r="D100" s="157" t="s">
        <v>251</v>
      </c>
      <c r="E100" s="97"/>
    </row>
    <row r="101" spans="2:5" hidden="1" x14ac:dyDescent="0.2">
      <c r="B101" s="97" t="s">
        <v>1216</v>
      </c>
      <c r="C101" s="172">
        <v>890</v>
      </c>
      <c r="D101" s="157" t="s">
        <v>251</v>
      </c>
      <c r="E101" s="97"/>
    </row>
    <row r="102" spans="2:5" hidden="1" x14ac:dyDescent="0.2">
      <c r="B102" s="97" t="s">
        <v>1217</v>
      </c>
      <c r="C102" s="172">
        <v>900</v>
      </c>
      <c r="D102" s="157" t="s">
        <v>251</v>
      </c>
      <c r="E102" s="97"/>
    </row>
    <row r="103" spans="2:5" ht="21.95" customHeight="1" x14ac:dyDescent="0.2">
      <c r="B103" s="198" t="s">
        <v>1218</v>
      </c>
      <c r="C103" s="251">
        <v>910</v>
      </c>
      <c r="D103" s="250" t="s">
        <v>251</v>
      </c>
      <c r="E103" s="415">
        <f>SUM(E14+E34+E52+E65)</f>
        <v>0</v>
      </c>
    </row>
    <row r="104" spans="2:5" ht="21.95" customHeight="1" thickBot="1" x14ac:dyDescent="0.25">
      <c r="B104" s="226" t="s">
        <v>1219</v>
      </c>
      <c r="C104" s="358">
        <v>920</v>
      </c>
      <c r="D104" s="357" t="s">
        <v>251</v>
      </c>
      <c r="E104" s="227">
        <f>SUM(E19+E39+E55+E70)</f>
        <v>0</v>
      </c>
    </row>
    <row r="105" spans="2:5" ht="30" customHeight="1" thickBot="1" x14ac:dyDescent="0.25">
      <c r="B105" s="1110" t="s">
        <v>1220</v>
      </c>
      <c r="C105" s="562">
        <v>930</v>
      </c>
      <c r="D105" s="183" t="s">
        <v>251</v>
      </c>
      <c r="E105" s="830">
        <f>SUM(E102:E104)</f>
        <v>0</v>
      </c>
    </row>
    <row r="106" spans="2:5" ht="13.5" hidden="1" thickTop="1" x14ac:dyDescent="0.2">
      <c r="B106" s="97" t="s">
        <v>1221</v>
      </c>
      <c r="C106" s="172"/>
      <c r="D106" s="157"/>
    </row>
    <row r="107" spans="2:5" ht="13.5" hidden="1" thickTop="1" x14ac:dyDescent="0.2">
      <c r="B107" s="97" t="s">
        <v>1222</v>
      </c>
      <c r="C107" s="172">
        <v>940</v>
      </c>
      <c r="D107" s="157" t="s">
        <v>251</v>
      </c>
    </row>
    <row r="108" spans="2:5" ht="30" customHeight="1" thickTop="1" x14ac:dyDescent="0.2">
      <c r="B108" s="355" t="s">
        <v>1223</v>
      </c>
      <c r="C108" s="417"/>
      <c r="D108" s="419"/>
      <c r="E108" s="578"/>
    </row>
    <row r="109" spans="2:5" ht="27" customHeight="1" x14ac:dyDescent="0.2">
      <c r="B109" s="1100" t="s">
        <v>1224</v>
      </c>
      <c r="C109" s="199">
        <v>950</v>
      </c>
      <c r="D109" s="131" t="s">
        <v>251</v>
      </c>
      <c r="E109" s="694"/>
    </row>
    <row r="110" spans="2:5" ht="27" customHeight="1" thickBot="1" x14ac:dyDescent="0.25">
      <c r="B110" s="733" t="s">
        <v>1225</v>
      </c>
      <c r="C110" s="236">
        <v>960</v>
      </c>
      <c r="D110" s="235" t="s">
        <v>251</v>
      </c>
      <c r="E110" s="831"/>
    </row>
    <row r="111" spans="2:5" ht="13.5" thickTop="1" x14ac:dyDescent="0.2">
      <c r="B111" s="832" t="s">
        <v>1226</v>
      </c>
    </row>
    <row r="112" spans="2:5" x14ac:dyDescent="0.2">
      <c r="B112" s="832" t="s">
        <v>1227</v>
      </c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E14 E103:E105 E70:E72 E65 E61:E62 E55:E56 E52 E49:E50 E39:E40 E34 E29:E30 E19:E20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109:E110 E66:E69 E63:E64 E53:E54 E51 E35:E38 E31:E33 E15:E18 E11:E13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BB267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4.7109375" customWidth="1"/>
    <col min="2" max="2" width="57.7109375" customWidth="1"/>
    <col min="3" max="4" width="10.140625" customWidth="1"/>
    <col min="5" max="17" width="15.28515625" customWidth="1"/>
    <col min="18" max="18" width="3.42578125" hidden="1" customWidth="1"/>
    <col min="19" max="21" width="15.28515625" customWidth="1"/>
    <col min="22" max="26" width="10.28515625" customWidth="1"/>
    <col min="27" max="54" width="2.7109375" hidden="1" customWidth="1"/>
  </cols>
  <sheetData>
    <row r="1" spans="1:54" ht="15.75" x14ac:dyDescent="0.25">
      <c r="A1" s="1131" t="s">
        <v>3726</v>
      </c>
      <c r="B1" s="1139" t="str">
        <f>OrgName</f>
        <v>ZZZ NHS TRUST</v>
      </c>
      <c r="C1" s="1122"/>
      <c r="D1" s="1122"/>
      <c r="E1" s="1177" t="str">
        <f>HYPERLINK(CHAR(35)&amp;"1415TRU_Index_P13"&amp;"!A1","GoTo Index tab")</f>
        <v>GoTo Index tab</v>
      </c>
      <c r="R1" s="466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</row>
    <row r="2" spans="1:54" x14ac:dyDescent="0.2">
      <c r="A2" s="1131" t="s">
        <v>3727</v>
      </c>
      <c r="B2" s="1137" t="str">
        <f>"Org Code: " &amp; Orgcode</f>
        <v>Org Code: ZZZ</v>
      </c>
      <c r="C2" s="1119"/>
      <c r="D2" s="1119"/>
      <c r="E2" s="1135"/>
    </row>
    <row r="3" spans="1:54" x14ac:dyDescent="0.2">
      <c r="A3" s="1131" t="s">
        <v>3742</v>
      </c>
      <c r="B3" s="1138" t="s">
        <v>3725</v>
      </c>
      <c r="C3" s="1125"/>
      <c r="D3" s="1125"/>
      <c r="E3" s="1136"/>
    </row>
    <row r="4" spans="1:54" x14ac:dyDescent="0.2">
      <c r="B4" s="102" t="s">
        <v>1228</v>
      </c>
    </row>
    <row r="5" spans="1:54" x14ac:dyDescent="0.2">
      <c r="B5" s="103" t="s">
        <v>66</v>
      </c>
    </row>
    <row r="6" spans="1:54" ht="13.5" thickBot="1" x14ac:dyDescent="0.25"/>
    <row r="7" spans="1:54" ht="13.5" thickTop="1" x14ac:dyDescent="0.2">
      <c r="B7" s="242"/>
      <c r="C7" s="195"/>
      <c r="D7" s="195" t="s">
        <v>25</v>
      </c>
      <c r="E7" s="353" t="s">
        <v>235</v>
      </c>
      <c r="F7" s="293" t="s">
        <v>236</v>
      </c>
      <c r="H7" s="97"/>
    </row>
    <row r="8" spans="1:54" ht="25.5" x14ac:dyDescent="0.2">
      <c r="B8" s="198" t="s">
        <v>130</v>
      </c>
      <c r="C8" s="199" t="s">
        <v>238</v>
      </c>
      <c r="D8" s="199"/>
      <c r="E8" s="201" t="s">
        <v>799</v>
      </c>
      <c r="F8" s="202" t="s">
        <v>240</v>
      </c>
      <c r="H8" s="97"/>
    </row>
    <row r="9" spans="1:54" ht="13.5" thickBot="1" x14ac:dyDescent="0.25">
      <c r="B9" s="198"/>
      <c r="C9" s="204" t="s">
        <v>242</v>
      </c>
      <c r="D9" s="204"/>
      <c r="E9" s="278" t="s">
        <v>243</v>
      </c>
      <c r="F9" s="202" t="s">
        <v>243</v>
      </c>
      <c r="H9" s="97"/>
    </row>
    <row r="10" spans="1:54" ht="21.95" customHeight="1" x14ac:dyDescent="0.2">
      <c r="B10" s="314" t="s">
        <v>1234</v>
      </c>
      <c r="C10" s="763"/>
      <c r="D10" s="735"/>
      <c r="E10" s="317"/>
      <c r="F10" s="318"/>
    </row>
    <row r="11" spans="1:54" ht="30" customHeight="1" x14ac:dyDescent="0.2">
      <c r="B11" s="1111" t="s">
        <v>305</v>
      </c>
      <c r="C11" s="251">
        <v>100</v>
      </c>
      <c r="D11" s="250" t="s">
        <v>248</v>
      </c>
      <c r="E11" s="628">
        <f>F30</f>
        <v>0</v>
      </c>
      <c r="F11" s="802"/>
    </row>
    <row r="12" spans="1:54" hidden="1" x14ac:dyDescent="0.2">
      <c r="A12" s="105"/>
      <c r="B12" s="97" t="s">
        <v>304</v>
      </c>
      <c r="C12" s="172">
        <v>101</v>
      </c>
      <c r="D12" s="157" t="s">
        <v>251</v>
      </c>
    </row>
    <row r="13" spans="1:54" hidden="1" x14ac:dyDescent="0.2">
      <c r="A13" s="105"/>
      <c r="B13" s="97" t="s">
        <v>303</v>
      </c>
      <c r="C13" s="172">
        <v>102</v>
      </c>
      <c r="D13" s="247" t="s">
        <v>251</v>
      </c>
    </row>
    <row r="14" spans="1:54" hidden="1" x14ac:dyDescent="0.2">
      <c r="A14" s="105"/>
      <c r="B14" s="97" t="s">
        <v>387</v>
      </c>
      <c r="C14" s="172">
        <v>103</v>
      </c>
      <c r="D14" s="247" t="s">
        <v>251</v>
      </c>
    </row>
    <row r="15" spans="1:54" ht="21.95" customHeight="1" x14ac:dyDescent="0.2">
      <c r="A15" s="99"/>
      <c r="B15" s="264" t="s">
        <v>389</v>
      </c>
      <c r="C15" s="251">
        <v>104</v>
      </c>
      <c r="D15" s="250" t="s">
        <v>251</v>
      </c>
      <c r="E15" s="496">
        <f>E16-E11</f>
        <v>0</v>
      </c>
      <c r="F15" s="85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S15" s="99"/>
      <c r="T15" s="99"/>
      <c r="U15" s="99"/>
      <c r="V15" s="99"/>
      <c r="W15" s="99"/>
      <c r="X15" s="99"/>
      <c r="Y15" s="99"/>
      <c r="Z15" s="99"/>
    </row>
    <row r="16" spans="1:54" ht="30" customHeight="1" x14ac:dyDescent="0.2">
      <c r="B16" s="1099" t="s">
        <v>391</v>
      </c>
      <c r="C16" s="218">
        <v>105</v>
      </c>
      <c r="D16" s="217" t="s">
        <v>251</v>
      </c>
      <c r="E16" s="933">
        <f>(ROUND('1314TRU15_ICG_P16'!E30,0))</f>
        <v>0</v>
      </c>
      <c r="F16" s="305"/>
    </row>
    <row r="17" spans="1:54" hidden="1" x14ac:dyDescent="0.2">
      <c r="A17" s="99"/>
      <c r="B17" s="100" t="s">
        <v>401</v>
      </c>
      <c r="C17" s="172">
        <v>106</v>
      </c>
      <c r="D17" s="157" t="s">
        <v>248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</row>
    <row r="18" spans="1:54" hidden="1" x14ac:dyDescent="0.2">
      <c r="A18" s="99"/>
      <c r="B18" s="100" t="s">
        <v>402</v>
      </c>
      <c r="C18" s="172">
        <v>107</v>
      </c>
      <c r="D18" s="157" t="s">
        <v>251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</row>
    <row r="19" spans="1:54" ht="21.95" customHeight="1" x14ac:dyDescent="0.2">
      <c r="B19" s="188" t="s">
        <v>1235</v>
      </c>
      <c r="C19" s="251">
        <v>110</v>
      </c>
      <c r="D19" s="250" t="s">
        <v>248</v>
      </c>
      <c r="E19" s="422"/>
      <c r="F19" s="307"/>
    </row>
    <row r="20" spans="1:54" ht="21.95" customHeight="1" x14ac:dyDescent="0.2">
      <c r="B20" s="213" t="s">
        <v>1236</v>
      </c>
      <c r="C20" s="218">
        <v>120</v>
      </c>
      <c r="D20" s="217" t="s">
        <v>248</v>
      </c>
      <c r="E20" s="228"/>
      <c r="F20" s="298"/>
    </row>
    <row r="21" spans="1:54" ht="21.95" customHeight="1" x14ac:dyDescent="0.2">
      <c r="B21" s="213" t="s">
        <v>1237</v>
      </c>
      <c r="C21" s="218">
        <v>130</v>
      </c>
      <c r="D21" s="217" t="s">
        <v>245</v>
      </c>
      <c r="E21" s="228"/>
      <c r="F21" s="298"/>
    </row>
    <row r="22" spans="1:54" ht="21.95" customHeight="1" x14ac:dyDescent="0.2">
      <c r="B22" s="213" t="s">
        <v>1238</v>
      </c>
      <c r="C22" s="218">
        <v>140</v>
      </c>
      <c r="D22" s="217" t="s">
        <v>245</v>
      </c>
      <c r="E22" s="228"/>
      <c r="F22" s="298"/>
    </row>
    <row r="23" spans="1:54" ht="21.95" customHeight="1" x14ac:dyDescent="0.2">
      <c r="B23" s="213" t="s">
        <v>1239</v>
      </c>
      <c r="C23" s="218">
        <v>150</v>
      </c>
      <c r="D23" s="217" t="s">
        <v>245</v>
      </c>
      <c r="E23" s="228"/>
      <c r="F23" s="298"/>
    </row>
    <row r="24" spans="1:54" ht="21.95" customHeight="1" x14ac:dyDescent="0.2">
      <c r="B24" s="213" t="s">
        <v>1240</v>
      </c>
      <c r="C24" s="218">
        <v>155</v>
      </c>
      <c r="D24" s="217" t="s">
        <v>248</v>
      </c>
      <c r="E24" s="228"/>
      <c r="F24" s="298"/>
    </row>
    <row r="25" spans="1:54" ht="21.95" customHeight="1" x14ac:dyDescent="0.2">
      <c r="B25" s="226" t="s">
        <v>1241</v>
      </c>
      <c r="C25" s="218">
        <v>157</v>
      </c>
      <c r="D25" s="217" t="s">
        <v>245</v>
      </c>
      <c r="E25" s="224">
        <f>SUM(E23:E24)</f>
        <v>0</v>
      </c>
      <c r="F25" s="299">
        <f>SUM(F23:F24)</f>
        <v>0</v>
      </c>
    </row>
    <row r="26" spans="1:54" ht="21.95" customHeight="1" x14ac:dyDescent="0.2">
      <c r="B26" s="213" t="s">
        <v>1242</v>
      </c>
      <c r="C26" s="218">
        <v>160</v>
      </c>
      <c r="D26" s="217" t="s">
        <v>248</v>
      </c>
      <c r="E26" s="228"/>
      <c r="F26" s="298"/>
    </row>
    <row r="27" spans="1:54" ht="21.95" customHeight="1" x14ac:dyDescent="0.2">
      <c r="B27" s="213" t="s">
        <v>508</v>
      </c>
      <c r="C27" s="218">
        <v>170</v>
      </c>
      <c r="D27" s="217" t="s">
        <v>251</v>
      </c>
      <c r="E27" s="228"/>
      <c r="F27" s="298"/>
    </row>
    <row r="28" spans="1:54" ht="27" customHeight="1" x14ac:dyDescent="0.2">
      <c r="B28" s="245" t="s">
        <v>1074</v>
      </c>
      <c r="C28" s="218">
        <v>175</v>
      </c>
      <c r="D28" s="217"/>
      <c r="E28" s="228"/>
      <c r="F28" s="864"/>
    </row>
    <row r="29" spans="1:54" ht="21.95" customHeight="1" x14ac:dyDescent="0.2">
      <c r="B29" s="213" t="s">
        <v>1243</v>
      </c>
      <c r="C29" s="234">
        <v>180</v>
      </c>
      <c r="D29" s="237" t="s">
        <v>251</v>
      </c>
      <c r="E29" s="396"/>
      <c r="F29" s="298"/>
    </row>
    <row r="30" spans="1:54" ht="21.95" customHeight="1" thickBot="1" x14ac:dyDescent="0.25">
      <c r="B30" s="233" t="s">
        <v>419</v>
      </c>
      <c r="C30" s="236">
        <v>190</v>
      </c>
      <c r="D30" s="235" t="s">
        <v>248</v>
      </c>
      <c r="E30" s="240">
        <f>SUM(E16:E29)-E25</f>
        <v>0</v>
      </c>
      <c r="F30" s="301">
        <f>SUM(F16:F29)-F25</f>
        <v>0</v>
      </c>
    </row>
    <row r="31" spans="1:54" ht="13.5" thickTop="1" x14ac:dyDescent="0.2"/>
    <row r="32" spans="1:54" ht="13.5" thickBot="1" x14ac:dyDescent="0.25"/>
    <row r="33" spans="2:8" ht="13.5" thickTop="1" x14ac:dyDescent="0.2">
      <c r="B33" s="242"/>
      <c r="C33" s="195"/>
      <c r="D33" s="195" t="s">
        <v>25</v>
      </c>
      <c r="E33" s="353" t="s">
        <v>235</v>
      </c>
      <c r="F33" s="293" t="s">
        <v>236</v>
      </c>
    </row>
    <row r="34" spans="2:8" x14ac:dyDescent="0.2">
      <c r="B34" s="198" t="s">
        <v>131</v>
      </c>
      <c r="C34" s="199" t="s">
        <v>238</v>
      </c>
      <c r="D34" s="199"/>
      <c r="E34" s="201" t="s">
        <v>239</v>
      </c>
      <c r="F34" s="202" t="s">
        <v>240</v>
      </c>
    </row>
    <row r="35" spans="2:8" ht="13.5" thickBot="1" x14ac:dyDescent="0.25">
      <c r="B35" s="198"/>
      <c r="C35" s="204" t="s">
        <v>242</v>
      </c>
      <c r="D35" s="204"/>
      <c r="E35" s="278" t="s">
        <v>243</v>
      </c>
      <c r="F35" s="202" t="s">
        <v>243</v>
      </c>
    </row>
    <row r="36" spans="2:8" ht="27" customHeight="1" x14ac:dyDescent="0.2">
      <c r="B36" s="1112" t="s">
        <v>1244</v>
      </c>
      <c r="C36" s="207">
        <v>200</v>
      </c>
      <c r="D36" s="206" t="s">
        <v>248</v>
      </c>
      <c r="E36" s="356"/>
      <c r="F36" s="304"/>
    </row>
    <row r="37" spans="2:8" ht="21.95" customHeight="1" x14ac:dyDescent="0.2">
      <c r="B37" s="730" t="s">
        <v>1245</v>
      </c>
      <c r="C37" s="234">
        <v>210</v>
      </c>
      <c r="D37" s="237" t="s">
        <v>248</v>
      </c>
      <c r="E37" s="396"/>
      <c r="F37" s="298"/>
    </row>
    <row r="38" spans="2:8" ht="30" customHeight="1" thickBot="1" x14ac:dyDescent="0.25">
      <c r="B38" s="1096" t="s">
        <v>1246</v>
      </c>
      <c r="C38" s="236">
        <v>220</v>
      </c>
      <c r="D38" s="235" t="s">
        <v>248</v>
      </c>
      <c r="E38" s="240">
        <f>SUM(E36:E37)</f>
        <v>0</v>
      </c>
      <c r="F38" s="301">
        <f>SUM(F36:F37)</f>
        <v>0</v>
      </c>
    </row>
    <row r="39" spans="2:8" ht="13.5" thickTop="1" x14ac:dyDescent="0.2"/>
    <row r="41" spans="2:8" ht="13.5" thickBot="1" x14ac:dyDescent="0.25"/>
    <row r="42" spans="2:8" ht="13.5" thickTop="1" x14ac:dyDescent="0.2">
      <c r="B42" s="242"/>
      <c r="C42" s="195"/>
      <c r="D42" s="195" t="s">
        <v>25</v>
      </c>
      <c r="E42" s="353" t="s">
        <v>235</v>
      </c>
      <c r="F42" s="353" t="s">
        <v>236</v>
      </c>
      <c r="G42" s="353" t="s">
        <v>293</v>
      </c>
      <c r="H42" s="293" t="s">
        <v>294</v>
      </c>
    </row>
    <row r="43" spans="2:8" x14ac:dyDescent="0.2">
      <c r="B43" s="198"/>
      <c r="C43" s="199"/>
      <c r="D43" s="199"/>
      <c r="E43" s="201" t="s">
        <v>510</v>
      </c>
      <c r="F43" s="201" t="s">
        <v>510</v>
      </c>
      <c r="G43" s="201" t="s">
        <v>522</v>
      </c>
      <c r="H43" s="202" t="s">
        <v>522</v>
      </c>
    </row>
    <row r="44" spans="2:8" x14ac:dyDescent="0.2">
      <c r="B44" s="198"/>
      <c r="C44" s="199"/>
      <c r="D44" s="199"/>
      <c r="E44" s="201"/>
      <c r="F44" s="201" t="s">
        <v>1247</v>
      </c>
      <c r="G44" s="201"/>
      <c r="H44" s="202" t="s">
        <v>1247</v>
      </c>
    </row>
    <row r="45" spans="2:8" x14ac:dyDescent="0.2">
      <c r="B45" s="198"/>
      <c r="C45" s="199"/>
      <c r="D45" s="199"/>
      <c r="E45" s="201" t="s">
        <v>1248</v>
      </c>
      <c r="F45" s="201" t="s">
        <v>1248</v>
      </c>
      <c r="G45" s="201" t="s">
        <v>1248</v>
      </c>
      <c r="H45" s="202" t="s">
        <v>1248</v>
      </c>
    </row>
    <row r="46" spans="2:8" x14ac:dyDescent="0.2">
      <c r="B46" s="198" t="s">
        <v>132</v>
      </c>
      <c r="C46" s="199" t="s">
        <v>238</v>
      </c>
      <c r="D46" s="199"/>
      <c r="E46" s="201"/>
      <c r="F46" s="201"/>
      <c r="G46" s="201"/>
      <c r="H46" s="202"/>
    </row>
    <row r="47" spans="2:8" ht="13.5" thickBot="1" x14ac:dyDescent="0.25">
      <c r="B47" s="198"/>
      <c r="C47" s="204" t="s">
        <v>242</v>
      </c>
      <c r="D47" s="204"/>
      <c r="E47" s="278" t="s">
        <v>243</v>
      </c>
      <c r="F47" s="278" t="s">
        <v>243</v>
      </c>
      <c r="G47" s="278" t="s">
        <v>243</v>
      </c>
      <c r="H47" s="202" t="s">
        <v>243</v>
      </c>
    </row>
    <row r="48" spans="2:8" ht="21.95" customHeight="1" x14ac:dyDescent="0.2">
      <c r="B48" s="189" t="s">
        <v>1251</v>
      </c>
      <c r="C48" s="207">
        <v>230</v>
      </c>
      <c r="D48" s="206" t="s">
        <v>248</v>
      </c>
      <c r="E48" s="209">
        <f>U69</f>
        <v>0</v>
      </c>
      <c r="F48" s="209">
        <f>U70</f>
        <v>0</v>
      </c>
      <c r="G48" s="209">
        <f>U74</f>
        <v>0</v>
      </c>
      <c r="H48" s="221">
        <f>U75</f>
        <v>0</v>
      </c>
    </row>
    <row r="49" spans="1:26" ht="21.95" customHeight="1" x14ac:dyDescent="0.2">
      <c r="B49" s="213" t="s">
        <v>1253</v>
      </c>
      <c r="C49" s="218">
        <v>240</v>
      </c>
      <c r="D49" s="217" t="s">
        <v>248</v>
      </c>
      <c r="E49" s="220">
        <f>Q69</f>
        <v>0</v>
      </c>
      <c r="F49" s="220">
        <f>Q70</f>
        <v>0</v>
      </c>
      <c r="G49" s="220">
        <f>Q74</f>
        <v>0</v>
      </c>
      <c r="H49" s="222">
        <f>Q75</f>
        <v>0</v>
      </c>
    </row>
    <row r="50" spans="1:26" ht="21.95" customHeight="1" x14ac:dyDescent="0.2">
      <c r="B50" s="246" t="s">
        <v>1255</v>
      </c>
      <c r="C50" s="218">
        <v>245</v>
      </c>
      <c r="D50" s="217" t="s">
        <v>248</v>
      </c>
      <c r="E50" s="220">
        <f>T69</f>
        <v>0</v>
      </c>
      <c r="F50" s="220">
        <f>T70</f>
        <v>0</v>
      </c>
      <c r="G50" s="220">
        <f>T74</f>
        <v>0</v>
      </c>
      <c r="H50" s="222">
        <f>T75</f>
        <v>0</v>
      </c>
    </row>
    <row r="51" spans="1:26" ht="21.95" customHeight="1" x14ac:dyDescent="0.2">
      <c r="B51" s="213" t="s">
        <v>1257</v>
      </c>
      <c r="C51" s="218">
        <v>250</v>
      </c>
      <c r="D51" s="217" t="s">
        <v>248</v>
      </c>
      <c r="E51" s="300">
        <f>(SUM(M69+N69+L69+G69+H69+I69+J69+O69+P69)+'1415TRU16_AST_P13'!E35)</f>
        <v>0</v>
      </c>
      <c r="F51" s="220">
        <f>SUM(M70+N70+L70+G70+H70+I70+J70+O70+P70)</f>
        <v>0</v>
      </c>
      <c r="G51" s="300">
        <f>(SUM(M74+N74+L74+G74+H74+I74+J74+O74+P74)+'1415TRU17_LIA_P13'!E20+'1415TRU17_LIA_P13'!E84)</f>
        <v>0</v>
      </c>
      <c r="H51" s="298">
        <f>(SUM(M75+N75+L75+G75+H75+I75+J75+O75+P75)+'1415TRU17_LIA_P13'!E94)</f>
        <v>0</v>
      </c>
    </row>
    <row r="52" spans="1:26" ht="21.95" customHeight="1" x14ac:dyDescent="0.2">
      <c r="B52" s="213" t="s">
        <v>1259</v>
      </c>
      <c r="C52" s="218">
        <v>260</v>
      </c>
      <c r="D52" s="217" t="s">
        <v>248</v>
      </c>
      <c r="E52" s="220">
        <f>S69</f>
        <v>0</v>
      </c>
      <c r="F52" s="220">
        <f>S70</f>
        <v>0</v>
      </c>
      <c r="G52" s="220">
        <f>S74</f>
        <v>0</v>
      </c>
      <c r="H52" s="222">
        <f>S75</f>
        <v>0</v>
      </c>
    </row>
    <row r="53" spans="1:26" ht="21.95" customHeight="1" x14ac:dyDescent="0.2">
      <c r="B53" s="213" t="s">
        <v>1260</v>
      </c>
      <c r="C53" s="218">
        <v>270</v>
      </c>
      <c r="D53" s="217" t="s">
        <v>248</v>
      </c>
      <c r="E53" s="300">
        <f>(('1415TRU16_AST_P13'!E43+'1415TRU16_AST_P13'!E114+'1415TRU16_AST_P13'!E204)-SUM(E48:E52))</f>
        <v>0</v>
      </c>
      <c r="F53" s="300">
        <f>('1415TRU16_AST_P13'!E58-SUM(F48:F52))</f>
        <v>0</v>
      </c>
      <c r="G53" s="300">
        <f>(('1415TRU17_LIA_P13'!E25+'1415TRU17_LIA_P13'!E60+'1415TRU17_LIA_P13'!E92+'1415TRU17_LIA_P13'!E144)-SUM(G48:G52))</f>
        <v>0</v>
      </c>
      <c r="H53" s="298">
        <f>(('1415TRU17_LIA_P13'!E36+'1415TRU17_LIA_P13'!E65+'1415TRU17_LIA_P13'!E102+'1415TRU17_LIA_P13'!E149)-SUM(H48:H52))</f>
        <v>0</v>
      </c>
    </row>
    <row r="54" spans="1:26" ht="21.95" customHeight="1" thickBot="1" x14ac:dyDescent="0.25">
      <c r="B54" s="226" t="s">
        <v>1261</v>
      </c>
      <c r="C54" s="358">
        <v>280</v>
      </c>
      <c r="D54" s="357" t="s">
        <v>248</v>
      </c>
      <c r="E54" s="834">
        <f>SUM(E48:E53)</f>
        <v>0</v>
      </c>
      <c r="F54" s="834">
        <f>SUM(F48:F53)</f>
        <v>0</v>
      </c>
      <c r="G54" s="834">
        <f>SUM(G48:G53)</f>
        <v>0</v>
      </c>
      <c r="H54" s="227">
        <f>SUM(H48:H53)</f>
        <v>0</v>
      </c>
    </row>
    <row r="55" spans="1:26" ht="21.95" customHeight="1" x14ac:dyDescent="0.2">
      <c r="A55" s="99"/>
      <c r="B55" s="473" t="s">
        <v>1251</v>
      </c>
      <c r="C55" s="207">
        <v>290</v>
      </c>
      <c r="D55" s="206" t="s">
        <v>248</v>
      </c>
      <c r="E55" s="869"/>
      <c r="F55" s="869"/>
      <c r="G55" s="869"/>
      <c r="H55" s="870"/>
      <c r="I55" s="99"/>
      <c r="J55" s="99"/>
      <c r="K55" s="99"/>
      <c r="L55" s="99"/>
      <c r="M55" s="99"/>
      <c r="N55" s="99"/>
      <c r="O55" s="99"/>
      <c r="P55" s="99"/>
      <c r="Q55" s="99"/>
      <c r="S55" s="99"/>
      <c r="T55" s="99"/>
      <c r="U55" s="99"/>
      <c r="V55" s="99"/>
      <c r="W55" s="99"/>
      <c r="X55" s="99"/>
      <c r="Y55" s="99"/>
      <c r="Z55" s="99"/>
    </row>
    <row r="56" spans="1:26" ht="21.95" customHeight="1" x14ac:dyDescent="0.2">
      <c r="A56" s="99"/>
      <c r="B56" s="246" t="s">
        <v>1253</v>
      </c>
      <c r="C56" s="218">
        <v>300</v>
      </c>
      <c r="D56" s="217" t="s">
        <v>248</v>
      </c>
      <c r="E56" s="458"/>
      <c r="F56" s="458"/>
      <c r="G56" s="458"/>
      <c r="H56" s="799"/>
      <c r="I56" s="99"/>
      <c r="J56" s="99"/>
      <c r="K56" s="99"/>
      <c r="L56" s="99"/>
      <c r="M56" s="99"/>
      <c r="N56" s="99"/>
      <c r="O56" s="99"/>
      <c r="P56" s="99"/>
      <c r="Q56" s="99"/>
      <c r="S56" s="99"/>
      <c r="T56" s="99"/>
      <c r="U56" s="99"/>
      <c r="V56" s="99"/>
      <c r="W56" s="99"/>
      <c r="X56" s="99"/>
      <c r="Y56" s="99"/>
      <c r="Z56" s="99"/>
    </row>
    <row r="57" spans="1:26" ht="21.95" customHeight="1" x14ac:dyDescent="0.2">
      <c r="A57" s="99"/>
      <c r="B57" s="246" t="s">
        <v>1255</v>
      </c>
      <c r="C57" s="481">
        <v>305</v>
      </c>
      <c r="D57" s="482" t="s">
        <v>248</v>
      </c>
      <c r="E57" s="459"/>
      <c r="F57" s="459"/>
      <c r="G57" s="459"/>
      <c r="H57" s="566"/>
      <c r="I57" s="99"/>
      <c r="J57" s="99"/>
      <c r="K57" s="99"/>
      <c r="L57" s="99"/>
      <c r="M57" s="99"/>
      <c r="N57" s="99"/>
      <c r="O57" s="99"/>
      <c r="P57" s="99"/>
      <c r="Q57" s="99"/>
      <c r="S57" s="99"/>
      <c r="T57" s="99"/>
      <c r="U57" s="99"/>
      <c r="V57" s="99"/>
      <c r="W57" s="99"/>
      <c r="X57" s="99"/>
      <c r="Y57" s="99"/>
      <c r="Z57" s="99"/>
    </row>
    <row r="58" spans="1:26" ht="21.95" customHeight="1" x14ac:dyDescent="0.2">
      <c r="A58" s="99"/>
      <c r="B58" s="246" t="s">
        <v>1262</v>
      </c>
      <c r="C58" s="218">
        <v>310</v>
      </c>
      <c r="D58" s="217" t="s">
        <v>248</v>
      </c>
      <c r="E58" s="458"/>
      <c r="F58" s="458"/>
      <c r="G58" s="458"/>
      <c r="H58" s="799"/>
      <c r="I58" s="99"/>
      <c r="J58" s="99"/>
      <c r="K58" s="99"/>
      <c r="L58" s="99"/>
      <c r="M58" s="99"/>
      <c r="N58" s="99"/>
      <c r="O58" s="99"/>
      <c r="P58" s="99"/>
      <c r="Q58" s="99"/>
      <c r="S58" s="99"/>
      <c r="T58" s="99"/>
      <c r="U58" s="99"/>
      <c r="V58" s="99"/>
      <c r="W58" s="99"/>
      <c r="X58" s="99"/>
      <c r="Y58" s="99"/>
      <c r="Z58" s="99"/>
    </row>
    <row r="59" spans="1:26" ht="21.95" customHeight="1" x14ac:dyDescent="0.2">
      <c r="A59" s="99"/>
      <c r="B59" s="246" t="s">
        <v>1259</v>
      </c>
      <c r="C59" s="218">
        <v>320</v>
      </c>
      <c r="D59" s="217" t="s">
        <v>248</v>
      </c>
      <c r="E59" s="458"/>
      <c r="F59" s="458"/>
      <c r="G59" s="458"/>
      <c r="H59" s="799"/>
      <c r="I59" s="99"/>
      <c r="J59" s="99"/>
      <c r="K59" s="99"/>
      <c r="L59" s="99"/>
      <c r="M59" s="99"/>
      <c r="N59" s="99"/>
      <c r="O59" s="99"/>
      <c r="P59" s="99"/>
      <c r="Q59" s="99"/>
      <c r="S59" s="99"/>
      <c r="T59" s="99"/>
      <c r="U59" s="99"/>
      <c r="V59" s="99"/>
      <c r="W59" s="99"/>
      <c r="X59" s="99"/>
      <c r="Y59" s="99"/>
      <c r="Z59" s="99"/>
    </row>
    <row r="60" spans="1:26" ht="21.95" customHeight="1" x14ac:dyDescent="0.2">
      <c r="A60" s="99"/>
      <c r="B60" s="246" t="s">
        <v>1260</v>
      </c>
      <c r="C60" s="234">
        <v>330</v>
      </c>
      <c r="D60" s="237" t="s">
        <v>248</v>
      </c>
      <c r="E60" s="783"/>
      <c r="F60" s="783"/>
      <c r="G60" s="783"/>
      <c r="H60" s="799"/>
      <c r="I60" s="99"/>
      <c r="J60" s="99"/>
      <c r="K60" s="99"/>
      <c r="L60" s="99"/>
      <c r="M60" s="99"/>
      <c r="N60" s="99"/>
      <c r="O60" s="99"/>
      <c r="P60" s="99"/>
      <c r="Q60" s="99"/>
      <c r="S60" s="99"/>
      <c r="T60" s="99"/>
      <c r="U60" s="99"/>
      <c r="V60" s="99"/>
      <c r="W60" s="99"/>
      <c r="X60" s="99"/>
      <c r="Y60" s="99"/>
      <c r="Z60" s="99"/>
    </row>
    <row r="61" spans="1:26" ht="21.95" customHeight="1" thickBot="1" x14ac:dyDescent="0.25">
      <c r="B61" s="233" t="s">
        <v>1263</v>
      </c>
      <c r="C61" s="236">
        <v>340</v>
      </c>
      <c r="D61" s="235" t="s">
        <v>248</v>
      </c>
      <c r="E61" s="756">
        <f>SUM(E55:E60)</f>
        <v>0</v>
      </c>
      <c r="F61" s="756">
        <f t="shared" ref="F61:H61" si="0">SUM(F55:F60)</f>
        <v>0</v>
      </c>
      <c r="G61" s="756">
        <f t="shared" si="0"/>
        <v>0</v>
      </c>
      <c r="H61" s="685">
        <f t="shared" si="0"/>
        <v>0</v>
      </c>
    </row>
    <row r="62" spans="1:26" ht="13.5" thickTop="1" x14ac:dyDescent="0.2"/>
    <row r="64" spans="1:26" ht="13.5" hidden="1" thickBot="1" x14ac:dyDescent="0.25"/>
    <row r="65" spans="2:21" ht="13.5" hidden="1" thickTop="1" x14ac:dyDescent="0.2">
      <c r="B65" s="242"/>
      <c r="C65" s="195"/>
      <c r="D65" s="195" t="s">
        <v>25</v>
      </c>
      <c r="E65" s="353" t="s">
        <v>235</v>
      </c>
      <c r="F65" s="353" t="s">
        <v>236</v>
      </c>
      <c r="G65" s="353" t="s">
        <v>293</v>
      </c>
      <c r="H65" s="353" t="s">
        <v>294</v>
      </c>
      <c r="I65" s="353" t="s">
        <v>295</v>
      </c>
      <c r="J65" s="353" t="s">
        <v>296</v>
      </c>
      <c r="K65" s="353" t="s">
        <v>342</v>
      </c>
      <c r="L65" s="353" t="s">
        <v>297</v>
      </c>
      <c r="M65" s="353" t="s">
        <v>298</v>
      </c>
      <c r="N65" s="353" t="s">
        <v>299</v>
      </c>
      <c r="O65" s="353" t="s">
        <v>360</v>
      </c>
      <c r="P65" s="353" t="s">
        <v>361</v>
      </c>
      <c r="Q65" s="835" t="s">
        <v>362</v>
      </c>
      <c r="R65" s="97"/>
      <c r="S65" s="353" t="s">
        <v>577</v>
      </c>
      <c r="T65" s="353" t="s">
        <v>578</v>
      </c>
      <c r="U65" s="293" t="s">
        <v>579</v>
      </c>
    </row>
    <row r="66" spans="2:21" ht="51" hidden="1" x14ac:dyDescent="0.2">
      <c r="B66" s="198" t="s">
        <v>1264</v>
      </c>
      <c r="C66" s="199" t="s">
        <v>238</v>
      </c>
      <c r="D66" s="199"/>
      <c r="E66" s="201"/>
      <c r="F66" s="201"/>
      <c r="G66" s="201" t="s">
        <v>1005</v>
      </c>
      <c r="H66" s="201" t="s">
        <v>1006</v>
      </c>
      <c r="I66" s="201" t="s">
        <v>1007</v>
      </c>
      <c r="J66" s="201" t="s">
        <v>590</v>
      </c>
      <c r="K66" s="201" t="s">
        <v>1008</v>
      </c>
      <c r="L66" s="201" t="s">
        <v>1265</v>
      </c>
      <c r="M66" s="201" t="s">
        <v>1266</v>
      </c>
      <c r="N66" s="201" t="s">
        <v>1267</v>
      </c>
      <c r="O66" s="201" t="s">
        <v>599</v>
      </c>
      <c r="P66" s="201" t="s">
        <v>1268</v>
      </c>
      <c r="Q66" s="836" t="s">
        <v>1269</v>
      </c>
      <c r="R66" s="97"/>
      <c r="S66" s="201" t="s">
        <v>1270</v>
      </c>
      <c r="T66" s="201" t="s">
        <v>1271</v>
      </c>
      <c r="U66" s="202" t="s">
        <v>1272</v>
      </c>
    </row>
    <row r="67" spans="2:21" ht="13.5" hidden="1" thickBot="1" x14ac:dyDescent="0.25">
      <c r="B67" s="198"/>
      <c r="C67" s="204" t="s">
        <v>242</v>
      </c>
      <c r="D67" s="204"/>
      <c r="E67" s="278"/>
      <c r="F67" s="278"/>
      <c r="G67" s="278"/>
      <c r="H67" s="278"/>
      <c r="I67" s="278" t="s">
        <v>243</v>
      </c>
      <c r="J67" s="278" t="s">
        <v>243</v>
      </c>
      <c r="K67" s="278" t="s">
        <v>243</v>
      </c>
      <c r="L67" s="278" t="s">
        <v>243</v>
      </c>
      <c r="M67" s="278" t="s">
        <v>243</v>
      </c>
      <c r="N67" s="278" t="s">
        <v>243</v>
      </c>
      <c r="O67" s="278" t="s">
        <v>243</v>
      </c>
      <c r="P67" s="278" t="s">
        <v>243</v>
      </c>
      <c r="Q67" s="837" t="s">
        <v>243</v>
      </c>
      <c r="R67" s="97"/>
      <c r="S67" s="278" t="s">
        <v>243</v>
      </c>
      <c r="T67" s="278" t="s">
        <v>243</v>
      </c>
      <c r="U67" s="202" t="s">
        <v>243</v>
      </c>
    </row>
    <row r="68" spans="2:21" ht="21.95" hidden="1" customHeight="1" x14ac:dyDescent="0.2">
      <c r="B68" s="314" t="s">
        <v>1273</v>
      </c>
      <c r="C68" s="763"/>
      <c r="D68" s="735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838"/>
      <c r="S68" s="317"/>
      <c r="T68" s="317"/>
      <c r="U68" s="318"/>
    </row>
    <row r="69" spans="2:21" ht="21.95" hidden="1" customHeight="1" x14ac:dyDescent="0.2">
      <c r="B69" s="188" t="s">
        <v>1274</v>
      </c>
      <c r="C69" s="251">
        <v>400</v>
      </c>
      <c r="D69" s="250" t="s">
        <v>248</v>
      </c>
      <c r="E69" s="321"/>
      <c r="F69" s="321"/>
      <c r="G69" s="306">
        <f>'1415TRU16_AST_P13'!AC221</f>
        <v>0</v>
      </c>
      <c r="H69" s="306">
        <f>'1415TRU16_AST_P13'!AD221</f>
        <v>0</v>
      </c>
      <c r="I69" s="306">
        <f>'1415TRU16_AST_P13'!AE221</f>
        <v>0</v>
      </c>
      <c r="J69" s="306">
        <f>'1415TRU16_AST_P13'!AF221</f>
        <v>0</v>
      </c>
      <c r="K69" s="306">
        <f>'1415TRU16_AST_P13'!AG221</f>
        <v>0</v>
      </c>
      <c r="L69" s="306">
        <f>'1415TRU16_AST_P13'!AH221</f>
        <v>0</v>
      </c>
      <c r="M69" s="306">
        <f>'1415TRU16_AST_P13'!AI221</f>
        <v>0</v>
      </c>
      <c r="N69" s="306">
        <f>'1415TRU16_AST_P13'!AJ221</f>
        <v>0</v>
      </c>
      <c r="O69" s="306">
        <f>'1415TRU16_AST_P13'!AK221</f>
        <v>0</v>
      </c>
      <c r="P69" s="306">
        <f>'1415TRU16_AST_P13'!AL221</f>
        <v>0</v>
      </c>
      <c r="Q69" s="871">
        <f>'1415TRU16_AST_P13'!AM221</f>
        <v>0</v>
      </c>
      <c r="S69" s="422"/>
      <c r="T69" s="422"/>
      <c r="U69" s="255">
        <f>K69-S69-T69</f>
        <v>0</v>
      </c>
    </row>
    <row r="70" spans="2:21" ht="21.95" hidden="1" customHeight="1" x14ac:dyDescent="0.2">
      <c r="B70" s="213" t="s">
        <v>1275</v>
      </c>
      <c r="C70" s="218">
        <v>410</v>
      </c>
      <c r="D70" s="217" t="s">
        <v>248</v>
      </c>
      <c r="E70" s="324"/>
      <c r="F70" s="324"/>
      <c r="G70" s="300">
        <f>'1415TRU16_AST_P13'!AC222</f>
        <v>0</v>
      </c>
      <c r="H70" s="300">
        <f>'1415TRU16_AST_P13'!AD222</f>
        <v>0</v>
      </c>
      <c r="I70" s="300">
        <f>'1415TRU16_AST_P13'!AE222</f>
        <v>0</v>
      </c>
      <c r="J70" s="300">
        <f>'1415TRU16_AST_P13'!AF222</f>
        <v>0</v>
      </c>
      <c r="K70" s="300">
        <f>'1415TRU16_AST_P13'!AG222</f>
        <v>0</v>
      </c>
      <c r="L70" s="300">
        <f>'1415TRU16_AST_P13'!AH222</f>
        <v>0</v>
      </c>
      <c r="M70" s="300">
        <f>'1415TRU16_AST_P13'!AI222</f>
        <v>0</v>
      </c>
      <c r="N70" s="300">
        <f>'1415TRU16_AST_P13'!AJ222</f>
        <v>0</v>
      </c>
      <c r="O70" s="300">
        <f>'1415TRU16_AST_P13'!AK222</f>
        <v>0</v>
      </c>
      <c r="P70" s="300">
        <f>'1415TRU16_AST_P13'!AL222</f>
        <v>0</v>
      </c>
      <c r="Q70" s="872">
        <f>'1415TRU16_AST_P13'!AM222</f>
        <v>0</v>
      </c>
      <c r="S70" s="228"/>
      <c r="T70" s="228"/>
      <c r="U70" s="222">
        <f>K70-S70-T70</f>
        <v>0</v>
      </c>
    </row>
    <row r="71" spans="2:21" ht="21.95" hidden="1" customHeight="1" thickBot="1" x14ac:dyDescent="0.25">
      <c r="B71" s="226" t="s">
        <v>1276</v>
      </c>
      <c r="C71" s="358">
        <v>420</v>
      </c>
      <c r="D71" s="357" t="s">
        <v>248</v>
      </c>
      <c r="E71" s="360"/>
      <c r="F71" s="360"/>
      <c r="G71" s="834">
        <f t="shared" ref="G71:Q71" si="1">SUM(G69:G70)</f>
        <v>0</v>
      </c>
      <c r="H71" s="834">
        <f t="shared" si="1"/>
        <v>0</v>
      </c>
      <c r="I71" s="834">
        <f t="shared" si="1"/>
        <v>0</v>
      </c>
      <c r="J71" s="834">
        <f t="shared" si="1"/>
        <v>0</v>
      </c>
      <c r="K71" s="834">
        <f t="shared" si="1"/>
        <v>0</v>
      </c>
      <c r="L71" s="834">
        <f t="shared" si="1"/>
        <v>0</v>
      </c>
      <c r="M71" s="834">
        <f t="shared" si="1"/>
        <v>0</v>
      </c>
      <c r="N71" s="834">
        <f t="shared" si="1"/>
        <v>0</v>
      </c>
      <c r="O71" s="834">
        <f t="shared" si="1"/>
        <v>0</v>
      </c>
      <c r="P71" s="834">
        <f t="shared" si="1"/>
        <v>0</v>
      </c>
      <c r="Q71" s="839">
        <f t="shared" si="1"/>
        <v>0</v>
      </c>
      <c r="S71" s="834">
        <f>SUM(S69:S70)</f>
        <v>0</v>
      </c>
      <c r="T71" s="834">
        <f>SUM(T69:T70)</f>
        <v>0</v>
      </c>
      <c r="U71" s="227">
        <f>SUM(U69:U70)</f>
        <v>0</v>
      </c>
    </row>
    <row r="72" spans="2:21" ht="21.95" hidden="1" customHeight="1" thickBot="1" x14ac:dyDescent="0.25">
      <c r="B72" s="189" t="s">
        <v>1277</v>
      </c>
      <c r="C72" s="558">
        <v>430</v>
      </c>
      <c r="D72" s="160" t="s">
        <v>248</v>
      </c>
      <c r="E72" s="788"/>
      <c r="F72" s="788"/>
      <c r="G72" s="861" t="e">
        <f>#REF!</f>
        <v>#REF!</v>
      </c>
      <c r="H72" s="861" t="e">
        <f>(#REF!+#REF!)</f>
        <v>#REF!</v>
      </c>
      <c r="I72" s="866" t="e">
        <f>#REF!</f>
        <v>#REF!</v>
      </c>
      <c r="J72" s="861" t="e">
        <f>#REF!</f>
        <v>#REF!</v>
      </c>
      <c r="K72" s="840"/>
      <c r="L72" s="861" t="e">
        <f>#REF!</f>
        <v>#REF!</v>
      </c>
      <c r="M72" s="861" t="e">
        <f>#REF!</f>
        <v>#REF!</v>
      </c>
      <c r="N72" s="861" t="e">
        <f>#REF!</f>
        <v>#REF!</v>
      </c>
      <c r="O72" s="866" t="e">
        <f>#REF!</f>
        <v>#REF!</v>
      </c>
      <c r="P72" s="866" t="e">
        <f>#REF!</f>
        <v>#REF!</v>
      </c>
      <c r="Q72" s="863" t="e">
        <f>#REF!</f>
        <v>#REF!</v>
      </c>
      <c r="S72" s="866" t="e">
        <f>#REF!</f>
        <v>#REF!</v>
      </c>
      <c r="T72" s="866" t="e">
        <f>#REF!</f>
        <v>#REF!</v>
      </c>
      <c r="U72" s="868" t="e">
        <f>#REF!</f>
        <v>#REF!</v>
      </c>
    </row>
    <row r="73" spans="2:21" ht="21.95" hidden="1" customHeight="1" x14ac:dyDescent="0.2">
      <c r="B73" s="314" t="s">
        <v>1278</v>
      </c>
      <c r="C73" s="763"/>
      <c r="D73" s="735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540"/>
      <c r="P73" s="540"/>
      <c r="Q73" s="841"/>
      <c r="S73" s="540"/>
      <c r="T73" s="540"/>
      <c r="U73" s="842"/>
    </row>
    <row r="74" spans="2:21" ht="21.95" hidden="1" customHeight="1" x14ac:dyDescent="0.2">
      <c r="B74" s="188" t="s">
        <v>1279</v>
      </c>
      <c r="C74" s="251">
        <v>440</v>
      </c>
      <c r="D74" s="250" t="s">
        <v>248</v>
      </c>
      <c r="E74" s="321"/>
      <c r="F74" s="321"/>
      <c r="G74" s="306">
        <f>'1415TRU17_LIA_P13'!AC209</f>
        <v>0</v>
      </c>
      <c r="H74" s="306">
        <f>'1415TRU17_LIA_P13'!AD209</f>
        <v>0</v>
      </c>
      <c r="I74" s="306">
        <f>'1415TRU17_LIA_P13'!AE209</f>
        <v>0</v>
      </c>
      <c r="J74" s="306">
        <f>'1415TRU17_LIA_P13'!AF209</f>
        <v>0</v>
      </c>
      <c r="K74" s="306">
        <f>'1415TRU17_LIA_P13'!AG209</f>
        <v>0</v>
      </c>
      <c r="L74" s="306">
        <f>'1415TRU17_LIA_P13'!AH209</f>
        <v>0</v>
      </c>
      <c r="M74" s="750">
        <f>'1415TRU17_LIA_P13'!AI209</f>
        <v>0</v>
      </c>
      <c r="N74" s="750">
        <f>'1415TRU17_LIA_P13'!AJ209</f>
        <v>0</v>
      </c>
      <c r="O74" s="750">
        <f>'1415TRU17_LIA_P13'!AK209</f>
        <v>0</v>
      </c>
      <c r="P74" s="306">
        <f>'1415TRU17_LIA_P13'!AL209</f>
        <v>0</v>
      </c>
      <c r="Q74" s="871">
        <f>'1415TRU17_LIA_P13'!AM209</f>
        <v>0</v>
      </c>
      <c r="S74" s="691"/>
      <c r="T74" s="691"/>
      <c r="U74" s="843">
        <f>K74-S74-T74</f>
        <v>0</v>
      </c>
    </row>
    <row r="75" spans="2:21" ht="21.95" hidden="1" customHeight="1" x14ac:dyDescent="0.2">
      <c r="B75" s="213" t="s">
        <v>1280</v>
      </c>
      <c r="C75" s="218">
        <v>450</v>
      </c>
      <c r="D75" s="217" t="s">
        <v>248</v>
      </c>
      <c r="E75" s="324"/>
      <c r="F75" s="324"/>
      <c r="G75" s="300">
        <f>'1415TRU17_LIA_P13'!AC210</f>
        <v>0</v>
      </c>
      <c r="H75" s="300">
        <f>'1415TRU17_LIA_P13'!AD210</f>
        <v>0</v>
      </c>
      <c r="I75" s="300">
        <f>'1415TRU17_LIA_P13'!AE210</f>
        <v>0</v>
      </c>
      <c r="J75" s="300">
        <f>'1415TRU17_LIA_P13'!AF210</f>
        <v>0</v>
      </c>
      <c r="K75" s="300">
        <f>'1415TRU17_LIA_P13'!AG210</f>
        <v>0</v>
      </c>
      <c r="L75" s="300">
        <f>'1415TRU17_LIA_P13'!AH210</f>
        <v>0</v>
      </c>
      <c r="M75" s="664">
        <f>'1415TRU17_LIA_P13'!AI210</f>
        <v>0</v>
      </c>
      <c r="N75" s="664">
        <f>'1415TRU17_LIA_P13'!AJ210</f>
        <v>0</v>
      </c>
      <c r="O75" s="664">
        <f>'1415TRU17_LIA_P13'!AK210</f>
        <v>0</v>
      </c>
      <c r="P75" s="300">
        <f>'1415TRU17_LIA_P13'!AL210</f>
        <v>0</v>
      </c>
      <c r="Q75" s="872">
        <f>'1415TRU17_LIA_P13'!AM210</f>
        <v>0</v>
      </c>
      <c r="S75" s="561"/>
      <c r="T75" s="561"/>
      <c r="U75" s="661">
        <f>K75-S75-T75</f>
        <v>0</v>
      </c>
    </row>
    <row r="76" spans="2:21" ht="21.95" hidden="1" customHeight="1" thickBot="1" x14ac:dyDescent="0.25">
      <c r="B76" s="226" t="s">
        <v>1281</v>
      </c>
      <c r="C76" s="234">
        <v>460</v>
      </c>
      <c r="D76" s="237" t="s">
        <v>248</v>
      </c>
      <c r="E76" s="258"/>
      <c r="F76" s="258"/>
      <c r="G76" s="239">
        <f t="shared" ref="G76:Q76" si="2">SUM(G74:G75)</f>
        <v>0</v>
      </c>
      <c r="H76" s="239">
        <f t="shared" si="2"/>
        <v>0</v>
      </c>
      <c r="I76" s="239">
        <f t="shared" si="2"/>
        <v>0</v>
      </c>
      <c r="J76" s="239">
        <f t="shared" si="2"/>
        <v>0</v>
      </c>
      <c r="K76" s="239">
        <f t="shared" si="2"/>
        <v>0</v>
      </c>
      <c r="L76" s="239">
        <f t="shared" si="2"/>
        <v>0</v>
      </c>
      <c r="M76" s="239">
        <f t="shared" si="2"/>
        <v>0</v>
      </c>
      <c r="N76" s="239">
        <f t="shared" si="2"/>
        <v>0</v>
      </c>
      <c r="O76" s="239">
        <f t="shared" si="2"/>
        <v>0</v>
      </c>
      <c r="P76" s="239">
        <f t="shared" si="2"/>
        <v>0</v>
      </c>
      <c r="Q76" s="846">
        <f t="shared" si="2"/>
        <v>0</v>
      </c>
      <c r="S76" s="239">
        <f>SUM(S74:S75)</f>
        <v>0</v>
      </c>
      <c r="T76" s="239">
        <f>SUM(T74:T75)</f>
        <v>0</v>
      </c>
      <c r="U76" s="227">
        <f>SUM(U74:U75)</f>
        <v>0</v>
      </c>
    </row>
    <row r="77" spans="2:21" ht="21.95" hidden="1" customHeight="1" thickBot="1" x14ac:dyDescent="0.25">
      <c r="B77" s="811" t="s">
        <v>1282</v>
      </c>
      <c r="C77" s="814">
        <v>470</v>
      </c>
      <c r="D77" s="813" t="s">
        <v>248</v>
      </c>
      <c r="E77" s="844"/>
      <c r="F77" s="844"/>
      <c r="G77" s="860" t="e">
        <f>#REF!</f>
        <v>#REF!</v>
      </c>
      <c r="H77" s="860" t="e">
        <f>(#REF!+#REF!)</f>
        <v>#REF!</v>
      </c>
      <c r="I77" s="860" t="e">
        <f>#REF!</f>
        <v>#REF!</v>
      </c>
      <c r="J77" s="860" t="e">
        <f>#REF!</f>
        <v>#REF!</v>
      </c>
      <c r="K77" s="845"/>
      <c r="L77" s="860" t="e">
        <f>#REF!</f>
        <v>#REF!</v>
      </c>
      <c r="M77" s="860" t="e">
        <f>#REF!</f>
        <v>#REF!</v>
      </c>
      <c r="N77" s="860" t="e">
        <f>#REF!</f>
        <v>#REF!</v>
      </c>
      <c r="O77" s="865" t="e">
        <f>#REF!</f>
        <v>#REF!</v>
      </c>
      <c r="P77" s="865" t="e">
        <f>#REF!</f>
        <v>#REF!</v>
      </c>
      <c r="Q77" s="862" t="e">
        <f>#REF!</f>
        <v>#REF!</v>
      </c>
      <c r="S77" s="865" t="e">
        <f>#REF!</f>
        <v>#REF!</v>
      </c>
      <c r="T77" s="865" t="e">
        <f>#REF!</f>
        <v>#REF!</v>
      </c>
      <c r="U77" s="867" t="e">
        <f>#REF!</f>
        <v>#REF!</v>
      </c>
    </row>
    <row r="78" spans="2:21" ht="13.5" hidden="1" thickTop="1" x14ac:dyDescent="0.2">
      <c r="C78" s="157"/>
      <c r="D78" s="157"/>
    </row>
    <row r="79" spans="2:21" x14ac:dyDescent="0.2">
      <c r="C79" s="157"/>
      <c r="D79" s="157"/>
    </row>
    <row r="80" spans="2:21" ht="13.5" thickBot="1" x14ac:dyDescent="0.25">
      <c r="C80" s="157"/>
      <c r="D80" s="157"/>
    </row>
    <row r="81" spans="1:26" ht="13.5" hidden="1" thickBot="1" x14ac:dyDescent="0.25">
      <c r="A81" s="99"/>
      <c r="B81" s="97"/>
      <c r="C81" s="97"/>
      <c r="D81" s="97" t="s">
        <v>25</v>
      </c>
      <c r="E81" s="97" t="s">
        <v>235</v>
      </c>
      <c r="F81" s="97" t="s">
        <v>236</v>
      </c>
    </row>
    <row r="82" spans="1:26" ht="13.5" hidden="1" thickBot="1" x14ac:dyDescent="0.25">
      <c r="A82" s="99"/>
      <c r="B82" s="97" t="s">
        <v>1283</v>
      </c>
      <c r="C82" s="97" t="s">
        <v>238</v>
      </c>
      <c r="D82" s="97"/>
      <c r="E82" s="97" t="s">
        <v>799</v>
      </c>
      <c r="F82" s="97" t="s">
        <v>240</v>
      </c>
    </row>
    <row r="83" spans="1:26" ht="13.5" hidden="1" thickBot="1" x14ac:dyDescent="0.25">
      <c r="A83" s="99"/>
      <c r="B83" s="97"/>
      <c r="C83" s="97" t="s">
        <v>242</v>
      </c>
      <c r="D83" s="97"/>
      <c r="E83" s="97" t="s">
        <v>243</v>
      </c>
      <c r="F83" s="97" t="s">
        <v>243</v>
      </c>
    </row>
    <row r="84" spans="1:26" ht="13.5" hidden="1" thickBot="1" x14ac:dyDescent="0.25">
      <c r="A84" s="105"/>
      <c r="B84" t="s">
        <v>1284</v>
      </c>
      <c r="C84" s="97">
        <v>600</v>
      </c>
      <c r="D84" t="s">
        <v>248</v>
      </c>
    </row>
    <row r="85" spans="1:26" ht="13.5" hidden="1" thickBot="1" x14ac:dyDescent="0.25">
      <c r="A85" s="105"/>
      <c r="B85" t="s">
        <v>1285</v>
      </c>
      <c r="C85" s="97">
        <v>610</v>
      </c>
      <c r="D85" t="s">
        <v>245</v>
      </c>
    </row>
    <row r="86" spans="1:26" ht="13.5" hidden="1" thickBot="1" x14ac:dyDescent="0.25">
      <c r="A86" s="99"/>
    </row>
    <row r="87" spans="1:26" ht="13.5" hidden="1" thickBot="1" x14ac:dyDescent="0.25">
      <c r="A87" s="99"/>
    </row>
    <row r="88" spans="1:26" ht="13.5" hidden="1" thickBot="1" x14ac:dyDescent="0.25">
      <c r="A88" s="99"/>
    </row>
    <row r="89" spans="1:26" ht="13.5" thickTop="1" x14ac:dyDescent="0.2">
      <c r="B89" s="242"/>
      <c r="C89" s="195"/>
      <c r="D89" s="195" t="s">
        <v>25</v>
      </c>
      <c r="E89" s="353" t="s">
        <v>235</v>
      </c>
      <c r="F89" s="353" t="s">
        <v>236</v>
      </c>
      <c r="G89" s="353" t="s">
        <v>293</v>
      </c>
      <c r="H89" s="353" t="s">
        <v>294</v>
      </c>
      <c r="I89" s="353" t="s">
        <v>295</v>
      </c>
      <c r="J89" s="353" t="s">
        <v>296</v>
      </c>
      <c r="K89" s="353" t="s">
        <v>342</v>
      </c>
      <c r="L89" s="353" t="s">
        <v>297</v>
      </c>
      <c r="M89" s="353" t="s">
        <v>298</v>
      </c>
      <c r="N89" s="293" t="s">
        <v>299</v>
      </c>
      <c r="O89" s="97"/>
    </row>
    <row r="90" spans="1:26" ht="51" x14ac:dyDescent="0.2">
      <c r="B90" s="198" t="s">
        <v>133</v>
      </c>
      <c r="C90" s="199" t="s">
        <v>238</v>
      </c>
      <c r="D90" s="199"/>
      <c r="E90" s="201" t="s">
        <v>1286</v>
      </c>
      <c r="F90" s="201" t="s">
        <v>1287</v>
      </c>
      <c r="G90" s="201" t="s">
        <v>1288</v>
      </c>
      <c r="H90" s="201" t="s">
        <v>1289</v>
      </c>
      <c r="I90" s="201" t="s">
        <v>1290</v>
      </c>
      <c r="J90" s="201" t="s">
        <v>352</v>
      </c>
      <c r="K90" s="201" t="s">
        <v>1291</v>
      </c>
      <c r="L90" s="201" t="s">
        <v>340</v>
      </c>
      <c r="M90" s="201" t="s">
        <v>1292</v>
      </c>
      <c r="N90" s="202" t="s">
        <v>1293</v>
      </c>
      <c r="O90" s="97"/>
    </row>
    <row r="91" spans="1:26" ht="13.5" thickBot="1" x14ac:dyDescent="0.25">
      <c r="B91" s="198"/>
      <c r="C91" s="204" t="s">
        <v>242</v>
      </c>
      <c r="D91" s="204"/>
      <c r="E91" s="278" t="s">
        <v>243</v>
      </c>
      <c r="F91" s="278" t="s">
        <v>243</v>
      </c>
      <c r="G91" s="278" t="s">
        <v>243</v>
      </c>
      <c r="H91" s="278" t="s">
        <v>243</v>
      </c>
      <c r="I91" s="278" t="s">
        <v>243</v>
      </c>
      <c r="J91" s="278" t="s">
        <v>243</v>
      </c>
      <c r="K91" s="278" t="s">
        <v>243</v>
      </c>
      <c r="L91" s="278" t="s">
        <v>243</v>
      </c>
      <c r="M91" s="278" t="s">
        <v>243</v>
      </c>
      <c r="N91" s="202" t="s">
        <v>243</v>
      </c>
      <c r="O91" s="97"/>
    </row>
    <row r="92" spans="1:26" ht="30" customHeight="1" x14ac:dyDescent="0.2">
      <c r="B92" s="1098" t="s">
        <v>305</v>
      </c>
      <c r="C92" s="207">
        <v>620</v>
      </c>
      <c r="D92" s="206" t="s">
        <v>248</v>
      </c>
      <c r="E92" s="463"/>
      <c r="F92" s="463"/>
      <c r="G92" s="463"/>
      <c r="H92" s="847"/>
      <c r="I92" s="847"/>
      <c r="J92" s="847"/>
      <c r="K92" s="463"/>
      <c r="L92" s="463">
        <f>SUM(E92:J92)</f>
        <v>0</v>
      </c>
      <c r="M92" s="847"/>
      <c r="N92" s="363"/>
    </row>
    <row r="93" spans="1:26" hidden="1" x14ac:dyDescent="0.2">
      <c r="A93" s="99"/>
      <c r="B93" s="97" t="s">
        <v>304</v>
      </c>
      <c r="C93" s="172">
        <v>630</v>
      </c>
      <c r="D93" s="157" t="s">
        <v>251</v>
      </c>
      <c r="L93" s="97"/>
    </row>
    <row r="94" spans="1:26" hidden="1" x14ac:dyDescent="0.2">
      <c r="A94" s="105"/>
      <c r="B94" s="97" t="s">
        <v>303</v>
      </c>
      <c r="C94" s="172">
        <v>640</v>
      </c>
      <c r="D94" s="157" t="s">
        <v>251</v>
      </c>
      <c r="L94" s="97"/>
    </row>
    <row r="95" spans="1:26" hidden="1" x14ac:dyDescent="0.2">
      <c r="A95" s="99"/>
      <c r="B95" s="97" t="s">
        <v>387</v>
      </c>
      <c r="C95" s="172">
        <v>650</v>
      </c>
      <c r="D95" s="157" t="s">
        <v>251</v>
      </c>
      <c r="L95" s="97"/>
    </row>
    <row r="96" spans="1:26" ht="21.95" customHeight="1" x14ac:dyDescent="0.2">
      <c r="A96" s="99"/>
      <c r="B96" s="264" t="s">
        <v>389</v>
      </c>
      <c r="C96" s="251">
        <v>660</v>
      </c>
      <c r="D96" s="250" t="s">
        <v>251</v>
      </c>
      <c r="E96" s="496">
        <f>E97-E92</f>
        <v>0</v>
      </c>
      <c r="F96" s="496">
        <f>F97-F92</f>
        <v>0</v>
      </c>
      <c r="G96" s="496">
        <f>G97-G92</f>
        <v>0</v>
      </c>
      <c r="H96" s="848"/>
      <c r="I96" s="848"/>
      <c r="J96" s="848"/>
      <c r="K96" s="628">
        <f>SUM(H97:J97)-K92</f>
        <v>0</v>
      </c>
      <c r="L96" s="496">
        <f>SUM(E96:G96)+K96</f>
        <v>0</v>
      </c>
      <c r="M96" s="848"/>
      <c r="N96" s="797"/>
      <c r="O96" s="99"/>
      <c r="P96" s="99"/>
      <c r="Q96" s="99"/>
      <c r="S96" s="99"/>
      <c r="T96" s="99"/>
      <c r="U96" s="99"/>
      <c r="V96" s="99"/>
      <c r="W96" s="99"/>
      <c r="X96" s="99"/>
      <c r="Y96" s="99"/>
      <c r="Z96" s="99"/>
    </row>
    <row r="97" spans="1:54" ht="30" customHeight="1" x14ac:dyDescent="0.2">
      <c r="B97" s="1099" t="s">
        <v>391</v>
      </c>
      <c r="C97" s="218">
        <v>670</v>
      </c>
      <c r="D97" s="217" t="s">
        <v>251</v>
      </c>
      <c r="E97" s="933"/>
      <c r="F97" s="933"/>
      <c r="G97" s="933"/>
      <c r="H97" s="933"/>
      <c r="I97" s="933"/>
      <c r="J97" s="933"/>
      <c r="K97" s="224">
        <f>SUM(H97:J97)</f>
        <v>0</v>
      </c>
      <c r="L97" s="224">
        <f>SUM(E97:J97)</f>
        <v>0</v>
      </c>
      <c r="M97" s="1093"/>
      <c r="N97" s="395"/>
    </row>
    <row r="98" spans="1:54" hidden="1" x14ac:dyDescent="0.2">
      <c r="A98" s="99"/>
      <c r="B98" s="100" t="s">
        <v>401</v>
      </c>
      <c r="C98" s="172">
        <v>680</v>
      </c>
      <c r="D98" s="157" t="s">
        <v>251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</row>
    <row r="99" spans="1:54" hidden="1" x14ac:dyDescent="0.2">
      <c r="A99" s="99"/>
      <c r="B99" s="100" t="s">
        <v>402</v>
      </c>
      <c r="C99" s="172">
        <v>690</v>
      </c>
      <c r="D99" s="157" t="s">
        <v>251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</row>
    <row r="100" spans="1:54" ht="21.95" customHeight="1" x14ac:dyDescent="0.2">
      <c r="B100" s="188" t="s">
        <v>292</v>
      </c>
      <c r="C100" s="251">
        <v>700</v>
      </c>
      <c r="D100" s="250" t="s">
        <v>248</v>
      </c>
      <c r="E100" s="422"/>
      <c r="F100" s="422"/>
      <c r="G100" s="422"/>
      <c r="H100" s="422"/>
      <c r="I100" s="422"/>
      <c r="J100" s="422"/>
      <c r="K100" s="253">
        <f t="shared" ref="K100:K106" si="3">SUM(H100:J100)</f>
        <v>0</v>
      </c>
      <c r="L100" s="628">
        <f t="shared" ref="L100:L106" si="4">SUM(E100:J100)</f>
        <v>0</v>
      </c>
      <c r="M100" s="422"/>
      <c r="N100" s="694"/>
    </row>
    <row r="101" spans="1:54" ht="21.95" customHeight="1" x14ac:dyDescent="0.2">
      <c r="B101" s="213" t="s">
        <v>1295</v>
      </c>
      <c r="C101" s="218">
        <v>710</v>
      </c>
      <c r="D101" s="217" t="s">
        <v>245</v>
      </c>
      <c r="E101" s="228"/>
      <c r="F101" s="228"/>
      <c r="G101" s="228"/>
      <c r="H101" s="228"/>
      <c r="I101" s="228"/>
      <c r="J101" s="228"/>
      <c r="K101" s="220">
        <f t="shared" si="3"/>
        <v>0</v>
      </c>
      <c r="L101" s="224">
        <f t="shared" si="4"/>
        <v>0</v>
      </c>
      <c r="M101" s="228"/>
      <c r="N101" s="331"/>
    </row>
    <row r="102" spans="1:54" ht="21.95" customHeight="1" x14ac:dyDescent="0.2">
      <c r="B102" s="213" t="s">
        <v>1296</v>
      </c>
      <c r="C102" s="218">
        <v>720</v>
      </c>
      <c r="D102" s="217" t="s">
        <v>245</v>
      </c>
      <c r="E102" s="228"/>
      <c r="F102" s="228"/>
      <c r="G102" s="228"/>
      <c r="H102" s="228"/>
      <c r="I102" s="228"/>
      <c r="J102" s="228"/>
      <c r="K102" s="220">
        <f t="shared" si="3"/>
        <v>0</v>
      </c>
      <c r="L102" s="224">
        <f t="shared" si="4"/>
        <v>0</v>
      </c>
      <c r="M102" s="228"/>
      <c r="N102" s="331"/>
    </row>
    <row r="103" spans="1:54" ht="21.95" customHeight="1" x14ac:dyDescent="0.2">
      <c r="B103" s="213" t="s">
        <v>1297</v>
      </c>
      <c r="C103" s="218">
        <v>730</v>
      </c>
      <c r="D103" s="217" t="s">
        <v>248</v>
      </c>
      <c r="E103" s="228"/>
      <c r="F103" s="228"/>
      <c r="G103" s="228"/>
      <c r="H103" s="228"/>
      <c r="I103" s="228"/>
      <c r="J103" s="228"/>
      <c r="K103" s="220">
        <f t="shared" si="3"/>
        <v>0</v>
      </c>
      <c r="L103" s="224">
        <f t="shared" si="4"/>
        <v>0</v>
      </c>
      <c r="M103" s="228"/>
      <c r="N103" s="331"/>
    </row>
    <row r="104" spans="1:54" ht="21.95" customHeight="1" x14ac:dyDescent="0.2">
      <c r="B104" s="226" t="s">
        <v>1298</v>
      </c>
      <c r="C104" s="218">
        <v>735</v>
      </c>
      <c r="D104" s="217" t="s">
        <v>251</v>
      </c>
      <c r="E104" s="224">
        <f t="shared" ref="E104:J104" si="5">SUM(E102:E103)</f>
        <v>0</v>
      </c>
      <c r="F104" s="224">
        <f t="shared" si="5"/>
        <v>0</v>
      </c>
      <c r="G104" s="224">
        <f t="shared" si="5"/>
        <v>0</v>
      </c>
      <c r="H104" s="224">
        <f t="shared" si="5"/>
        <v>0</v>
      </c>
      <c r="I104" s="224">
        <f t="shared" si="5"/>
        <v>0</v>
      </c>
      <c r="J104" s="224">
        <f t="shared" si="5"/>
        <v>0</v>
      </c>
      <c r="K104" s="224">
        <f t="shared" si="3"/>
        <v>0</v>
      </c>
      <c r="L104" s="224">
        <f t="shared" si="4"/>
        <v>0</v>
      </c>
      <c r="M104" s="224">
        <f>SUM(M102:M103)</f>
        <v>0</v>
      </c>
      <c r="N104" s="331"/>
    </row>
    <row r="105" spans="1:54" ht="21.95" customHeight="1" x14ac:dyDescent="0.2">
      <c r="A105" s="157"/>
      <c r="B105" s="231" t="s">
        <v>1299</v>
      </c>
      <c r="C105" s="218">
        <v>742</v>
      </c>
      <c r="D105" s="219" t="s">
        <v>245</v>
      </c>
      <c r="E105" s="228"/>
      <c r="F105" s="228"/>
      <c r="G105" s="228"/>
      <c r="H105" s="228"/>
      <c r="I105" s="228"/>
      <c r="J105" s="228"/>
      <c r="K105" s="220">
        <f t="shared" si="3"/>
        <v>0</v>
      </c>
      <c r="L105" s="224">
        <f t="shared" si="4"/>
        <v>0</v>
      </c>
      <c r="M105" s="228"/>
      <c r="N105" s="331"/>
    </row>
    <row r="106" spans="1:54" ht="27" customHeight="1" x14ac:dyDescent="0.2">
      <c r="B106" s="245" t="s">
        <v>1074</v>
      </c>
      <c r="C106" s="234">
        <v>745</v>
      </c>
      <c r="D106" s="237" t="s">
        <v>251</v>
      </c>
      <c r="E106" s="396"/>
      <c r="F106" s="396"/>
      <c r="G106" s="396"/>
      <c r="H106" s="396"/>
      <c r="I106" s="396"/>
      <c r="J106" s="396"/>
      <c r="K106" s="268">
        <f t="shared" si="3"/>
        <v>0</v>
      </c>
      <c r="L106" s="239">
        <f t="shared" si="4"/>
        <v>0</v>
      </c>
      <c r="M106" s="396"/>
      <c r="N106" s="331"/>
    </row>
    <row r="107" spans="1:54" ht="21.95" customHeight="1" thickBot="1" x14ac:dyDescent="0.25">
      <c r="B107" s="233" t="s">
        <v>419</v>
      </c>
      <c r="C107" s="236">
        <v>750</v>
      </c>
      <c r="D107" s="235" t="s">
        <v>248</v>
      </c>
      <c r="E107" s="240">
        <f t="shared" ref="E107:N107" si="6">SUM(E97:E106)-E104</f>
        <v>0</v>
      </c>
      <c r="F107" s="240">
        <f t="shared" si="6"/>
        <v>0</v>
      </c>
      <c r="G107" s="240">
        <f t="shared" si="6"/>
        <v>0</v>
      </c>
      <c r="H107" s="240">
        <f t="shared" si="6"/>
        <v>0</v>
      </c>
      <c r="I107" s="240">
        <f t="shared" si="6"/>
        <v>0</v>
      </c>
      <c r="J107" s="240">
        <f t="shared" si="6"/>
        <v>0</v>
      </c>
      <c r="K107" s="240">
        <f t="shared" si="6"/>
        <v>0</v>
      </c>
      <c r="L107" s="240">
        <f t="shared" si="6"/>
        <v>0</v>
      </c>
      <c r="M107" s="240">
        <f t="shared" si="6"/>
        <v>0</v>
      </c>
      <c r="N107" s="241">
        <f t="shared" si="6"/>
        <v>0</v>
      </c>
    </row>
    <row r="108" spans="1:54" ht="13.5" hidden="1" thickTop="1" x14ac:dyDescent="0.2"/>
    <row r="109" spans="1:54" ht="13.5" hidden="1" thickTop="1" x14ac:dyDescent="0.2"/>
    <row r="110" spans="1:54" ht="13.5" hidden="1" thickTop="1" x14ac:dyDescent="0.2"/>
    <row r="111" spans="1:54" ht="13.5" hidden="1" thickTop="1" x14ac:dyDescent="0.2"/>
    <row r="112" spans="1:54" ht="13.5" hidden="1" thickTop="1" x14ac:dyDescent="0.2"/>
    <row r="113" ht="13.5" hidden="1" thickTop="1" x14ac:dyDescent="0.2"/>
    <row r="114" ht="13.5" hidden="1" thickTop="1" x14ac:dyDescent="0.2"/>
    <row r="115" ht="13.5" hidden="1" thickTop="1" x14ac:dyDescent="0.2"/>
    <row r="116" ht="13.5" hidden="1" thickTop="1" x14ac:dyDescent="0.2"/>
    <row r="117" ht="13.5" hidden="1" thickTop="1" x14ac:dyDescent="0.2"/>
    <row r="118" ht="13.5" hidden="1" thickTop="1" x14ac:dyDescent="0.2"/>
    <row r="119" ht="13.5" hidden="1" thickTop="1" x14ac:dyDescent="0.2"/>
    <row r="120" ht="13.5" hidden="1" thickTop="1" x14ac:dyDescent="0.2"/>
    <row r="121" ht="13.5" hidden="1" thickTop="1" x14ac:dyDescent="0.2"/>
    <row r="122" ht="13.5" hidden="1" thickTop="1" x14ac:dyDescent="0.2"/>
    <row r="123" ht="13.5" hidden="1" thickTop="1" x14ac:dyDescent="0.2"/>
    <row r="124" ht="13.5" hidden="1" thickTop="1" x14ac:dyDescent="0.2"/>
    <row r="125" ht="13.5" hidden="1" thickTop="1" x14ac:dyDescent="0.2"/>
    <row r="126" ht="13.5" hidden="1" thickTop="1" x14ac:dyDescent="0.2"/>
    <row r="127" ht="13.5" hidden="1" thickTop="1" x14ac:dyDescent="0.2"/>
    <row r="128" ht="13.5" hidden="1" thickTop="1" x14ac:dyDescent="0.2"/>
    <row r="129" ht="13.5" hidden="1" thickTop="1" x14ac:dyDescent="0.2"/>
    <row r="130" ht="13.5" hidden="1" thickTop="1" x14ac:dyDescent="0.2"/>
    <row r="131" ht="13.5" hidden="1" thickTop="1" x14ac:dyDescent="0.2"/>
    <row r="132" ht="13.5" hidden="1" thickTop="1" x14ac:dyDescent="0.2"/>
    <row r="133" ht="13.5" hidden="1" thickTop="1" x14ac:dyDescent="0.2"/>
    <row r="134" ht="13.5" hidden="1" thickTop="1" x14ac:dyDescent="0.2"/>
    <row r="135" ht="13.5" hidden="1" thickTop="1" x14ac:dyDescent="0.2"/>
    <row r="136" ht="13.5" hidden="1" thickTop="1" x14ac:dyDescent="0.2"/>
    <row r="137" ht="13.5" hidden="1" thickTop="1" x14ac:dyDescent="0.2"/>
    <row r="138" ht="13.5" hidden="1" thickTop="1" x14ac:dyDescent="0.2"/>
    <row r="139" ht="13.5" hidden="1" thickTop="1" x14ac:dyDescent="0.2"/>
    <row r="140" ht="13.5" hidden="1" thickTop="1" x14ac:dyDescent="0.2"/>
    <row r="141" ht="13.5" hidden="1" thickTop="1" x14ac:dyDescent="0.2"/>
    <row r="142" ht="13.5" hidden="1" thickTop="1" x14ac:dyDescent="0.2"/>
    <row r="143" ht="13.5" hidden="1" thickTop="1" x14ac:dyDescent="0.2"/>
    <row r="144" ht="13.5" hidden="1" thickTop="1" x14ac:dyDescent="0.2"/>
    <row r="145" ht="13.5" hidden="1" thickTop="1" x14ac:dyDescent="0.2"/>
    <row r="146" ht="13.5" hidden="1" thickTop="1" x14ac:dyDescent="0.2"/>
    <row r="147" ht="13.5" hidden="1" thickTop="1" x14ac:dyDescent="0.2"/>
    <row r="148" ht="13.5" hidden="1" thickTop="1" x14ac:dyDescent="0.2"/>
    <row r="149" ht="13.5" hidden="1" thickTop="1" x14ac:dyDescent="0.2"/>
    <row r="150" ht="13.5" hidden="1" thickTop="1" x14ac:dyDescent="0.2"/>
    <row r="151" ht="13.5" hidden="1" thickTop="1" x14ac:dyDescent="0.2"/>
    <row r="152" ht="13.5" hidden="1" thickTop="1" x14ac:dyDescent="0.2"/>
    <row r="153" ht="13.5" hidden="1" thickTop="1" x14ac:dyDescent="0.2"/>
    <row r="154" ht="13.5" hidden="1" thickTop="1" x14ac:dyDescent="0.2"/>
    <row r="155" ht="13.5" hidden="1" thickTop="1" x14ac:dyDescent="0.2"/>
    <row r="156" ht="13.5" hidden="1" thickTop="1" x14ac:dyDescent="0.2"/>
    <row r="157" ht="13.5" hidden="1" thickTop="1" x14ac:dyDescent="0.2"/>
    <row r="158" ht="13.5" hidden="1" thickTop="1" x14ac:dyDescent="0.2"/>
    <row r="159" ht="13.5" hidden="1" thickTop="1" x14ac:dyDescent="0.2"/>
    <row r="160" ht="13.5" hidden="1" thickTop="1" x14ac:dyDescent="0.2"/>
    <row r="161" ht="13.5" hidden="1" thickTop="1" x14ac:dyDescent="0.2"/>
    <row r="162" ht="13.5" hidden="1" thickTop="1" x14ac:dyDescent="0.2"/>
    <row r="163" ht="13.5" hidden="1" thickTop="1" x14ac:dyDescent="0.2"/>
    <row r="164" ht="13.5" hidden="1" thickTop="1" x14ac:dyDescent="0.2"/>
    <row r="165" ht="13.5" hidden="1" thickTop="1" x14ac:dyDescent="0.2"/>
    <row r="166" ht="13.5" hidden="1" thickTop="1" x14ac:dyDescent="0.2"/>
    <row r="167" ht="13.5" hidden="1" thickTop="1" x14ac:dyDescent="0.2"/>
    <row r="168" ht="13.5" hidden="1" thickTop="1" x14ac:dyDescent="0.2"/>
    <row r="169" ht="13.5" hidden="1" thickTop="1" x14ac:dyDescent="0.2"/>
    <row r="170" ht="13.5" hidden="1" thickTop="1" x14ac:dyDescent="0.2"/>
    <row r="171" ht="13.5" hidden="1" thickTop="1" x14ac:dyDescent="0.2"/>
    <row r="172" ht="13.5" hidden="1" thickTop="1" x14ac:dyDescent="0.2"/>
    <row r="173" ht="13.5" hidden="1" thickTop="1" x14ac:dyDescent="0.2"/>
    <row r="174" ht="13.5" hidden="1" thickTop="1" x14ac:dyDescent="0.2"/>
    <row r="175" ht="13.5" hidden="1" thickTop="1" x14ac:dyDescent="0.2"/>
    <row r="176" ht="13.5" hidden="1" thickTop="1" x14ac:dyDescent="0.2"/>
    <row r="177" ht="13.5" hidden="1" thickTop="1" x14ac:dyDescent="0.2"/>
    <row r="178" ht="13.5" hidden="1" thickTop="1" x14ac:dyDescent="0.2"/>
    <row r="179" ht="13.5" hidden="1" thickTop="1" x14ac:dyDescent="0.2"/>
    <row r="180" ht="13.5" hidden="1" thickTop="1" x14ac:dyDescent="0.2"/>
    <row r="181" ht="13.5" hidden="1" thickTop="1" x14ac:dyDescent="0.2"/>
    <row r="182" ht="13.5" hidden="1" thickTop="1" x14ac:dyDescent="0.2"/>
    <row r="183" ht="13.5" hidden="1" thickTop="1" x14ac:dyDescent="0.2"/>
    <row r="184" ht="13.5" hidden="1" thickTop="1" x14ac:dyDescent="0.2"/>
    <row r="185" ht="13.5" hidden="1" thickTop="1" x14ac:dyDescent="0.2"/>
    <row r="186" ht="13.5" hidden="1" thickTop="1" x14ac:dyDescent="0.2"/>
    <row r="187" ht="13.5" hidden="1" thickTop="1" x14ac:dyDescent="0.2"/>
    <row r="188" ht="13.5" hidden="1" thickTop="1" x14ac:dyDescent="0.2"/>
    <row r="189" ht="13.5" hidden="1" thickTop="1" x14ac:dyDescent="0.2"/>
    <row r="190" ht="13.5" hidden="1" thickTop="1" x14ac:dyDescent="0.2"/>
    <row r="191" ht="13.5" hidden="1" thickTop="1" x14ac:dyDescent="0.2"/>
    <row r="192" ht="13.5" hidden="1" thickTop="1" x14ac:dyDescent="0.2"/>
    <row r="193" ht="13.5" hidden="1" thickTop="1" x14ac:dyDescent="0.2"/>
    <row r="194" ht="13.5" hidden="1" thickTop="1" x14ac:dyDescent="0.2"/>
    <row r="195" ht="13.5" hidden="1" thickTop="1" x14ac:dyDescent="0.2"/>
    <row r="196" ht="13.5" hidden="1" thickTop="1" x14ac:dyDescent="0.2"/>
    <row r="197" ht="13.5" hidden="1" thickTop="1" x14ac:dyDescent="0.2"/>
    <row r="198" ht="13.5" hidden="1" thickTop="1" x14ac:dyDescent="0.2"/>
    <row r="199" ht="13.5" hidden="1" thickTop="1" x14ac:dyDescent="0.2"/>
    <row r="200" ht="13.5" hidden="1" thickTop="1" x14ac:dyDescent="0.2"/>
    <row r="201" ht="13.5" hidden="1" thickTop="1" x14ac:dyDescent="0.2"/>
    <row r="202" ht="13.5" hidden="1" thickTop="1" x14ac:dyDescent="0.2"/>
    <row r="203" ht="13.5" hidden="1" thickTop="1" x14ac:dyDescent="0.2"/>
    <row r="204" ht="13.5" hidden="1" thickTop="1" x14ac:dyDescent="0.2"/>
    <row r="205" ht="13.5" hidden="1" thickTop="1" x14ac:dyDescent="0.2"/>
    <row r="206" ht="13.5" hidden="1" thickTop="1" x14ac:dyDescent="0.2"/>
    <row r="207" ht="13.5" hidden="1" thickTop="1" x14ac:dyDescent="0.2"/>
    <row r="208" ht="13.5" hidden="1" thickTop="1" x14ac:dyDescent="0.2"/>
    <row r="209" ht="13.5" hidden="1" thickTop="1" x14ac:dyDescent="0.2"/>
    <row r="210" ht="13.5" hidden="1" thickTop="1" x14ac:dyDescent="0.2"/>
    <row r="211" ht="13.5" hidden="1" thickTop="1" x14ac:dyDescent="0.2"/>
    <row r="212" ht="13.5" hidden="1" thickTop="1" x14ac:dyDescent="0.2"/>
    <row r="213" ht="13.5" hidden="1" thickTop="1" x14ac:dyDescent="0.2"/>
    <row r="214" ht="13.5" hidden="1" thickTop="1" x14ac:dyDescent="0.2"/>
    <row r="215" ht="13.5" hidden="1" thickTop="1" x14ac:dyDescent="0.2"/>
    <row r="216" ht="13.5" hidden="1" thickTop="1" x14ac:dyDescent="0.2"/>
    <row r="217" ht="13.5" hidden="1" thickTop="1" x14ac:dyDescent="0.2"/>
    <row r="218" ht="13.5" hidden="1" thickTop="1" x14ac:dyDescent="0.2"/>
    <row r="219" ht="13.5" hidden="1" thickTop="1" x14ac:dyDescent="0.2"/>
    <row r="220" ht="13.5" hidden="1" thickTop="1" x14ac:dyDescent="0.2"/>
    <row r="221" ht="13.5" hidden="1" thickTop="1" x14ac:dyDescent="0.2"/>
    <row r="222" ht="13.5" hidden="1" thickTop="1" x14ac:dyDescent="0.2"/>
    <row r="223" ht="13.5" thickTop="1" x14ac:dyDescent="0.2"/>
    <row r="225" spans="1:54" ht="13.5" thickBot="1" x14ac:dyDescent="0.25"/>
    <row r="226" spans="1:54" ht="13.5" thickTop="1" x14ac:dyDescent="0.2">
      <c r="B226" s="242"/>
      <c r="C226" s="353"/>
      <c r="D226" s="353" t="s">
        <v>25</v>
      </c>
      <c r="E226" s="353" t="s">
        <v>235</v>
      </c>
      <c r="F226" s="353" t="s">
        <v>236</v>
      </c>
      <c r="G226" s="353" t="s">
        <v>293</v>
      </c>
      <c r="H226" s="353" t="s">
        <v>294</v>
      </c>
      <c r="I226" s="353" t="s">
        <v>295</v>
      </c>
      <c r="J226" s="353" t="s">
        <v>296</v>
      </c>
      <c r="K226" s="353" t="s">
        <v>342</v>
      </c>
      <c r="L226" s="353" t="s">
        <v>297</v>
      </c>
      <c r="M226" s="353" t="s">
        <v>298</v>
      </c>
      <c r="N226" s="353" t="s">
        <v>299</v>
      </c>
      <c r="O226" s="293" t="s">
        <v>360</v>
      </c>
    </row>
    <row r="227" spans="1:54" ht="51" x14ac:dyDescent="0.2">
      <c r="B227" s="198" t="s">
        <v>1300</v>
      </c>
      <c r="C227" s="201" t="s">
        <v>238</v>
      </c>
      <c r="D227" s="201"/>
      <c r="E227" s="201" t="s">
        <v>1040</v>
      </c>
      <c r="F227" s="201" t="s">
        <v>1120</v>
      </c>
      <c r="G227" s="201" t="s">
        <v>1042</v>
      </c>
      <c r="H227" s="201" t="s">
        <v>1301</v>
      </c>
      <c r="I227" s="201" t="s">
        <v>1302</v>
      </c>
      <c r="J227" s="201" t="s">
        <v>1303</v>
      </c>
      <c r="K227" s="201" t="s">
        <v>1123</v>
      </c>
      <c r="L227" s="201" t="s">
        <v>1124</v>
      </c>
      <c r="M227" s="201" t="s">
        <v>311</v>
      </c>
      <c r="N227" s="201" t="s">
        <v>192</v>
      </c>
      <c r="O227" s="202" t="s">
        <v>340</v>
      </c>
    </row>
    <row r="228" spans="1:54" ht="13.5" thickBot="1" x14ac:dyDescent="0.25">
      <c r="B228" s="198"/>
      <c r="C228" s="278" t="s">
        <v>242</v>
      </c>
      <c r="D228" s="278"/>
      <c r="E228" s="278" t="s">
        <v>243</v>
      </c>
      <c r="F228" s="278" t="s">
        <v>243</v>
      </c>
      <c r="G228" s="278" t="s">
        <v>243</v>
      </c>
      <c r="H228" s="278" t="s">
        <v>243</v>
      </c>
      <c r="I228" s="278" t="s">
        <v>243</v>
      </c>
      <c r="J228" s="278" t="s">
        <v>243</v>
      </c>
      <c r="K228" s="278" t="s">
        <v>243</v>
      </c>
      <c r="L228" s="278" t="s">
        <v>243</v>
      </c>
      <c r="M228" s="278" t="s">
        <v>243</v>
      </c>
      <c r="N228" s="278" t="s">
        <v>243</v>
      </c>
      <c r="O228" s="202" t="s">
        <v>243</v>
      </c>
    </row>
    <row r="229" spans="1:54" ht="30" customHeight="1" x14ac:dyDescent="0.2">
      <c r="B229" s="1098" t="s">
        <v>305</v>
      </c>
      <c r="C229" s="207">
        <v>800</v>
      </c>
      <c r="D229" s="206" t="s">
        <v>248</v>
      </c>
      <c r="E229" s="463"/>
      <c r="F229" s="463"/>
      <c r="G229" s="463"/>
      <c r="H229" s="463"/>
      <c r="I229" s="463"/>
      <c r="J229" s="463"/>
      <c r="K229" s="463"/>
      <c r="L229" s="463"/>
      <c r="M229" s="463"/>
      <c r="N229" s="463"/>
      <c r="O229" s="465">
        <f t="shared" ref="O229" si="7">SUM(E229:N229)</f>
        <v>0</v>
      </c>
    </row>
    <row r="230" spans="1:54" hidden="1" x14ac:dyDescent="0.2">
      <c r="A230" s="105"/>
      <c r="B230" s="97" t="s">
        <v>304</v>
      </c>
      <c r="C230" s="172">
        <v>810</v>
      </c>
      <c r="D230" s="157" t="s">
        <v>251</v>
      </c>
    </row>
    <row r="231" spans="1:54" hidden="1" x14ac:dyDescent="0.2">
      <c r="A231" s="105"/>
      <c r="B231" s="97" t="s">
        <v>303</v>
      </c>
      <c r="C231" s="172">
        <v>820</v>
      </c>
      <c r="D231" s="157" t="s">
        <v>248</v>
      </c>
      <c r="O231" s="97"/>
    </row>
    <row r="232" spans="1:54" hidden="1" x14ac:dyDescent="0.2">
      <c r="A232" s="99"/>
      <c r="B232" s="97" t="s">
        <v>387</v>
      </c>
      <c r="C232" s="172">
        <v>830</v>
      </c>
      <c r="D232" s="157" t="s">
        <v>251</v>
      </c>
    </row>
    <row r="233" spans="1:54" ht="21.95" customHeight="1" x14ac:dyDescent="0.2">
      <c r="A233" s="99"/>
      <c r="B233" s="264" t="s">
        <v>389</v>
      </c>
      <c r="C233" s="251">
        <v>840</v>
      </c>
      <c r="D233" s="250" t="s">
        <v>251</v>
      </c>
      <c r="E233" s="496">
        <f t="shared" ref="E233:N233" si="8">E234-E229</f>
        <v>0</v>
      </c>
      <c r="F233" s="496">
        <f t="shared" si="8"/>
        <v>0</v>
      </c>
      <c r="G233" s="496">
        <f t="shared" si="8"/>
        <v>0</v>
      </c>
      <c r="H233" s="496">
        <f t="shared" si="8"/>
        <v>0</v>
      </c>
      <c r="I233" s="496">
        <f t="shared" si="8"/>
        <v>0</v>
      </c>
      <c r="J233" s="496">
        <f t="shared" si="8"/>
        <v>0</v>
      </c>
      <c r="K233" s="496">
        <f t="shared" si="8"/>
        <v>0</v>
      </c>
      <c r="L233" s="496">
        <f t="shared" si="8"/>
        <v>0</v>
      </c>
      <c r="M233" s="496">
        <f t="shared" si="8"/>
        <v>0</v>
      </c>
      <c r="N233" s="496">
        <f t="shared" si="8"/>
        <v>0</v>
      </c>
      <c r="O233" s="436">
        <f>SUM(E233:N233)</f>
        <v>0</v>
      </c>
      <c r="P233" s="99"/>
      <c r="Q233" s="99"/>
      <c r="S233" s="99"/>
      <c r="T233" s="99"/>
      <c r="U233" s="99"/>
      <c r="V233" s="99"/>
      <c r="W233" s="99"/>
      <c r="X233" s="99"/>
      <c r="Y233" s="99"/>
      <c r="Z233" s="99"/>
    </row>
    <row r="234" spans="1:54" ht="30" customHeight="1" x14ac:dyDescent="0.2">
      <c r="B234" s="1099" t="s">
        <v>391</v>
      </c>
      <c r="C234" s="218">
        <v>850</v>
      </c>
      <c r="D234" s="217" t="s">
        <v>251</v>
      </c>
      <c r="E234" s="933"/>
      <c r="F234" s="933"/>
      <c r="G234" s="933"/>
      <c r="H234" s="933"/>
      <c r="I234" s="933"/>
      <c r="J234" s="933"/>
      <c r="K234" s="933"/>
      <c r="L234" s="933"/>
      <c r="M234" s="933"/>
      <c r="N234" s="933"/>
      <c r="O234" s="441">
        <f>SUM(E234:N234)</f>
        <v>0</v>
      </c>
    </row>
    <row r="235" spans="1:54" hidden="1" x14ac:dyDescent="0.2">
      <c r="A235" s="99"/>
      <c r="B235" s="100" t="s">
        <v>401</v>
      </c>
      <c r="C235" s="172">
        <v>860</v>
      </c>
      <c r="D235" s="157" t="s">
        <v>251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</row>
    <row r="236" spans="1:54" hidden="1" x14ac:dyDescent="0.2">
      <c r="A236" s="99"/>
      <c r="B236" s="100" t="s">
        <v>402</v>
      </c>
      <c r="C236" s="172">
        <v>870</v>
      </c>
      <c r="D236" s="157" t="s">
        <v>248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</row>
    <row r="237" spans="1:54" ht="21.95" customHeight="1" x14ac:dyDescent="0.2">
      <c r="B237" s="188" t="s">
        <v>1304</v>
      </c>
      <c r="C237" s="251">
        <v>880</v>
      </c>
      <c r="D237" s="250" t="s">
        <v>248</v>
      </c>
      <c r="E237" s="422"/>
      <c r="F237" s="422"/>
      <c r="G237" s="422"/>
      <c r="H237" s="422"/>
      <c r="I237" s="422"/>
      <c r="J237" s="422"/>
      <c r="K237" s="422"/>
      <c r="L237" s="422"/>
      <c r="M237" s="422"/>
      <c r="N237" s="422"/>
      <c r="O237" s="436">
        <f t="shared" ref="O237:O244" si="9">SUM(E237:N237)</f>
        <v>0</v>
      </c>
    </row>
    <row r="238" spans="1:54" ht="21.95" customHeight="1" x14ac:dyDescent="0.2">
      <c r="B238" s="213" t="s">
        <v>1305</v>
      </c>
      <c r="C238" s="218">
        <v>890</v>
      </c>
      <c r="D238" s="217" t="s">
        <v>245</v>
      </c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442">
        <f t="shared" si="9"/>
        <v>0</v>
      </c>
    </row>
    <row r="239" spans="1:54" ht="21.95" customHeight="1" x14ac:dyDescent="0.2">
      <c r="B239" s="213" t="s">
        <v>1306</v>
      </c>
      <c r="C239" s="218">
        <v>900</v>
      </c>
      <c r="D239" s="217" t="s">
        <v>245</v>
      </c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442">
        <f t="shared" si="9"/>
        <v>0</v>
      </c>
    </row>
    <row r="240" spans="1:54" ht="21.95" customHeight="1" x14ac:dyDescent="0.2">
      <c r="B240" s="213" t="s">
        <v>1307</v>
      </c>
      <c r="C240" s="218">
        <v>910</v>
      </c>
      <c r="D240" s="217" t="s">
        <v>248</v>
      </c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442">
        <f t="shared" si="9"/>
        <v>0</v>
      </c>
    </row>
    <row r="241" spans="1:54" ht="30" customHeight="1" x14ac:dyDescent="0.2">
      <c r="B241" s="336" t="s">
        <v>1308</v>
      </c>
      <c r="C241" s="218">
        <v>915</v>
      </c>
      <c r="D241" s="217" t="s">
        <v>251</v>
      </c>
      <c r="E241" s="224">
        <f t="shared" ref="E241:N241" si="10">SUM(E239:E240)</f>
        <v>0</v>
      </c>
      <c r="F241" s="224">
        <f t="shared" si="10"/>
        <v>0</v>
      </c>
      <c r="G241" s="224">
        <f t="shared" si="10"/>
        <v>0</v>
      </c>
      <c r="H241" s="224">
        <f t="shared" si="10"/>
        <v>0</v>
      </c>
      <c r="I241" s="224">
        <f t="shared" si="10"/>
        <v>0</v>
      </c>
      <c r="J241" s="224">
        <f t="shared" si="10"/>
        <v>0</v>
      </c>
      <c r="K241" s="224">
        <f t="shared" si="10"/>
        <v>0</v>
      </c>
      <c r="L241" s="224">
        <f t="shared" si="10"/>
        <v>0</v>
      </c>
      <c r="M241" s="224">
        <f t="shared" si="10"/>
        <v>0</v>
      </c>
      <c r="N241" s="224">
        <f t="shared" si="10"/>
        <v>0</v>
      </c>
      <c r="O241" s="442">
        <f t="shared" si="9"/>
        <v>0</v>
      </c>
    </row>
    <row r="242" spans="1:54" ht="27" customHeight="1" x14ac:dyDescent="0.2">
      <c r="B242" s="245" t="s">
        <v>1309</v>
      </c>
      <c r="C242" s="218">
        <v>920</v>
      </c>
      <c r="D242" s="217" t="s">
        <v>245</v>
      </c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442">
        <f t="shared" si="9"/>
        <v>0</v>
      </c>
    </row>
    <row r="243" spans="1:54" ht="21.95" customHeight="1" x14ac:dyDescent="0.2">
      <c r="A243" s="186"/>
      <c r="B243" s="213" t="s">
        <v>1310</v>
      </c>
      <c r="C243" s="218">
        <v>930</v>
      </c>
      <c r="D243" s="217" t="s">
        <v>245</v>
      </c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442">
        <f t="shared" si="9"/>
        <v>0</v>
      </c>
    </row>
    <row r="244" spans="1:54" ht="27" customHeight="1" x14ac:dyDescent="0.2">
      <c r="B244" s="244" t="s">
        <v>1074</v>
      </c>
      <c r="C244" s="218">
        <v>940</v>
      </c>
      <c r="D244" s="217" t="s">
        <v>251</v>
      </c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441">
        <f t="shared" si="9"/>
        <v>0</v>
      </c>
    </row>
    <row r="245" spans="1:54" hidden="1" x14ac:dyDescent="0.2">
      <c r="A245" s="105"/>
      <c r="B245" s="100" t="s">
        <v>1068</v>
      </c>
      <c r="C245" s="172">
        <v>945</v>
      </c>
      <c r="D245" s="247" t="s">
        <v>251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102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</row>
    <row r="246" spans="1:54" ht="21.95" customHeight="1" x14ac:dyDescent="0.2">
      <c r="B246" s="198" t="s">
        <v>1311</v>
      </c>
      <c r="C246" s="251">
        <v>950</v>
      </c>
      <c r="D246" s="250" t="s">
        <v>248</v>
      </c>
      <c r="E246" s="628">
        <f t="shared" ref="E246:N246" si="11">SUM(E234:E245)-E241</f>
        <v>0</v>
      </c>
      <c r="F246" s="628">
        <f t="shared" si="11"/>
        <v>0</v>
      </c>
      <c r="G246" s="628">
        <f t="shared" si="11"/>
        <v>0</v>
      </c>
      <c r="H246" s="628">
        <f t="shared" si="11"/>
        <v>0</v>
      </c>
      <c r="I246" s="628">
        <f t="shared" si="11"/>
        <v>0</v>
      </c>
      <c r="J246" s="628">
        <f t="shared" si="11"/>
        <v>0</v>
      </c>
      <c r="K246" s="628">
        <f t="shared" si="11"/>
        <v>0</v>
      </c>
      <c r="L246" s="628">
        <f t="shared" si="11"/>
        <v>0</v>
      </c>
      <c r="M246" s="628">
        <f t="shared" si="11"/>
        <v>0</v>
      </c>
      <c r="N246" s="628">
        <f t="shared" si="11"/>
        <v>0</v>
      </c>
      <c r="O246" s="436">
        <f>SUM(E246:N246)</f>
        <v>0</v>
      </c>
    </row>
    <row r="247" spans="1:54" ht="27" customHeight="1" thickBot="1" x14ac:dyDescent="0.25">
      <c r="B247" s="245" t="s">
        <v>1312</v>
      </c>
      <c r="C247" s="358">
        <v>960</v>
      </c>
      <c r="D247" s="357" t="s">
        <v>245</v>
      </c>
      <c r="E247" s="361"/>
      <c r="F247" s="361"/>
      <c r="G247" s="361"/>
      <c r="H247" s="361"/>
      <c r="I247" s="361"/>
      <c r="J247" s="361"/>
      <c r="K247" s="361"/>
      <c r="L247" s="361"/>
      <c r="M247" s="361"/>
      <c r="N247" s="361"/>
      <c r="O247" s="442">
        <f>SUM(E247:N247)</f>
        <v>0</v>
      </c>
    </row>
    <row r="248" spans="1:54" ht="30" customHeight="1" x14ac:dyDescent="0.2">
      <c r="A248" s="99"/>
      <c r="B248" s="1005" t="s">
        <v>1313</v>
      </c>
      <c r="C248" s="207">
        <v>970</v>
      </c>
      <c r="D248" s="206" t="s">
        <v>248</v>
      </c>
      <c r="E248" s="869"/>
      <c r="F248" s="869"/>
      <c r="G248" s="869"/>
      <c r="H248" s="869"/>
      <c r="I248" s="869"/>
      <c r="J248" s="869"/>
      <c r="K248" s="869"/>
      <c r="L248" s="869"/>
      <c r="M248" s="869"/>
      <c r="N248" s="849"/>
      <c r="O248" s="873"/>
      <c r="P248" s="99"/>
      <c r="Q248" s="99"/>
      <c r="S248" s="99"/>
      <c r="T248" s="99"/>
      <c r="U248" s="99"/>
      <c r="V248" s="99"/>
      <c r="W248" s="99"/>
      <c r="X248" s="99"/>
      <c r="Y248" s="99"/>
      <c r="Z248" s="99"/>
    </row>
    <row r="249" spans="1:54" hidden="1" x14ac:dyDescent="0.2">
      <c r="A249" s="99"/>
      <c r="B249" s="246" t="s">
        <v>304</v>
      </c>
      <c r="C249" s="218">
        <v>980</v>
      </c>
      <c r="D249" s="217" t="s">
        <v>251</v>
      </c>
      <c r="E249" s="850"/>
      <c r="F249" s="850"/>
      <c r="G249" s="850"/>
      <c r="H249" s="850"/>
      <c r="I249" s="850"/>
      <c r="J249" s="850"/>
      <c r="K249" s="850"/>
      <c r="L249" s="850"/>
      <c r="M249" s="850"/>
      <c r="N249" s="850"/>
      <c r="O249" s="853"/>
      <c r="P249" s="99"/>
      <c r="Q249" s="99"/>
      <c r="S249" s="99"/>
      <c r="T249" s="99"/>
      <c r="U249" s="99"/>
      <c r="V249" s="99"/>
      <c r="W249" s="99"/>
      <c r="X249" s="99"/>
      <c r="Y249" s="99"/>
      <c r="Z249" s="99"/>
    </row>
    <row r="250" spans="1:54" hidden="1" x14ac:dyDescent="0.2">
      <c r="A250" s="99"/>
      <c r="B250" s="445" t="s">
        <v>303</v>
      </c>
      <c r="C250" s="218">
        <v>990</v>
      </c>
      <c r="D250" s="217" t="s">
        <v>248</v>
      </c>
      <c r="E250" s="852"/>
      <c r="F250" s="852"/>
      <c r="G250" s="852"/>
      <c r="H250" s="852"/>
      <c r="I250" s="852"/>
      <c r="J250" s="852"/>
      <c r="K250" s="852"/>
      <c r="L250" s="852"/>
      <c r="M250" s="852"/>
      <c r="N250" s="850"/>
      <c r="O250" s="854"/>
      <c r="P250" s="99"/>
      <c r="Q250" s="99"/>
      <c r="S250" s="99"/>
      <c r="T250" s="99"/>
      <c r="U250" s="99"/>
      <c r="V250" s="99"/>
      <c r="W250" s="99"/>
      <c r="X250" s="99"/>
      <c r="Y250" s="99"/>
      <c r="Z250" s="99"/>
    </row>
    <row r="251" spans="1:54" hidden="1" x14ac:dyDescent="0.2">
      <c r="A251" s="99"/>
      <c r="B251" s="246" t="s">
        <v>387</v>
      </c>
      <c r="C251" s="218">
        <v>1000</v>
      </c>
      <c r="D251" s="217" t="s">
        <v>251</v>
      </c>
      <c r="E251" s="850"/>
      <c r="F251" s="850"/>
      <c r="G251" s="850"/>
      <c r="H251" s="850"/>
      <c r="I251" s="850"/>
      <c r="J251" s="850"/>
      <c r="K251" s="850"/>
      <c r="L251" s="850"/>
      <c r="M251" s="850"/>
      <c r="N251" s="850"/>
      <c r="O251" s="855"/>
      <c r="P251" s="99"/>
      <c r="Q251" s="99"/>
      <c r="S251" s="99"/>
      <c r="T251" s="99"/>
      <c r="U251" s="99"/>
      <c r="V251" s="99"/>
      <c r="W251" s="99"/>
      <c r="X251" s="99"/>
      <c r="Y251" s="99"/>
      <c r="Z251" s="99"/>
    </row>
    <row r="252" spans="1:54" ht="21.95" customHeight="1" x14ac:dyDescent="0.2">
      <c r="A252" s="99"/>
      <c r="B252" s="246" t="s">
        <v>389</v>
      </c>
      <c r="C252" s="218">
        <v>1020</v>
      </c>
      <c r="D252" s="217" t="s">
        <v>251</v>
      </c>
      <c r="E252" s="458"/>
      <c r="F252" s="458"/>
      <c r="G252" s="458"/>
      <c r="H252" s="459"/>
      <c r="I252" s="458"/>
      <c r="J252" s="458"/>
      <c r="K252" s="458"/>
      <c r="L252" s="458"/>
      <c r="M252" s="458"/>
      <c r="N252" s="459"/>
      <c r="O252" s="457"/>
      <c r="P252" s="99"/>
      <c r="Q252" s="99"/>
      <c r="S252" s="99"/>
      <c r="T252" s="99"/>
      <c r="U252" s="99"/>
      <c r="V252" s="99"/>
      <c r="W252" s="99"/>
      <c r="X252" s="99"/>
      <c r="Y252" s="99"/>
      <c r="Z252" s="99"/>
    </row>
    <row r="253" spans="1:54" ht="30" customHeight="1" x14ac:dyDescent="0.2">
      <c r="B253" s="336" t="s">
        <v>391</v>
      </c>
      <c r="C253" s="218">
        <v>1040</v>
      </c>
      <c r="D253" s="217" t="s">
        <v>248</v>
      </c>
      <c r="E253" s="461"/>
      <c r="F253" s="461"/>
      <c r="G253" s="461"/>
      <c r="H253" s="461"/>
      <c r="I253" s="461"/>
      <c r="J253" s="461"/>
      <c r="K253" s="461"/>
      <c r="L253" s="461"/>
      <c r="M253" s="461"/>
      <c r="N253" s="460"/>
      <c r="O253" s="299"/>
    </row>
    <row r="254" spans="1:54" ht="27" customHeight="1" x14ac:dyDescent="0.2">
      <c r="B254" s="266" t="s">
        <v>401</v>
      </c>
      <c r="C254" s="218">
        <v>1044</v>
      </c>
      <c r="D254" s="219" t="s">
        <v>251</v>
      </c>
      <c r="E254" s="664"/>
      <c r="F254" s="664"/>
      <c r="G254" s="856"/>
      <c r="H254" s="856"/>
      <c r="I254" s="664"/>
      <c r="J254" s="856"/>
      <c r="K254" s="856"/>
      <c r="L254" s="856"/>
      <c r="M254" s="664"/>
      <c r="N254" s="856"/>
      <c r="O254" s="299"/>
    </row>
    <row r="255" spans="1:54" ht="27" customHeight="1" x14ac:dyDescent="0.2">
      <c r="B255" s="266" t="s">
        <v>402</v>
      </c>
      <c r="C255" s="218">
        <v>1048</v>
      </c>
      <c r="D255" s="219" t="s">
        <v>248</v>
      </c>
      <c r="E255" s="664"/>
      <c r="F255" s="664"/>
      <c r="G255" s="664"/>
      <c r="H255" s="664"/>
      <c r="I255" s="664"/>
      <c r="J255" s="664"/>
      <c r="K255" s="664"/>
      <c r="L255" s="664"/>
      <c r="M255" s="664"/>
      <c r="N255" s="664"/>
      <c r="O255" s="299"/>
    </row>
    <row r="256" spans="1:54" ht="21.95" customHeight="1" x14ac:dyDescent="0.2">
      <c r="B256" s="246" t="s">
        <v>1304</v>
      </c>
      <c r="C256" s="218">
        <v>1050</v>
      </c>
      <c r="D256" s="217" t="s">
        <v>248</v>
      </c>
      <c r="E256" s="300"/>
      <c r="F256" s="300"/>
      <c r="G256" s="300"/>
      <c r="H256" s="300"/>
      <c r="I256" s="300"/>
      <c r="J256" s="300"/>
      <c r="K256" s="300"/>
      <c r="L256" s="300"/>
      <c r="M256" s="300"/>
      <c r="N256" s="460"/>
      <c r="O256" s="299"/>
    </row>
    <row r="257" spans="1:26" ht="21.95" customHeight="1" x14ac:dyDescent="0.2">
      <c r="B257" s="246" t="s">
        <v>1305</v>
      </c>
      <c r="C257" s="218">
        <v>1060</v>
      </c>
      <c r="D257" s="217" t="s">
        <v>245</v>
      </c>
      <c r="E257" s="300"/>
      <c r="F257" s="300"/>
      <c r="G257" s="300"/>
      <c r="H257" s="300"/>
      <c r="I257" s="300"/>
      <c r="J257" s="300"/>
      <c r="K257" s="300"/>
      <c r="L257" s="300"/>
      <c r="M257" s="300"/>
      <c r="N257" s="460"/>
      <c r="O257" s="299"/>
    </row>
    <row r="258" spans="1:26" ht="21.95" customHeight="1" x14ac:dyDescent="0.2">
      <c r="B258" s="246" t="s">
        <v>1306</v>
      </c>
      <c r="C258" s="218">
        <v>1070</v>
      </c>
      <c r="D258" s="217" t="s">
        <v>245</v>
      </c>
      <c r="E258" s="300"/>
      <c r="F258" s="300"/>
      <c r="G258" s="300"/>
      <c r="H258" s="300"/>
      <c r="I258" s="300"/>
      <c r="J258" s="300"/>
      <c r="K258" s="300"/>
      <c r="L258" s="300"/>
      <c r="M258" s="300"/>
      <c r="N258" s="460"/>
      <c r="O258" s="299"/>
    </row>
    <row r="259" spans="1:26" ht="21.95" customHeight="1" x14ac:dyDescent="0.2">
      <c r="B259" s="246" t="s">
        <v>1307</v>
      </c>
      <c r="C259" s="218">
        <v>1080</v>
      </c>
      <c r="D259" s="217" t="s">
        <v>248</v>
      </c>
      <c r="E259" s="300"/>
      <c r="F259" s="300"/>
      <c r="G259" s="300"/>
      <c r="H259" s="300"/>
      <c r="I259" s="300"/>
      <c r="J259" s="300"/>
      <c r="K259" s="300"/>
      <c r="L259" s="300"/>
      <c r="M259" s="300"/>
      <c r="N259" s="460"/>
      <c r="O259" s="299"/>
    </row>
    <row r="260" spans="1:26" ht="30" customHeight="1" x14ac:dyDescent="0.2">
      <c r="B260" s="336" t="s">
        <v>1308</v>
      </c>
      <c r="C260" s="218">
        <v>1085</v>
      </c>
      <c r="D260" s="219" t="s">
        <v>251</v>
      </c>
      <c r="E260" s="461"/>
      <c r="F260" s="461"/>
      <c r="G260" s="461"/>
      <c r="H260" s="461"/>
      <c r="I260" s="461"/>
      <c r="J260" s="461"/>
      <c r="K260" s="461"/>
      <c r="L260" s="461"/>
      <c r="M260" s="461"/>
      <c r="N260" s="461"/>
      <c r="O260" s="299"/>
    </row>
    <row r="261" spans="1:26" ht="27" customHeight="1" x14ac:dyDescent="0.2">
      <c r="B261" s="245" t="s">
        <v>1309</v>
      </c>
      <c r="C261" s="218">
        <v>1090</v>
      </c>
      <c r="D261" s="217" t="s">
        <v>245</v>
      </c>
      <c r="E261" s="300"/>
      <c r="F261" s="300"/>
      <c r="G261" s="300"/>
      <c r="H261" s="300"/>
      <c r="I261" s="300"/>
      <c r="J261" s="300"/>
      <c r="K261" s="300"/>
      <c r="L261" s="300"/>
      <c r="M261" s="300"/>
      <c r="N261" s="460"/>
      <c r="O261" s="299"/>
    </row>
    <row r="262" spans="1:26" ht="21.95" customHeight="1" x14ac:dyDescent="0.2">
      <c r="B262" s="246" t="s">
        <v>1310</v>
      </c>
      <c r="C262" s="218">
        <v>1100</v>
      </c>
      <c r="D262" s="217" t="s">
        <v>245</v>
      </c>
      <c r="E262" s="300"/>
      <c r="F262" s="300"/>
      <c r="G262" s="300"/>
      <c r="H262" s="300"/>
      <c r="I262" s="300"/>
      <c r="J262" s="300"/>
      <c r="K262" s="300"/>
      <c r="L262" s="300"/>
      <c r="M262" s="300"/>
      <c r="N262" s="460"/>
      <c r="O262" s="299"/>
    </row>
    <row r="263" spans="1:26" ht="27" customHeight="1" x14ac:dyDescent="0.2">
      <c r="B263" s="245" t="s">
        <v>1074</v>
      </c>
      <c r="C263" s="218">
        <v>1110</v>
      </c>
      <c r="D263" s="217" t="s">
        <v>251</v>
      </c>
      <c r="E263" s="300"/>
      <c r="F263" s="300"/>
      <c r="G263" s="300"/>
      <c r="H263" s="300"/>
      <c r="I263" s="300"/>
      <c r="J263" s="300"/>
      <c r="K263" s="300"/>
      <c r="L263" s="300"/>
      <c r="M263" s="300"/>
      <c r="N263" s="460"/>
      <c r="O263" s="299"/>
    </row>
    <row r="264" spans="1:26" hidden="1" x14ac:dyDescent="0.2">
      <c r="B264" s="246" t="s">
        <v>1068</v>
      </c>
      <c r="C264" s="218">
        <v>1120</v>
      </c>
      <c r="D264" s="217" t="s">
        <v>251</v>
      </c>
      <c r="E264" s="857"/>
      <c r="F264" s="857"/>
      <c r="G264" s="857"/>
      <c r="H264" s="857"/>
      <c r="I264" s="857"/>
      <c r="J264" s="857"/>
      <c r="K264" s="857"/>
      <c r="L264" s="857"/>
      <c r="M264" s="857"/>
      <c r="N264" s="850"/>
      <c r="O264" s="858"/>
    </row>
    <row r="265" spans="1:26" ht="21.95" customHeight="1" x14ac:dyDescent="0.2">
      <c r="B265" s="226" t="s">
        <v>1263</v>
      </c>
      <c r="C265" s="234">
        <v>1130</v>
      </c>
      <c r="D265" s="237" t="s">
        <v>248</v>
      </c>
      <c r="E265" s="462"/>
      <c r="F265" s="462"/>
      <c r="G265" s="462"/>
      <c r="H265" s="462"/>
      <c r="I265" s="462"/>
      <c r="J265" s="462"/>
      <c r="K265" s="462"/>
      <c r="L265" s="462"/>
      <c r="M265" s="462"/>
      <c r="N265" s="874"/>
      <c r="O265" s="299"/>
    </row>
    <row r="266" spans="1:26" ht="27" customHeight="1" thickBot="1" x14ac:dyDescent="0.25">
      <c r="A266" s="99"/>
      <c r="B266" s="732" t="s">
        <v>1314</v>
      </c>
      <c r="C266" s="236">
        <v>1140</v>
      </c>
      <c r="D266" s="235" t="s">
        <v>245</v>
      </c>
      <c r="E266" s="875"/>
      <c r="F266" s="875"/>
      <c r="G266" s="875"/>
      <c r="H266" s="875"/>
      <c r="I266" s="875"/>
      <c r="J266" s="875"/>
      <c r="K266" s="875"/>
      <c r="L266" s="875"/>
      <c r="M266" s="875"/>
      <c r="N266" s="875"/>
      <c r="O266" s="570"/>
      <c r="P266" s="99"/>
      <c r="Q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 thickTop="1" x14ac:dyDescent="0.2">
      <c r="B267" s="97"/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 N254 J254:L254 G254:H254 C57:D57 B36:B37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J255:L266 G255:H266 E254:F266 N265:N266 N255:N263 O254:O266 M254:M266 I254:I266 E252:O253 O250 E250:M250 E248:M248 O247:O248 E246:O246 A245 A243 E241:N241 O237:O244 O234 E233:O233 A230:A231 E229:O229 E107:N107 K105:L106 E104:M104 K100:L103 K96:L97 E96:G96 A94 E92:M92 A84:A85 S76:T77 G74:Q77 U74:U77 S71:T72 G69:Q72 U69:U72 G52:H61 E52:E61 F51:F61 E48:H50 E38 F36:F38 E30 F29:F30 E25 F19:F27 F16 E15:F15 A12:A14 E11:F11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16 E247:N247 E242:N244 E237:N240 E234:N234 E105:J106 M105:M106 E100:J103 M101:M103 M100:N100 E97:J97 S74:T75 S69:T70 E36:E37 E26:E29 E19:E24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36" fitToHeight="2" orientation="landscape" horizontalDpi="90" verticalDpi="90" r:id="rId1"/>
  <rowBreaks count="1" manualBreakCount="1">
    <brk id="79" max="5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B283"/>
  <sheetViews>
    <sheetView topLeftCell="A183" zoomScale="70" zoomScaleNormal="70" workbookViewId="0">
      <pane xSplit="4" topLeftCell="E1" activePane="topRight" state="frozen"/>
      <selection pane="topRight" activeCell="B299" sqref="B299"/>
    </sheetView>
  </sheetViews>
  <sheetFormatPr defaultRowHeight="12.75" x14ac:dyDescent="0.2"/>
  <cols>
    <col min="1" max="1" width="5.5703125" customWidth="1"/>
    <col min="2" max="2" width="57.7109375" customWidth="1"/>
    <col min="3" max="4" width="10.140625" customWidth="1"/>
    <col min="5" max="6" width="18.42578125" customWidth="1"/>
    <col min="7" max="7" width="4" hidden="1" customWidth="1"/>
    <col min="8" max="9" width="18.42578125" customWidth="1"/>
    <col min="10" max="17" width="3.42578125" hidden="1" customWidth="1"/>
    <col min="18" max="19" width="3.5703125" hidden="1" customWidth="1"/>
    <col min="20" max="21" width="18.42578125" hidden="1" customWidth="1"/>
    <col min="22" max="22" width="18.42578125" customWidth="1"/>
    <col min="23" max="26" width="3.42578125" hidden="1" customWidth="1"/>
    <col min="27" max="28" width="3.7109375" hidden="1" customWidth="1"/>
    <col min="29" max="39" width="18.42578125" hidden="1" customWidth="1"/>
    <col min="40" max="40" width="21.28515625" customWidth="1"/>
    <col min="41" max="41" width="4" hidden="1" customWidth="1"/>
    <col min="42" max="54" width="2.28515625" hidden="1" customWidth="1"/>
  </cols>
  <sheetData>
    <row r="1" spans="1:54" ht="15.75" x14ac:dyDescent="0.25">
      <c r="A1" s="1131" t="s">
        <v>3726</v>
      </c>
      <c r="B1" s="1139" t="str">
        <f>OrgName</f>
        <v>ZZZ NHS TRUST</v>
      </c>
      <c r="C1" s="1122"/>
      <c r="D1" s="1122"/>
      <c r="E1" s="1177" t="str">
        <f>HYPERLINK(CHAR(35)&amp;"1415TRU_Index_P13"&amp;"!A1","GoTo Index tab")</f>
        <v>GoTo Index tab</v>
      </c>
      <c r="G1" s="105"/>
      <c r="I1" s="99"/>
      <c r="J1" s="99"/>
      <c r="K1" s="99"/>
      <c r="L1" s="99"/>
      <c r="M1" s="99"/>
      <c r="N1" s="99"/>
      <c r="O1" s="99"/>
      <c r="P1" s="99"/>
      <c r="Q1" s="99"/>
      <c r="R1" s="105"/>
      <c r="S1" s="105"/>
      <c r="W1" s="99"/>
      <c r="X1" s="99"/>
      <c r="Y1" s="99"/>
      <c r="Z1" s="99"/>
      <c r="AA1" s="99"/>
      <c r="AB1" s="99"/>
      <c r="AC1" s="99"/>
      <c r="AD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</row>
    <row r="2" spans="1:54" x14ac:dyDescent="0.2">
      <c r="A2" s="1131" t="s">
        <v>3727</v>
      </c>
      <c r="B2" s="1137" t="str">
        <f>"Org Code: " &amp; Orgcode</f>
        <v>Org Code: ZZZ</v>
      </c>
      <c r="C2" s="1119"/>
      <c r="D2" s="1119"/>
      <c r="E2" s="1135"/>
    </row>
    <row r="3" spans="1:54" x14ac:dyDescent="0.2">
      <c r="A3" s="1131" t="s">
        <v>3743</v>
      </c>
      <c r="B3" s="1138" t="s">
        <v>3725</v>
      </c>
      <c r="C3" s="1125"/>
      <c r="D3" s="1125"/>
      <c r="E3" s="1136"/>
    </row>
    <row r="4" spans="1:54" x14ac:dyDescent="0.2">
      <c r="B4" s="102" t="s">
        <v>1315</v>
      </c>
    </row>
    <row r="5" spans="1:54" x14ac:dyDescent="0.2">
      <c r="B5" s="103" t="s">
        <v>66</v>
      </c>
    </row>
    <row r="7" spans="1:54" ht="13.5" thickBot="1" x14ac:dyDescent="0.25"/>
    <row r="8" spans="1:54" ht="13.5" hidden="1" thickBot="1" x14ac:dyDescent="0.25"/>
    <row r="9" spans="1:54" ht="13.5" hidden="1" thickBot="1" x14ac:dyDescent="0.25"/>
    <row r="10" spans="1:54" ht="13.5" hidden="1" thickBot="1" x14ac:dyDescent="0.25"/>
    <row r="11" spans="1:54" ht="13.5" hidden="1" thickBot="1" x14ac:dyDescent="0.25"/>
    <row r="12" spans="1:54" ht="13.5" hidden="1" thickBot="1" x14ac:dyDescent="0.25"/>
    <row r="13" spans="1:54" ht="13.5" hidden="1" thickBot="1" x14ac:dyDescent="0.25"/>
    <row r="14" spans="1:54" ht="13.5" hidden="1" thickBot="1" x14ac:dyDescent="0.25"/>
    <row r="15" spans="1:54" ht="13.5" hidden="1" thickBot="1" x14ac:dyDescent="0.25"/>
    <row r="16" spans="1:54" ht="13.5" hidden="1" thickBot="1" x14ac:dyDescent="0.25"/>
    <row r="17" spans="2:39" ht="13.5" hidden="1" thickBot="1" x14ac:dyDescent="0.25"/>
    <row r="18" spans="2:39" ht="13.5" hidden="1" thickBot="1" x14ac:dyDescent="0.25"/>
    <row r="19" spans="2:39" ht="13.5" hidden="1" thickBot="1" x14ac:dyDescent="0.25"/>
    <row r="20" spans="2:39" ht="13.5" hidden="1" thickBot="1" x14ac:dyDescent="0.25"/>
    <row r="21" spans="2:39" ht="13.5" hidden="1" thickBot="1" x14ac:dyDescent="0.25"/>
    <row r="22" spans="2:39" ht="13.5" hidden="1" thickBot="1" x14ac:dyDescent="0.25"/>
    <row r="23" spans="2:39" ht="13.5" hidden="1" thickBot="1" x14ac:dyDescent="0.25"/>
    <row r="24" spans="2:39" ht="14.25" thickTop="1" thickBot="1" x14ac:dyDescent="0.25">
      <c r="E24" s="376" t="s">
        <v>1320</v>
      </c>
      <c r="F24" s="377"/>
      <c r="H24" s="377"/>
      <c r="I24" s="381"/>
      <c r="R24" s="108"/>
      <c r="T24" s="378" t="s">
        <v>1321</v>
      </c>
      <c r="U24" s="377"/>
      <c r="V24" s="381"/>
      <c r="AC24" s="876" t="s">
        <v>1322</v>
      </c>
      <c r="AD24" s="377"/>
      <c r="AE24" s="377"/>
      <c r="AF24" s="377"/>
      <c r="AG24" s="377"/>
      <c r="AH24" s="377"/>
      <c r="AI24" s="377"/>
      <c r="AJ24" s="377"/>
      <c r="AK24" s="377"/>
      <c r="AL24" s="377"/>
      <c r="AM24" s="381"/>
    </row>
    <row r="25" spans="2:39" ht="13.5" thickTop="1" x14ac:dyDescent="0.2">
      <c r="B25" s="242"/>
      <c r="C25" s="193"/>
      <c r="D25" s="353" t="s">
        <v>25</v>
      </c>
      <c r="E25" s="353" t="s">
        <v>235</v>
      </c>
      <c r="F25" s="353" t="s">
        <v>236</v>
      </c>
      <c r="G25" s="97" t="s">
        <v>293</v>
      </c>
      <c r="H25" s="353" t="s">
        <v>294</v>
      </c>
      <c r="I25" s="353" t="s">
        <v>298</v>
      </c>
      <c r="R25" s="97" t="s">
        <v>576</v>
      </c>
      <c r="S25" s="97" t="s">
        <v>577</v>
      </c>
      <c r="T25" s="353" t="s">
        <v>578</v>
      </c>
      <c r="U25" s="353" t="s">
        <v>579</v>
      </c>
      <c r="V25" s="293" t="s">
        <v>580</v>
      </c>
      <c r="AC25" s="353" t="s">
        <v>825</v>
      </c>
      <c r="AD25" s="353" t="s">
        <v>826</v>
      </c>
      <c r="AE25" s="353" t="s">
        <v>827</v>
      </c>
      <c r="AF25" s="353" t="s">
        <v>828</v>
      </c>
      <c r="AG25" s="353" t="s">
        <v>829</v>
      </c>
      <c r="AH25" s="353" t="s">
        <v>830</v>
      </c>
      <c r="AI25" s="353" t="s">
        <v>831</v>
      </c>
      <c r="AJ25" s="353" t="s">
        <v>1323</v>
      </c>
      <c r="AK25" s="353" t="s">
        <v>1324</v>
      </c>
      <c r="AL25" s="353" t="s">
        <v>1325</v>
      </c>
      <c r="AM25" s="293" t="s">
        <v>1326</v>
      </c>
    </row>
    <row r="26" spans="2:39" ht="51" x14ac:dyDescent="0.2">
      <c r="B26" s="198" t="s">
        <v>1327</v>
      </c>
      <c r="C26" s="199" t="s">
        <v>238</v>
      </c>
      <c r="D26" s="201"/>
      <c r="E26" s="201" t="s">
        <v>799</v>
      </c>
      <c r="F26" s="201" t="s">
        <v>1328</v>
      </c>
      <c r="G26" s="97" t="s">
        <v>1329</v>
      </c>
      <c r="H26" s="201" t="s">
        <v>302</v>
      </c>
      <c r="I26" s="201"/>
      <c r="R26" s="97" t="s">
        <v>1330</v>
      </c>
      <c r="S26" s="97" t="s">
        <v>387</v>
      </c>
      <c r="T26" s="201" t="s">
        <v>303</v>
      </c>
      <c r="U26" s="201" t="s">
        <v>304</v>
      </c>
      <c r="V26" s="202" t="s">
        <v>305</v>
      </c>
      <c r="AC26" s="201" t="s">
        <v>1005</v>
      </c>
      <c r="AD26" s="201" t="s">
        <v>1006</v>
      </c>
      <c r="AE26" s="201" t="s">
        <v>1007</v>
      </c>
      <c r="AF26" s="201" t="s">
        <v>590</v>
      </c>
      <c r="AG26" s="201" t="s">
        <v>1008</v>
      </c>
      <c r="AH26" s="201" t="s">
        <v>1265</v>
      </c>
      <c r="AI26" s="201" t="s">
        <v>1266</v>
      </c>
      <c r="AJ26" s="201" t="s">
        <v>1267</v>
      </c>
      <c r="AK26" s="201" t="s">
        <v>599</v>
      </c>
      <c r="AL26" s="201" t="s">
        <v>1268</v>
      </c>
      <c r="AM26" s="202" t="s">
        <v>1269</v>
      </c>
    </row>
    <row r="27" spans="2:39" ht="13.5" thickBot="1" x14ac:dyDescent="0.25">
      <c r="B27" s="198"/>
      <c r="C27" s="204" t="s">
        <v>242</v>
      </c>
      <c r="D27" s="278"/>
      <c r="E27" s="278" t="s">
        <v>243</v>
      </c>
      <c r="F27" s="278" t="s">
        <v>243</v>
      </c>
      <c r="G27" s="97" t="s">
        <v>243</v>
      </c>
      <c r="H27" s="278" t="s">
        <v>243</v>
      </c>
      <c r="I27" s="278" t="s">
        <v>243</v>
      </c>
      <c r="R27" s="97" t="s">
        <v>243</v>
      </c>
      <c r="S27" s="97" t="s">
        <v>243</v>
      </c>
      <c r="T27" s="278" t="s">
        <v>243</v>
      </c>
      <c r="U27" s="278" t="s">
        <v>243</v>
      </c>
      <c r="V27" s="294" t="s">
        <v>243</v>
      </c>
      <c r="AC27" s="278" t="s">
        <v>243</v>
      </c>
      <c r="AD27" s="278" t="s">
        <v>243</v>
      </c>
      <c r="AE27" s="278" t="s">
        <v>243</v>
      </c>
      <c r="AF27" s="278" t="s">
        <v>243</v>
      </c>
      <c r="AG27" s="278" t="s">
        <v>243</v>
      </c>
      <c r="AH27" s="278" t="s">
        <v>243</v>
      </c>
      <c r="AI27" s="278" t="s">
        <v>243</v>
      </c>
      <c r="AJ27" s="278" t="s">
        <v>243</v>
      </c>
      <c r="AK27" s="278" t="s">
        <v>243</v>
      </c>
      <c r="AL27" s="278" t="s">
        <v>243</v>
      </c>
      <c r="AM27" s="202" t="s">
        <v>243</v>
      </c>
    </row>
    <row r="28" spans="2:39" ht="21.95" customHeight="1" x14ac:dyDescent="0.2">
      <c r="B28" s="314" t="s">
        <v>1248</v>
      </c>
      <c r="C28" s="317"/>
      <c r="D28" s="317"/>
      <c r="E28" s="317"/>
      <c r="F28" s="317"/>
      <c r="H28" s="317"/>
      <c r="I28" s="317"/>
      <c r="T28" s="317"/>
      <c r="U28" s="317"/>
      <c r="V28" s="318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8"/>
    </row>
    <row r="29" spans="2:39" ht="21.95" customHeight="1" x14ac:dyDescent="0.2">
      <c r="B29" s="188" t="s">
        <v>1331</v>
      </c>
      <c r="C29" s="251">
        <v>200</v>
      </c>
      <c r="D29" s="250" t="s">
        <v>248</v>
      </c>
      <c r="E29" s="253"/>
      <c r="F29" s="422"/>
      <c r="H29" s="321"/>
      <c r="I29" s="321"/>
      <c r="T29" s="321"/>
      <c r="U29" s="321"/>
      <c r="V29" s="1228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578"/>
    </row>
    <row r="30" spans="2:39" ht="21.95" customHeight="1" x14ac:dyDescent="0.2">
      <c r="B30" s="213" t="s">
        <v>1332</v>
      </c>
      <c r="C30" s="218">
        <v>210</v>
      </c>
      <c r="D30" s="217" t="s">
        <v>248</v>
      </c>
      <c r="E30" s="220"/>
      <c r="F30" s="220"/>
      <c r="H30" s="324"/>
      <c r="I30" s="324"/>
      <c r="T30" s="324"/>
      <c r="U30" s="324"/>
      <c r="V30" s="1229"/>
      <c r="AC30" s="220">
        <f t="shared" ref="AC30:AL30" si="0">SUM(AC230+AC233+AC236)</f>
        <v>0</v>
      </c>
      <c r="AD30" s="220">
        <f t="shared" si="0"/>
        <v>0</v>
      </c>
      <c r="AE30" s="220">
        <f t="shared" si="0"/>
        <v>0</v>
      </c>
      <c r="AF30" s="220">
        <f t="shared" si="0"/>
        <v>0</v>
      </c>
      <c r="AG30" s="220">
        <f t="shared" si="0"/>
        <v>0</v>
      </c>
      <c r="AH30" s="220">
        <f t="shared" si="0"/>
        <v>0</v>
      </c>
      <c r="AI30" s="220">
        <f t="shared" si="0"/>
        <v>0</v>
      </c>
      <c r="AJ30" s="220">
        <f t="shared" si="0"/>
        <v>0</v>
      </c>
      <c r="AK30" s="220">
        <f t="shared" si="0"/>
        <v>0</v>
      </c>
      <c r="AL30" s="220">
        <f t="shared" si="0"/>
        <v>0</v>
      </c>
      <c r="AM30" s="331"/>
    </row>
    <row r="31" spans="2:39" ht="21.95" customHeight="1" x14ac:dyDescent="0.2">
      <c r="B31" s="213" t="s">
        <v>1333</v>
      </c>
      <c r="C31" s="218">
        <v>220</v>
      </c>
      <c r="D31" s="217" t="s">
        <v>248</v>
      </c>
      <c r="E31" s="220"/>
      <c r="F31" s="220"/>
      <c r="H31" s="324"/>
      <c r="I31" s="324"/>
      <c r="T31" s="324"/>
      <c r="U31" s="324"/>
      <c r="V31" s="1229"/>
      <c r="AC31" s="220">
        <f>SUM(AC263+AC266)</f>
        <v>0</v>
      </c>
      <c r="AD31" s="220">
        <f>SUM(AD263+AD266)</f>
        <v>0</v>
      </c>
      <c r="AE31" s="220">
        <f>SUM(AE263+AE266)</f>
        <v>0</v>
      </c>
      <c r="AF31" s="220">
        <f>SUM(AF263+AF266)</f>
        <v>0</v>
      </c>
      <c r="AG31" s="324"/>
      <c r="AH31" s="220">
        <f>SUM(AH263+AH266)</f>
        <v>0</v>
      </c>
      <c r="AI31" s="220">
        <f>SUM(AI263+AI266)</f>
        <v>0</v>
      </c>
      <c r="AJ31" s="220">
        <f>SUM(AJ263+AJ266)</f>
        <v>0</v>
      </c>
      <c r="AK31" s="220">
        <f>SUM(AK263+AK266)</f>
        <v>0</v>
      </c>
      <c r="AL31" s="220">
        <f>SUM(AL263+AL266)</f>
        <v>0</v>
      </c>
      <c r="AM31" s="331"/>
    </row>
    <row r="32" spans="2:39" ht="21.95" customHeight="1" x14ac:dyDescent="0.2">
      <c r="B32" s="213" t="s">
        <v>1334</v>
      </c>
      <c r="C32" s="218">
        <v>230</v>
      </c>
      <c r="D32" s="217" t="s">
        <v>248</v>
      </c>
      <c r="E32" s="228"/>
      <c r="F32" s="228"/>
      <c r="H32" s="324"/>
      <c r="I32" s="324"/>
      <c r="T32" s="324"/>
      <c r="U32" s="324"/>
      <c r="V32" s="1229"/>
      <c r="AC32" s="324"/>
      <c r="AD32" s="324"/>
      <c r="AE32" s="324"/>
      <c r="AF32" s="324"/>
      <c r="AG32" s="228"/>
      <c r="AH32" s="324"/>
      <c r="AI32" s="334"/>
      <c r="AJ32" s="334"/>
      <c r="AK32" s="324"/>
      <c r="AL32" s="324"/>
      <c r="AM32" s="297"/>
    </row>
    <row r="33" spans="2:39" ht="21.95" customHeight="1" x14ac:dyDescent="0.2">
      <c r="B33" s="213" t="s">
        <v>1335</v>
      </c>
      <c r="C33" s="218">
        <v>240</v>
      </c>
      <c r="D33" s="217" t="s">
        <v>248</v>
      </c>
      <c r="E33" s="220"/>
      <c r="F33" s="220"/>
      <c r="H33" s="324"/>
      <c r="I33" s="324"/>
      <c r="T33" s="324"/>
      <c r="U33" s="324"/>
      <c r="V33" s="1229"/>
      <c r="AC33" s="324"/>
      <c r="AD33" s="324"/>
      <c r="AE33" s="324"/>
      <c r="AF33" s="324"/>
      <c r="AG33" s="220">
        <f>SUM(AG231+AG234+AG237)</f>
        <v>0</v>
      </c>
      <c r="AH33" s="324"/>
      <c r="AI33" s="324"/>
      <c r="AJ33" s="324"/>
      <c r="AK33" s="324"/>
      <c r="AL33" s="324"/>
      <c r="AM33" s="222">
        <f>SUM(AM231+AM234+AM237)</f>
        <v>0</v>
      </c>
    </row>
    <row r="34" spans="2:39" ht="21.95" customHeight="1" x14ac:dyDescent="0.2">
      <c r="B34" s="213" t="s">
        <v>1336</v>
      </c>
      <c r="C34" s="218">
        <v>250</v>
      </c>
      <c r="D34" s="217" t="s">
        <v>248</v>
      </c>
      <c r="E34" s="220"/>
      <c r="F34" s="220"/>
      <c r="H34" s="324"/>
      <c r="I34" s="324"/>
      <c r="T34" s="324"/>
      <c r="U34" s="324"/>
      <c r="V34" s="1230"/>
      <c r="AC34" s="324"/>
      <c r="AD34" s="324"/>
      <c r="AE34" s="324"/>
      <c r="AF34" s="324"/>
      <c r="AG34" s="220">
        <f>SUM(AG264+AG267)</f>
        <v>0</v>
      </c>
      <c r="AH34" s="324"/>
      <c r="AI34" s="324"/>
      <c r="AJ34" s="324"/>
      <c r="AK34" s="324"/>
      <c r="AL34" s="324"/>
      <c r="AM34" s="222">
        <f>SUM(AM264+AM267)</f>
        <v>0</v>
      </c>
    </row>
    <row r="35" spans="2:39" ht="21.95" customHeight="1" x14ac:dyDescent="0.2">
      <c r="B35" s="213" t="s">
        <v>1337</v>
      </c>
      <c r="C35" s="218">
        <v>255</v>
      </c>
      <c r="D35" s="217" t="s">
        <v>248</v>
      </c>
      <c r="E35" s="228"/>
      <c r="F35" s="334"/>
      <c r="H35" s="324"/>
      <c r="I35" s="324"/>
      <c r="T35" s="324"/>
      <c r="U35" s="324"/>
      <c r="V35" s="1229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31"/>
    </row>
    <row r="36" spans="2:39" ht="21.95" customHeight="1" x14ac:dyDescent="0.2">
      <c r="B36" s="213" t="s">
        <v>1338</v>
      </c>
      <c r="C36" s="218">
        <v>260</v>
      </c>
      <c r="D36" s="217" t="s">
        <v>245</v>
      </c>
      <c r="E36" s="228"/>
      <c r="F36" s="228"/>
      <c r="H36" s="220">
        <f t="shared" ref="H36:H42" si="1">F36-V36</f>
        <v>0</v>
      </c>
      <c r="I36" s="324"/>
      <c r="T36" s="324"/>
      <c r="U36" s="324"/>
      <c r="V36" s="1231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97"/>
    </row>
    <row r="37" spans="2:39" ht="21.95" customHeight="1" x14ac:dyDescent="0.2">
      <c r="B37" s="213" t="s">
        <v>1339</v>
      </c>
      <c r="C37" s="218">
        <v>270</v>
      </c>
      <c r="D37" s="217" t="s">
        <v>248</v>
      </c>
      <c r="E37" s="228"/>
      <c r="F37" s="228"/>
      <c r="H37" s="220">
        <f t="shared" si="1"/>
        <v>0</v>
      </c>
      <c r="I37" s="324"/>
      <c r="T37" s="324"/>
      <c r="U37" s="324"/>
      <c r="V37" s="1231"/>
      <c r="AC37" s="324"/>
      <c r="AD37" s="324"/>
      <c r="AE37" s="324"/>
      <c r="AF37" s="324"/>
      <c r="AG37" s="228"/>
      <c r="AH37" s="334"/>
      <c r="AI37" s="334"/>
      <c r="AJ37" s="334"/>
      <c r="AK37" s="334"/>
      <c r="AL37" s="324"/>
      <c r="AM37" s="331"/>
    </row>
    <row r="38" spans="2:39" ht="27" customHeight="1" x14ac:dyDescent="0.2">
      <c r="B38" s="245" t="s">
        <v>1340</v>
      </c>
      <c r="C38" s="218">
        <v>280</v>
      </c>
      <c r="D38" s="217" t="s">
        <v>248</v>
      </c>
      <c r="E38" s="228"/>
      <c r="F38" s="228"/>
      <c r="H38" s="220">
        <f t="shared" si="1"/>
        <v>0</v>
      </c>
      <c r="I38" s="324"/>
      <c r="T38" s="324"/>
      <c r="U38" s="324"/>
      <c r="V38" s="1231"/>
      <c r="AC38" s="324"/>
      <c r="AD38" s="324"/>
      <c r="AE38" s="324"/>
      <c r="AF38" s="324"/>
      <c r="AG38" s="334"/>
      <c r="AH38" s="334"/>
      <c r="AI38" s="334"/>
      <c r="AJ38" s="334"/>
      <c r="AK38" s="334"/>
      <c r="AL38" s="324"/>
      <c r="AM38" s="331"/>
    </row>
    <row r="39" spans="2:39" ht="21.95" customHeight="1" x14ac:dyDescent="0.2">
      <c r="B39" s="231" t="s">
        <v>1341</v>
      </c>
      <c r="C39" s="218">
        <v>290</v>
      </c>
      <c r="D39" s="219" t="s">
        <v>248</v>
      </c>
      <c r="E39" s="228"/>
      <c r="F39" s="228"/>
      <c r="H39" s="220">
        <f t="shared" si="1"/>
        <v>0</v>
      </c>
      <c r="I39" s="324"/>
      <c r="T39" s="324"/>
      <c r="U39" s="324"/>
      <c r="V39" s="1231"/>
      <c r="AC39" s="228"/>
      <c r="AD39" s="228"/>
      <c r="AE39" s="228"/>
      <c r="AF39" s="228"/>
      <c r="AG39" s="228"/>
      <c r="AH39" s="334"/>
      <c r="AI39" s="228"/>
      <c r="AJ39" s="228"/>
      <c r="AK39" s="228"/>
      <c r="AL39" s="228"/>
      <c r="AM39" s="297"/>
    </row>
    <row r="40" spans="2:39" ht="21.95" customHeight="1" x14ac:dyDescent="0.2">
      <c r="B40" s="213" t="s">
        <v>1342</v>
      </c>
      <c r="C40" s="218">
        <v>300</v>
      </c>
      <c r="D40" s="217" t="s">
        <v>248</v>
      </c>
      <c r="E40" s="300">
        <f>('1415TRU18_FL_P13'!H60+'1415TRU18_FL_P13'!H71+'1415TRU18_FL_P13'!H82)</f>
        <v>0</v>
      </c>
      <c r="F40" s="228"/>
      <c r="H40" s="220">
        <f t="shared" si="1"/>
        <v>0</v>
      </c>
      <c r="I40" s="324"/>
      <c r="T40" s="324"/>
      <c r="U40" s="324"/>
      <c r="V40" s="1231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97"/>
    </row>
    <row r="41" spans="2:39" ht="21.95" customHeight="1" x14ac:dyDescent="0.2">
      <c r="B41" s="213" t="s">
        <v>1343</v>
      </c>
      <c r="C41" s="218">
        <v>310</v>
      </c>
      <c r="D41" s="217" t="s">
        <v>248</v>
      </c>
      <c r="E41" s="228"/>
      <c r="F41" s="228"/>
      <c r="H41" s="220">
        <f t="shared" si="1"/>
        <v>0</v>
      </c>
      <c r="I41" s="324"/>
      <c r="T41" s="324"/>
      <c r="U41" s="324"/>
      <c r="V41" s="1231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97"/>
    </row>
    <row r="42" spans="2:39" ht="21.95" customHeight="1" x14ac:dyDescent="0.2">
      <c r="B42" s="213" t="s">
        <v>1344</v>
      </c>
      <c r="C42" s="218">
        <v>320</v>
      </c>
      <c r="D42" s="217" t="s">
        <v>248</v>
      </c>
      <c r="E42" s="228"/>
      <c r="F42" s="228"/>
      <c r="H42" s="220">
        <f t="shared" si="1"/>
        <v>0</v>
      </c>
      <c r="I42" s="324"/>
      <c r="T42" s="324"/>
      <c r="U42" s="324"/>
      <c r="V42" s="1231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97"/>
    </row>
    <row r="43" spans="2:39" ht="21.95" customHeight="1" thickBot="1" x14ac:dyDescent="0.25">
      <c r="B43" s="226" t="s">
        <v>1345</v>
      </c>
      <c r="C43" s="358">
        <v>330</v>
      </c>
      <c r="D43" s="545" t="s">
        <v>248</v>
      </c>
      <c r="E43" s="834">
        <f>SUM(E29:E42)</f>
        <v>0</v>
      </c>
      <c r="F43" s="834">
        <f>SUM(F29:F42)</f>
        <v>0</v>
      </c>
      <c r="H43" s="834">
        <f>SUM(F29:F42)-V43</f>
        <v>0</v>
      </c>
      <c r="I43" s="360"/>
      <c r="T43" s="360"/>
      <c r="U43" s="360"/>
      <c r="V43" s="1232">
        <f>SUM(V29:V42)</f>
        <v>0</v>
      </c>
      <c r="AC43" s="834">
        <f t="shared" ref="AC43:AM43" si="2">SUM(AC29:AC42)</f>
        <v>0</v>
      </c>
      <c r="AD43" s="834">
        <f t="shared" si="2"/>
        <v>0</v>
      </c>
      <c r="AE43" s="834">
        <f t="shared" si="2"/>
        <v>0</v>
      </c>
      <c r="AF43" s="834">
        <f t="shared" si="2"/>
        <v>0</v>
      </c>
      <c r="AG43" s="834">
        <f t="shared" si="2"/>
        <v>0</v>
      </c>
      <c r="AH43" s="834">
        <f t="shared" si="2"/>
        <v>0</v>
      </c>
      <c r="AI43" s="834">
        <f t="shared" si="2"/>
        <v>0</v>
      </c>
      <c r="AJ43" s="834">
        <f t="shared" si="2"/>
        <v>0</v>
      </c>
      <c r="AK43" s="834">
        <f t="shared" si="2"/>
        <v>0</v>
      </c>
      <c r="AL43" s="834">
        <f t="shared" si="2"/>
        <v>0</v>
      </c>
      <c r="AM43" s="227">
        <f t="shared" si="2"/>
        <v>0</v>
      </c>
    </row>
    <row r="44" spans="2:39" ht="21.95" customHeight="1" x14ac:dyDescent="0.2">
      <c r="B44" s="314" t="s">
        <v>1346</v>
      </c>
      <c r="C44" s="763"/>
      <c r="D44" s="735"/>
      <c r="E44" s="317"/>
      <c r="F44" s="317"/>
      <c r="H44" s="317"/>
      <c r="I44" s="317"/>
      <c r="T44" s="317"/>
      <c r="U44" s="317"/>
      <c r="V44" s="318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8"/>
    </row>
    <row r="45" spans="2:39" ht="21.95" customHeight="1" x14ac:dyDescent="0.2">
      <c r="B45" s="188" t="s">
        <v>1331</v>
      </c>
      <c r="C45" s="251">
        <v>340</v>
      </c>
      <c r="D45" s="250" t="s">
        <v>248</v>
      </c>
      <c r="E45" s="253"/>
      <c r="F45" s="422"/>
      <c r="H45" s="321"/>
      <c r="I45" s="321"/>
      <c r="T45" s="321"/>
      <c r="U45" s="321"/>
      <c r="V45" s="1228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623"/>
    </row>
    <row r="46" spans="2:39" ht="21.95" customHeight="1" x14ac:dyDescent="0.2">
      <c r="B46" s="213" t="s">
        <v>1332</v>
      </c>
      <c r="C46" s="218">
        <v>350</v>
      </c>
      <c r="D46" s="217" t="s">
        <v>248</v>
      </c>
      <c r="E46" s="220"/>
      <c r="F46" s="220"/>
      <c r="H46" s="324"/>
      <c r="I46" s="324"/>
      <c r="T46" s="324"/>
      <c r="U46" s="324"/>
      <c r="V46" s="1229"/>
      <c r="AC46" s="220">
        <f t="shared" ref="AC46:AL46" si="3">SUM(AC246+AC249+AC252)</f>
        <v>0</v>
      </c>
      <c r="AD46" s="220">
        <f t="shared" si="3"/>
        <v>0</v>
      </c>
      <c r="AE46" s="220">
        <f t="shared" si="3"/>
        <v>0</v>
      </c>
      <c r="AF46" s="220">
        <f t="shared" si="3"/>
        <v>0</v>
      </c>
      <c r="AG46" s="220">
        <f t="shared" si="3"/>
        <v>0</v>
      </c>
      <c r="AH46" s="220">
        <f t="shared" si="3"/>
        <v>0</v>
      </c>
      <c r="AI46" s="220">
        <f t="shared" si="3"/>
        <v>0</v>
      </c>
      <c r="AJ46" s="220">
        <f t="shared" si="3"/>
        <v>0</v>
      </c>
      <c r="AK46" s="220">
        <f t="shared" si="3"/>
        <v>0</v>
      </c>
      <c r="AL46" s="220">
        <f t="shared" si="3"/>
        <v>0</v>
      </c>
      <c r="AM46" s="331"/>
    </row>
    <row r="47" spans="2:39" ht="21.95" customHeight="1" x14ac:dyDescent="0.2">
      <c r="B47" s="213" t="s">
        <v>1333</v>
      </c>
      <c r="C47" s="218">
        <v>360</v>
      </c>
      <c r="D47" s="217" t="s">
        <v>248</v>
      </c>
      <c r="E47" s="220"/>
      <c r="F47" s="220"/>
      <c r="H47" s="324"/>
      <c r="I47" s="324"/>
      <c r="T47" s="324"/>
      <c r="U47" s="324"/>
      <c r="V47" s="1229"/>
      <c r="AC47" s="220">
        <f>SUM(AC270+AC273)</f>
        <v>0</v>
      </c>
      <c r="AD47" s="220">
        <f>SUM(AD270+AD273)</f>
        <v>0</v>
      </c>
      <c r="AE47" s="220">
        <f>SUM(AE270+AE273)</f>
        <v>0</v>
      </c>
      <c r="AF47" s="220">
        <f>SUM(AF270+AF273)</f>
        <v>0</v>
      </c>
      <c r="AG47" s="324"/>
      <c r="AH47" s="220">
        <f>SUM(AH270+AH273)</f>
        <v>0</v>
      </c>
      <c r="AI47" s="220">
        <f>SUM(AI270+AI273)</f>
        <v>0</v>
      </c>
      <c r="AJ47" s="220">
        <f>SUM(AJ270+AJ273)</f>
        <v>0</v>
      </c>
      <c r="AK47" s="220">
        <f>SUM(AK270+AK273)</f>
        <v>0</v>
      </c>
      <c r="AL47" s="220">
        <f>SUM(AL270+AL273)</f>
        <v>0</v>
      </c>
      <c r="AM47" s="331"/>
    </row>
    <row r="48" spans="2:39" ht="21.95" customHeight="1" x14ac:dyDescent="0.2">
      <c r="B48" s="213" t="s">
        <v>1334</v>
      </c>
      <c r="C48" s="218">
        <v>370</v>
      </c>
      <c r="D48" s="217" t="s">
        <v>248</v>
      </c>
      <c r="E48" s="228"/>
      <c r="F48" s="228"/>
      <c r="H48" s="324"/>
      <c r="I48" s="324"/>
      <c r="T48" s="324"/>
      <c r="U48" s="324"/>
      <c r="V48" s="1229"/>
      <c r="AC48" s="324"/>
      <c r="AD48" s="324"/>
      <c r="AE48" s="334"/>
      <c r="AF48" s="334"/>
      <c r="AG48" s="228"/>
      <c r="AH48" s="324"/>
      <c r="AI48" s="334"/>
      <c r="AJ48" s="334"/>
      <c r="AK48" s="324"/>
      <c r="AL48" s="334"/>
      <c r="AM48" s="297"/>
    </row>
    <row r="49" spans="1:40" ht="21.95" customHeight="1" x14ac:dyDescent="0.2">
      <c r="B49" s="213" t="s">
        <v>1335</v>
      </c>
      <c r="C49" s="218">
        <v>380</v>
      </c>
      <c r="D49" s="217" t="s">
        <v>248</v>
      </c>
      <c r="E49" s="220"/>
      <c r="F49" s="220"/>
      <c r="H49" s="324"/>
      <c r="I49" s="324"/>
      <c r="T49" s="324"/>
      <c r="U49" s="324"/>
      <c r="V49" s="1229"/>
      <c r="AC49" s="324"/>
      <c r="AD49" s="324"/>
      <c r="AE49" s="324"/>
      <c r="AF49" s="324"/>
      <c r="AG49" s="220">
        <f>SUM(AG247+AG250+AG253)</f>
        <v>0</v>
      </c>
      <c r="AH49" s="324"/>
      <c r="AI49" s="324"/>
      <c r="AJ49" s="324"/>
      <c r="AK49" s="324"/>
      <c r="AL49" s="324"/>
      <c r="AM49" s="222">
        <f>SUM(AM247+AM250+AM253)</f>
        <v>0</v>
      </c>
    </row>
    <row r="50" spans="1:40" ht="21.95" customHeight="1" x14ac:dyDescent="0.2">
      <c r="B50" s="213" t="s">
        <v>1336</v>
      </c>
      <c r="C50" s="218">
        <v>390</v>
      </c>
      <c r="D50" s="217" t="s">
        <v>248</v>
      </c>
      <c r="E50" s="220"/>
      <c r="F50" s="220"/>
      <c r="H50" s="324"/>
      <c r="I50" s="324"/>
      <c r="T50" s="324"/>
      <c r="U50" s="324"/>
      <c r="V50" s="1230"/>
      <c r="AC50" s="324"/>
      <c r="AD50" s="324"/>
      <c r="AE50" s="324"/>
      <c r="AF50" s="324"/>
      <c r="AG50" s="220">
        <f>SUM(AG271+AG274)</f>
        <v>0</v>
      </c>
      <c r="AH50" s="324"/>
      <c r="AI50" s="324"/>
      <c r="AJ50" s="324"/>
      <c r="AK50" s="324"/>
      <c r="AL50" s="324"/>
      <c r="AM50" s="222">
        <f>SUM(AM271+AM274)</f>
        <v>0</v>
      </c>
    </row>
    <row r="51" spans="1:40" ht="21.95" customHeight="1" x14ac:dyDescent="0.2">
      <c r="B51" s="213" t="s">
        <v>1338</v>
      </c>
      <c r="C51" s="218">
        <v>400</v>
      </c>
      <c r="D51" s="217" t="s">
        <v>245</v>
      </c>
      <c r="E51" s="228"/>
      <c r="F51" s="228"/>
      <c r="H51" s="220">
        <f t="shared" ref="H51:H57" si="4">F51-V51</f>
        <v>0</v>
      </c>
      <c r="I51" s="324"/>
      <c r="T51" s="324"/>
      <c r="U51" s="324"/>
      <c r="V51" s="1231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97"/>
    </row>
    <row r="52" spans="1:40" ht="21.95" customHeight="1" x14ac:dyDescent="0.2">
      <c r="B52" s="213" t="s">
        <v>1339</v>
      </c>
      <c r="C52" s="218">
        <v>410</v>
      </c>
      <c r="D52" s="217" t="s">
        <v>248</v>
      </c>
      <c r="E52" s="228"/>
      <c r="F52" s="228"/>
      <c r="H52" s="220">
        <f t="shared" si="4"/>
        <v>0</v>
      </c>
      <c r="I52" s="324"/>
      <c r="T52" s="324"/>
      <c r="U52" s="324"/>
      <c r="V52" s="1231"/>
      <c r="AC52" s="324"/>
      <c r="AD52" s="324"/>
      <c r="AE52" s="334"/>
      <c r="AF52" s="334"/>
      <c r="AG52" s="228"/>
      <c r="AH52" s="334"/>
      <c r="AI52" s="334"/>
      <c r="AJ52" s="334"/>
      <c r="AK52" s="334"/>
      <c r="AL52" s="334"/>
      <c r="AM52" s="259"/>
    </row>
    <row r="53" spans="1:40" ht="27" customHeight="1" x14ac:dyDescent="0.2">
      <c r="B53" s="245" t="s">
        <v>1347</v>
      </c>
      <c r="C53" s="218">
        <v>420</v>
      </c>
      <c r="D53" s="217" t="s">
        <v>251</v>
      </c>
      <c r="E53" s="228"/>
      <c r="F53" s="228"/>
      <c r="H53" s="220">
        <f t="shared" si="4"/>
        <v>0</v>
      </c>
      <c r="I53" s="324"/>
      <c r="T53" s="324"/>
      <c r="U53" s="324"/>
      <c r="V53" s="1231"/>
      <c r="AC53" s="324"/>
      <c r="AD53" s="324"/>
      <c r="AE53" s="334"/>
      <c r="AF53" s="334"/>
      <c r="AG53" s="334"/>
      <c r="AH53" s="334"/>
      <c r="AI53" s="334"/>
      <c r="AJ53" s="334"/>
      <c r="AK53" s="334"/>
      <c r="AL53" s="334"/>
      <c r="AM53" s="259"/>
    </row>
    <row r="54" spans="1:40" ht="21.95" customHeight="1" x14ac:dyDescent="0.2">
      <c r="B54" s="231" t="s">
        <v>1341</v>
      </c>
      <c r="C54" s="218">
        <v>430</v>
      </c>
      <c r="D54" s="219" t="s">
        <v>248</v>
      </c>
      <c r="E54" s="228"/>
      <c r="F54" s="228"/>
      <c r="H54" s="220">
        <f t="shared" si="4"/>
        <v>0</v>
      </c>
      <c r="I54" s="324"/>
      <c r="T54" s="324"/>
      <c r="U54" s="324"/>
      <c r="V54" s="1231"/>
      <c r="AC54" s="228"/>
      <c r="AD54" s="228"/>
      <c r="AE54" s="228"/>
      <c r="AF54" s="228"/>
      <c r="AG54" s="228"/>
      <c r="AH54" s="324"/>
      <c r="AI54" s="228"/>
      <c r="AJ54" s="228"/>
      <c r="AK54" s="228"/>
      <c r="AL54" s="228"/>
      <c r="AM54" s="297"/>
    </row>
    <row r="55" spans="1:40" ht="21.95" customHeight="1" x14ac:dyDescent="0.2">
      <c r="B55" s="213" t="s">
        <v>1342</v>
      </c>
      <c r="C55" s="218">
        <v>440</v>
      </c>
      <c r="D55" s="217" t="s">
        <v>248</v>
      </c>
      <c r="E55" s="300">
        <f>('1415TRU18_FL_P13'!H61+'1415TRU18_FL_P13'!H72+'1415TRU18_FL_P13'!H83)</f>
        <v>0</v>
      </c>
      <c r="F55" s="228"/>
      <c r="H55" s="220">
        <f t="shared" si="4"/>
        <v>0</v>
      </c>
      <c r="I55" s="324"/>
      <c r="T55" s="324"/>
      <c r="U55" s="324"/>
      <c r="V55" s="1231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97"/>
    </row>
    <row r="56" spans="1:40" ht="21.95" customHeight="1" x14ac:dyDescent="0.2">
      <c r="B56" s="213" t="s">
        <v>1343</v>
      </c>
      <c r="C56" s="218">
        <v>450</v>
      </c>
      <c r="D56" s="217" t="s">
        <v>248</v>
      </c>
      <c r="E56" s="228"/>
      <c r="F56" s="228"/>
      <c r="H56" s="220">
        <f t="shared" si="4"/>
        <v>0</v>
      </c>
      <c r="I56" s="324"/>
      <c r="T56" s="324"/>
      <c r="U56" s="324"/>
      <c r="V56" s="1231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97"/>
    </row>
    <row r="57" spans="1:40" ht="21.95" customHeight="1" x14ac:dyDescent="0.2">
      <c r="B57" s="213" t="s">
        <v>1344</v>
      </c>
      <c r="C57" s="218">
        <v>460</v>
      </c>
      <c r="D57" s="217" t="s">
        <v>248</v>
      </c>
      <c r="E57" s="228"/>
      <c r="F57" s="228"/>
      <c r="H57" s="220">
        <f t="shared" si="4"/>
        <v>0</v>
      </c>
      <c r="I57" s="324"/>
      <c r="T57" s="324"/>
      <c r="U57" s="324"/>
      <c r="V57" s="1231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97"/>
    </row>
    <row r="58" spans="1:40" ht="21.95" customHeight="1" x14ac:dyDescent="0.2">
      <c r="B58" s="226" t="s">
        <v>1345</v>
      </c>
      <c r="C58" s="218">
        <v>470</v>
      </c>
      <c r="D58" s="217" t="s">
        <v>248</v>
      </c>
      <c r="E58" s="224">
        <f>SUM(E45:E57)</f>
        <v>0</v>
      </c>
      <c r="F58" s="224">
        <f>SUM(F45:F57)</f>
        <v>0</v>
      </c>
      <c r="H58" s="224">
        <f>SUM(F45:F57)-V58</f>
        <v>0</v>
      </c>
      <c r="I58" s="324"/>
      <c r="T58" s="324"/>
      <c r="U58" s="324"/>
      <c r="V58" s="1221">
        <f>SUM(V45:V57)</f>
        <v>0</v>
      </c>
      <c r="AC58" s="224">
        <f t="shared" ref="AC58:AM58" si="5">SUM(AC45:AC57)</f>
        <v>0</v>
      </c>
      <c r="AD58" s="224">
        <f t="shared" si="5"/>
        <v>0</v>
      </c>
      <c r="AE58" s="224">
        <f t="shared" si="5"/>
        <v>0</v>
      </c>
      <c r="AF58" s="224">
        <f t="shared" si="5"/>
        <v>0</v>
      </c>
      <c r="AG58" s="224">
        <f t="shared" si="5"/>
        <v>0</v>
      </c>
      <c r="AH58" s="224">
        <f t="shared" si="5"/>
        <v>0</v>
      </c>
      <c r="AI58" s="224">
        <f t="shared" si="5"/>
        <v>0</v>
      </c>
      <c r="AJ58" s="224">
        <f t="shared" si="5"/>
        <v>0</v>
      </c>
      <c r="AK58" s="224">
        <f t="shared" si="5"/>
        <v>0</v>
      </c>
      <c r="AL58" s="224">
        <f t="shared" si="5"/>
        <v>0</v>
      </c>
      <c r="AM58" s="227">
        <f t="shared" si="5"/>
        <v>0</v>
      </c>
    </row>
    <row r="59" spans="1:40" ht="21.95" customHeight="1" thickBot="1" x14ac:dyDescent="0.25">
      <c r="B59" s="226" t="s">
        <v>1348</v>
      </c>
      <c r="C59" s="358">
        <v>480</v>
      </c>
      <c r="D59" s="545" t="s">
        <v>248</v>
      </c>
      <c r="E59" s="834">
        <f>SUM(E43+E58)</f>
        <v>0</v>
      </c>
      <c r="F59" s="834">
        <f>SUM(F43+F58)</f>
        <v>0</v>
      </c>
      <c r="H59" s="834">
        <f>SUM(H43+H58)</f>
        <v>0</v>
      </c>
      <c r="I59" s="360"/>
      <c r="T59" s="360"/>
      <c r="U59" s="360"/>
      <c r="V59" s="1232">
        <f>SUM(V43+V58)</f>
        <v>0</v>
      </c>
      <c r="AC59" s="834">
        <f t="shared" ref="AC59:AM59" si="6">SUM(AC43+AC58)</f>
        <v>0</v>
      </c>
      <c r="AD59" s="834">
        <f t="shared" si="6"/>
        <v>0</v>
      </c>
      <c r="AE59" s="834">
        <f t="shared" si="6"/>
        <v>0</v>
      </c>
      <c r="AF59" s="834">
        <f t="shared" si="6"/>
        <v>0</v>
      </c>
      <c r="AG59" s="834">
        <f t="shared" si="6"/>
        <v>0</v>
      </c>
      <c r="AH59" s="834">
        <f t="shared" si="6"/>
        <v>0</v>
      </c>
      <c r="AI59" s="834">
        <f t="shared" si="6"/>
        <v>0</v>
      </c>
      <c r="AJ59" s="834">
        <f t="shared" si="6"/>
        <v>0</v>
      </c>
      <c r="AK59" s="834">
        <f t="shared" si="6"/>
        <v>0</v>
      </c>
      <c r="AL59" s="834">
        <f t="shared" si="6"/>
        <v>0</v>
      </c>
      <c r="AM59" s="227">
        <f t="shared" si="6"/>
        <v>0</v>
      </c>
    </row>
    <row r="60" spans="1:40" ht="21.95" customHeight="1" x14ac:dyDescent="0.2">
      <c r="B60" s="314" t="s">
        <v>1349</v>
      </c>
      <c r="C60" s="763"/>
      <c r="D60" s="735"/>
      <c r="E60" s="317"/>
      <c r="F60" s="317"/>
      <c r="H60" s="317"/>
      <c r="I60" s="317"/>
      <c r="T60" s="317"/>
      <c r="U60" s="317"/>
      <c r="V60" s="318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8"/>
    </row>
    <row r="61" spans="1:40" ht="21.95" customHeight="1" thickBot="1" x14ac:dyDescent="0.25">
      <c r="B61" s="188" t="s">
        <v>1350</v>
      </c>
      <c r="C61" s="426">
        <v>490</v>
      </c>
      <c r="D61" s="425" t="s">
        <v>248</v>
      </c>
      <c r="E61" s="741"/>
      <c r="F61" s="878"/>
      <c r="H61" s="878"/>
      <c r="I61" s="419"/>
      <c r="T61" s="878"/>
      <c r="U61" s="878"/>
      <c r="V61" s="1233"/>
      <c r="AC61" s="878"/>
      <c r="AD61" s="878"/>
      <c r="AE61" s="878"/>
      <c r="AF61" s="878"/>
      <c r="AG61" s="878"/>
      <c r="AH61" s="878"/>
      <c r="AI61" s="878"/>
      <c r="AJ61" s="878"/>
      <c r="AK61" s="878"/>
      <c r="AL61" s="878"/>
      <c r="AM61" s="879"/>
    </row>
    <row r="62" spans="1:40" ht="65.25" thickTop="1" thickBot="1" x14ac:dyDescent="0.25">
      <c r="A62" s="99"/>
      <c r="B62" s="261" t="s">
        <v>1351</v>
      </c>
      <c r="C62" s="881"/>
      <c r="D62" s="881"/>
      <c r="E62" s="882"/>
      <c r="F62" s="882"/>
      <c r="H62" s="882"/>
      <c r="I62" s="293" t="s">
        <v>1352</v>
      </c>
      <c r="T62" s="99"/>
      <c r="U62" s="99"/>
      <c r="V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</row>
    <row r="63" spans="1:40" ht="21.95" customHeight="1" x14ac:dyDescent="0.2">
      <c r="A63" s="99"/>
      <c r="B63" s="761" t="s">
        <v>1353</v>
      </c>
      <c r="C63" s="207">
        <v>492</v>
      </c>
      <c r="D63" s="208" t="s">
        <v>251</v>
      </c>
      <c r="E63" s="849"/>
      <c r="F63" s="849"/>
      <c r="H63" s="849"/>
      <c r="I63" s="883"/>
      <c r="T63" s="99"/>
      <c r="U63" s="99"/>
      <c r="V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</row>
    <row r="64" spans="1:40" ht="21.95" customHeight="1" x14ac:dyDescent="0.2">
      <c r="A64" s="99"/>
      <c r="B64" s="231" t="s">
        <v>1354</v>
      </c>
      <c r="C64" s="234">
        <v>494</v>
      </c>
      <c r="D64" s="267" t="s">
        <v>251</v>
      </c>
      <c r="E64" s="671"/>
      <c r="F64" s="671"/>
      <c r="H64" s="671"/>
      <c r="I64" s="777"/>
      <c r="T64" s="99"/>
      <c r="U64" s="99"/>
      <c r="V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</row>
    <row r="65" spans="1:40" ht="21.95" customHeight="1" thickBot="1" x14ac:dyDescent="0.25">
      <c r="A65" s="99"/>
      <c r="B65" s="497" t="s">
        <v>1355</v>
      </c>
      <c r="C65" s="236">
        <v>496</v>
      </c>
      <c r="D65" s="238" t="s">
        <v>251</v>
      </c>
      <c r="E65" s="884"/>
      <c r="F65" s="884"/>
      <c r="H65" s="884"/>
      <c r="I65" s="503">
        <f>SUM(I63:I64)</f>
        <v>0</v>
      </c>
      <c r="T65" s="99"/>
      <c r="U65" s="99"/>
      <c r="V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</row>
    <row r="66" spans="1:40" ht="13.5" thickTop="1" x14ac:dyDescent="0.2"/>
    <row r="71" spans="1:40" ht="13.5" thickBot="1" x14ac:dyDescent="0.25"/>
    <row r="72" spans="1:40" ht="13.5" thickTop="1" x14ac:dyDescent="0.2">
      <c r="B72" s="242"/>
      <c r="C72" s="353"/>
      <c r="D72" s="353" t="s">
        <v>25</v>
      </c>
      <c r="E72" s="353" t="s">
        <v>235</v>
      </c>
      <c r="F72" s="293" t="s">
        <v>236</v>
      </c>
    </row>
    <row r="73" spans="1:40" ht="25.5" x14ac:dyDescent="0.2">
      <c r="B73" s="198" t="s">
        <v>139</v>
      </c>
      <c r="C73" s="201" t="s">
        <v>238</v>
      </c>
      <c r="D73" s="201"/>
      <c r="E73" s="201" t="s">
        <v>799</v>
      </c>
      <c r="F73" s="202" t="s">
        <v>1356</v>
      </c>
    </row>
    <row r="74" spans="1:40" ht="13.5" thickBot="1" x14ac:dyDescent="0.25">
      <c r="B74" s="198"/>
      <c r="C74" s="278" t="s">
        <v>242</v>
      </c>
      <c r="D74" s="278"/>
      <c r="E74" s="278" t="s">
        <v>243</v>
      </c>
      <c r="F74" s="202" t="s">
        <v>243</v>
      </c>
    </row>
    <row r="75" spans="1:40" ht="21.95" customHeight="1" x14ac:dyDescent="0.2">
      <c r="B75" s="189" t="s">
        <v>1357</v>
      </c>
      <c r="C75" s="207">
        <v>500</v>
      </c>
      <c r="D75" s="206" t="s">
        <v>248</v>
      </c>
      <c r="E75" s="356"/>
      <c r="F75" s="304"/>
    </row>
    <row r="76" spans="1:40" ht="21.95" customHeight="1" x14ac:dyDescent="0.2">
      <c r="B76" s="213" t="s">
        <v>1358</v>
      </c>
      <c r="C76" s="218">
        <v>510</v>
      </c>
      <c r="D76" s="217" t="s">
        <v>248</v>
      </c>
      <c r="E76" s="228"/>
      <c r="F76" s="298"/>
    </row>
    <row r="77" spans="1:40" ht="21.95" customHeight="1" x14ac:dyDescent="0.2">
      <c r="B77" s="213" t="s">
        <v>1359</v>
      </c>
      <c r="C77" s="218">
        <v>520</v>
      </c>
      <c r="D77" s="217" t="s">
        <v>248</v>
      </c>
      <c r="E77" s="228"/>
      <c r="F77" s="298"/>
    </row>
    <row r="78" spans="1:40" ht="21.95" customHeight="1" thickBot="1" x14ac:dyDescent="0.25">
      <c r="B78" s="226" t="s">
        <v>358</v>
      </c>
      <c r="C78" s="358">
        <v>530</v>
      </c>
      <c r="D78" s="357" t="s">
        <v>248</v>
      </c>
      <c r="E78" s="834">
        <f>SUM(E75:E77)</f>
        <v>0</v>
      </c>
      <c r="F78" s="227">
        <f>SUM(F75:F77)</f>
        <v>0</v>
      </c>
    </row>
    <row r="79" spans="1:40" x14ac:dyDescent="0.2">
      <c r="B79" s="189"/>
      <c r="C79" s="885"/>
      <c r="D79" s="885" t="s">
        <v>25</v>
      </c>
      <c r="E79" s="885" t="s">
        <v>235</v>
      </c>
      <c r="F79" s="886" t="s">
        <v>236</v>
      </c>
    </row>
    <row r="80" spans="1:40" ht="21.95" customHeight="1" x14ac:dyDescent="0.2">
      <c r="B80" s="198" t="s">
        <v>140</v>
      </c>
      <c r="C80" s="201" t="s">
        <v>238</v>
      </c>
      <c r="D80" s="201"/>
      <c r="E80" s="201" t="s">
        <v>239</v>
      </c>
      <c r="F80" s="202" t="s">
        <v>1356</v>
      </c>
    </row>
    <row r="81" spans="1:40" ht="13.5" thickBot="1" x14ac:dyDescent="0.25">
      <c r="B81" s="188"/>
      <c r="C81" s="278" t="s">
        <v>242</v>
      </c>
      <c r="D81" s="278"/>
      <c r="E81" s="278" t="s">
        <v>243</v>
      </c>
      <c r="F81" s="202" t="s">
        <v>243</v>
      </c>
    </row>
    <row r="82" spans="1:40" ht="30" customHeight="1" x14ac:dyDescent="0.2">
      <c r="B82" s="1098" t="s">
        <v>305</v>
      </c>
      <c r="C82" s="207">
        <v>540</v>
      </c>
      <c r="D82" s="206" t="s">
        <v>245</v>
      </c>
      <c r="E82" s="847"/>
      <c r="F82" s="887"/>
    </row>
    <row r="83" spans="1:40" hidden="1" x14ac:dyDescent="0.2">
      <c r="A83" s="99"/>
      <c r="B83" s="102" t="s">
        <v>1360</v>
      </c>
      <c r="C83" s="172">
        <v>550</v>
      </c>
      <c r="D83" s="157" t="s">
        <v>251</v>
      </c>
      <c r="E83" s="429"/>
      <c r="F83" s="99"/>
      <c r="H83" s="99"/>
      <c r="I83" s="99"/>
      <c r="T83" s="99"/>
      <c r="U83" s="99"/>
      <c r="V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</row>
    <row r="84" spans="1:40" hidden="1" x14ac:dyDescent="0.2">
      <c r="A84" s="99"/>
      <c r="B84" s="102" t="s">
        <v>303</v>
      </c>
      <c r="C84" s="172">
        <v>560</v>
      </c>
      <c r="D84" s="157" t="s">
        <v>245</v>
      </c>
      <c r="E84" s="102"/>
      <c r="F84" s="99"/>
      <c r="H84" s="99"/>
      <c r="I84" s="99"/>
      <c r="T84" s="99"/>
      <c r="U84" s="99"/>
      <c r="V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</row>
    <row r="85" spans="1:40" hidden="1" x14ac:dyDescent="0.2">
      <c r="A85" s="99"/>
      <c r="B85" s="102" t="s">
        <v>387</v>
      </c>
      <c r="C85" s="172">
        <v>570</v>
      </c>
      <c r="D85" s="157" t="s">
        <v>251</v>
      </c>
      <c r="E85" s="102"/>
      <c r="F85" s="99"/>
      <c r="H85" s="99"/>
      <c r="I85" s="99"/>
      <c r="T85" s="99"/>
      <c r="U85" s="99"/>
      <c r="V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</row>
    <row r="86" spans="1:40" hidden="1" x14ac:dyDescent="0.2">
      <c r="A86" s="99"/>
      <c r="B86" s="102" t="s">
        <v>388</v>
      </c>
      <c r="C86" s="172">
        <v>580</v>
      </c>
      <c r="D86" s="157" t="s">
        <v>245</v>
      </c>
      <c r="E86" s="102"/>
      <c r="F86" s="99"/>
      <c r="H86" s="99"/>
      <c r="I86" s="99"/>
      <c r="T86" s="99"/>
      <c r="U86" s="99"/>
      <c r="V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</row>
    <row r="87" spans="1:40" ht="21.95" customHeight="1" x14ac:dyDescent="0.2">
      <c r="B87" s="406" t="s">
        <v>389</v>
      </c>
      <c r="C87" s="251">
        <v>590</v>
      </c>
      <c r="D87" s="250" t="s">
        <v>251</v>
      </c>
      <c r="E87" s="784"/>
      <c r="F87" s="888"/>
    </row>
    <row r="88" spans="1:40" hidden="1" x14ac:dyDescent="0.2">
      <c r="A88" s="99"/>
      <c r="B88" s="102" t="s">
        <v>390</v>
      </c>
      <c r="C88" s="172">
        <v>600</v>
      </c>
      <c r="D88" s="157" t="s">
        <v>251</v>
      </c>
      <c r="E88" s="429"/>
      <c r="F88" s="99"/>
      <c r="H88" s="99"/>
      <c r="I88" s="99"/>
      <c r="T88" s="99"/>
      <c r="U88" s="99"/>
      <c r="V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</row>
    <row r="89" spans="1:40" ht="30" customHeight="1" x14ac:dyDescent="0.2">
      <c r="B89" s="1111" t="s">
        <v>1328</v>
      </c>
      <c r="C89" s="251">
        <v>610</v>
      </c>
      <c r="D89" s="250" t="s">
        <v>245</v>
      </c>
      <c r="E89" s="1092"/>
      <c r="F89" s="802"/>
    </row>
    <row r="90" spans="1:40" hidden="1" x14ac:dyDescent="0.2">
      <c r="A90" s="99"/>
      <c r="B90" s="99" t="s">
        <v>401</v>
      </c>
      <c r="C90" s="172">
        <v>614</v>
      </c>
      <c r="D90" s="157" t="s">
        <v>251</v>
      </c>
      <c r="E90" s="100"/>
      <c r="F90" s="99"/>
      <c r="H90" s="99"/>
      <c r="I90" s="99"/>
      <c r="T90" s="99"/>
      <c r="U90" s="99"/>
      <c r="V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</row>
    <row r="91" spans="1:40" hidden="1" x14ac:dyDescent="0.2">
      <c r="A91" s="99"/>
      <c r="B91" s="99" t="s">
        <v>402</v>
      </c>
      <c r="C91" s="172">
        <v>617</v>
      </c>
      <c r="D91" s="157" t="s">
        <v>251</v>
      </c>
      <c r="E91" s="100"/>
      <c r="F91" s="99"/>
      <c r="H91" s="99"/>
      <c r="I91" s="99"/>
      <c r="T91" s="99"/>
      <c r="U91" s="99"/>
      <c r="V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</row>
    <row r="92" spans="1:40" ht="21.95" customHeight="1" x14ac:dyDescent="0.2">
      <c r="B92" s="188" t="s">
        <v>1361</v>
      </c>
      <c r="C92" s="251">
        <v>620</v>
      </c>
      <c r="D92" s="250" t="s">
        <v>248</v>
      </c>
      <c r="E92" s="691"/>
      <c r="F92" s="307"/>
    </row>
    <row r="93" spans="1:40" ht="21.95" customHeight="1" x14ac:dyDescent="0.2">
      <c r="B93" s="213" t="s">
        <v>1362</v>
      </c>
      <c r="C93" s="218">
        <v>630</v>
      </c>
      <c r="D93" s="217" t="s">
        <v>248</v>
      </c>
      <c r="E93" s="561"/>
      <c r="F93" s="298"/>
    </row>
    <row r="94" spans="1:40" ht="21.95" customHeight="1" x14ac:dyDescent="0.2">
      <c r="B94" s="213" t="s">
        <v>1363</v>
      </c>
      <c r="C94" s="218">
        <v>640</v>
      </c>
      <c r="D94" s="217" t="s">
        <v>251</v>
      </c>
      <c r="E94" s="561"/>
      <c r="F94" s="298"/>
    </row>
    <row r="95" spans="1:40" ht="21.95" customHeight="1" x14ac:dyDescent="0.2">
      <c r="A95" s="186"/>
      <c r="B95" s="213" t="s">
        <v>508</v>
      </c>
      <c r="C95" s="218">
        <v>650</v>
      </c>
      <c r="D95" s="217" t="s">
        <v>248</v>
      </c>
      <c r="E95" s="561"/>
      <c r="F95" s="298"/>
    </row>
    <row r="96" spans="1:40" ht="27" customHeight="1" x14ac:dyDescent="0.2">
      <c r="B96" s="245" t="s">
        <v>1074</v>
      </c>
      <c r="C96" s="234">
        <v>655</v>
      </c>
      <c r="D96" s="237" t="s">
        <v>251</v>
      </c>
      <c r="E96" s="809"/>
      <c r="F96" s="298"/>
    </row>
    <row r="97" spans="2:41" ht="21.95" customHeight="1" thickBot="1" x14ac:dyDescent="0.25">
      <c r="B97" s="233" t="s">
        <v>419</v>
      </c>
      <c r="C97" s="236">
        <v>660</v>
      </c>
      <c r="D97" s="235" t="s">
        <v>245</v>
      </c>
      <c r="E97" s="240">
        <f>SUM(E89:E96)</f>
        <v>0</v>
      </c>
      <c r="F97" s="241">
        <f>SUM(F89:F96)</f>
        <v>0</v>
      </c>
    </row>
    <row r="98" spans="2:41" ht="14.25" thickTop="1" thickBot="1" x14ac:dyDescent="0.25"/>
    <row r="99" spans="2:41" ht="21.95" customHeight="1" thickTop="1" thickBot="1" x14ac:dyDescent="0.25">
      <c r="B99" s="242" t="s">
        <v>1364</v>
      </c>
      <c r="C99" s="605"/>
      <c r="D99" s="605"/>
      <c r="E99" s="636" t="s">
        <v>243</v>
      </c>
      <c r="F99" s="293" t="s">
        <v>243</v>
      </c>
    </row>
    <row r="100" spans="2:41" ht="27" customHeight="1" x14ac:dyDescent="0.2">
      <c r="B100" s="243" t="s">
        <v>1365</v>
      </c>
      <c r="C100" s="207">
        <v>700</v>
      </c>
      <c r="D100" s="206" t="s">
        <v>248</v>
      </c>
      <c r="E100" s="309">
        <f>'1415TRU05_REV_P13'!E22</f>
        <v>0</v>
      </c>
      <c r="F100" s="304"/>
    </row>
    <row r="101" spans="2:41" ht="27" customHeight="1" x14ac:dyDescent="0.2">
      <c r="B101" s="245" t="s">
        <v>1366</v>
      </c>
      <c r="C101" s="218">
        <v>710</v>
      </c>
      <c r="D101" s="217" t="s">
        <v>248</v>
      </c>
      <c r="E101" s="561"/>
      <c r="F101" s="29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2:41" ht="27" customHeight="1" x14ac:dyDescent="0.2">
      <c r="B102" s="245" t="s">
        <v>1367</v>
      </c>
      <c r="C102" s="218">
        <v>720</v>
      </c>
      <c r="D102" s="217" t="s">
        <v>248</v>
      </c>
      <c r="E102" s="561"/>
      <c r="F102" s="29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2:41" ht="27" customHeight="1" x14ac:dyDescent="0.2">
      <c r="B103" s="245" t="s">
        <v>1368</v>
      </c>
      <c r="C103" s="218">
        <v>730</v>
      </c>
      <c r="D103" s="217" t="s">
        <v>248</v>
      </c>
      <c r="E103" s="561"/>
      <c r="F103" s="29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</row>
    <row r="104" spans="2:41" ht="27" customHeight="1" x14ac:dyDescent="0.2">
      <c r="B104" s="245" t="s">
        <v>1369</v>
      </c>
      <c r="C104" s="234">
        <v>740</v>
      </c>
      <c r="D104" s="237" t="s">
        <v>248</v>
      </c>
      <c r="E104" s="809"/>
      <c r="F104" s="29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2:41" ht="27" customHeight="1" thickBot="1" x14ac:dyDescent="0.25">
      <c r="B105" s="732" t="s">
        <v>1370</v>
      </c>
      <c r="C105" s="236">
        <v>750</v>
      </c>
      <c r="D105" s="235" t="s">
        <v>248</v>
      </c>
      <c r="E105" s="889"/>
      <c r="F105" s="685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</row>
    <row r="106" spans="2:41" ht="13.5" thickTop="1" x14ac:dyDescent="0.2"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</row>
    <row r="107" spans="2:41" ht="13.5" thickBot="1" x14ac:dyDescent="0.25"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</row>
    <row r="108" spans="2:41" ht="14.25" thickTop="1" thickBot="1" x14ac:dyDescent="0.25">
      <c r="E108" s="376" t="s">
        <v>1320</v>
      </c>
      <c r="F108" s="634"/>
      <c r="G108" s="108"/>
      <c r="H108" s="634"/>
      <c r="I108" s="639"/>
      <c r="J108" s="108"/>
      <c r="K108" s="108"/>
      <c r="L108" s="108"/>
      <c r="M108" s="108"/>
      <c r="N108" s="108"/>
      <c r="O108" s="108"/>
      <c r="P108" s="108"/>
      <c r="Q108" s="108"/>
      <c r="R108" s="97" t="s">
        <v>1321</v>
      </c>
      <c r="S108" s="108"/>
      <c r="T108" s="634"/>
      <c r="U108" s="634"/>
      <c r="V108" s="639"/>
      <c r="W108" s="108"/>
      <c r="X108" s="108"/>
      <c r="Y108" s="108"/>
      <c r="Z108" s="108"/>
      <c r="AC108" s="876" t="s">
        <v>1322</v>
      </c>
      <c r="AD108" s="634"/>
      <c r="AE108" s="634"/>
      <c r="AF108" s="634"/>
      <c r="AG108" s="634"/>
      <c r="AH108" s="634"/>
      <c r="AI108" s="634"/>
      <c r="AJ108" s="634"/>
      <c r="AK108" s="634"/>
      <c r="AL108" s="634"/>
      <c r="AM108" s="639"/>
      <c r="AN108" s="108"/>
      <c r="AO108" s="108"/>
    </row>
    <row r="109" spans="2:41" ht="13.5" thickTop="1" x14ac:dyDescent="0.2">
      <c r="B109" s="242"/>
      <c r="C109" s="195"/>
      <c r="D109" s="195" t="s">
        <v>25</v>
      </c>
      <c r="E109" s="353" t="s">
        <v>235</v>
      </c>
      <c r="F109" s="353" t="s">
        <v>236</v>
      </c>
      <c r="G109" s="97" t="s">
        <v>293</v>
      </c>
      <c r="H109" s="353" t="s">
        <v>294</v>
      </c>
      <c r="I109" s="353" t="s">
        <v>298</v>
      </c>
      <c r="J109" s="108"/>
      <c r="K109" s="108"/>
      <c r="L109" s="108"/>
      <c r="M109" s="108"/>
      <c r="N109" s="108"/>
      <c r="O109" s="108"/>
      <c r="P109" s="108"/>
      <c r="Q109" s="108"/>
      <c r="R109" s="97" t="s">
        <v>576</v>
      </c>
      <c r="S109" s="97" t="s">
        <v>577</v>
      </c>
      <c r="T109" s="353" t="s">
        <v>578</v>
      </c>
      <c r="U109" s="353" t="s">
        <v>579</v>
      </c>
      <c r="V109" s="293" t="s">
        <v>580</v>
      </c>
      <c r="W109" s="108"/>
      <c r="X109" s="108"/>
      <c r="Y109" s="108"/>
      <c r="Z109" s="108"/>
      <c r="AC109" s="353" t="s">
        <v>825</v>
      </c>
      <c r="AD109" s="353" t="s">
        <v>826</v>
      </c>
      <c r="AE109" s="353" t="s">
        <v>827</v>
      </c>
      <c r="AF109" s="353" t="s">
        <v>828</v>
      </c>
      <c r="AG109" s="353" t="s">
        <v>829</v>
      </c>
      <c r="AH109" s="353" t="s">
        <v>830</v>
      </c>
      <c r="AI109" s="353" t="s">
        <v>831</v>
      </c>
      <c r="AJ109" s="353" t="s">
        <v>1323</v>
      </c>
      <c r="AK109" s="353" t="s">
        <v>1324</v>
      </c>
      <c r="AL109" s="353" t="s">
        <v>1325</v>
      </c>
      <c r="AM109" s="293" t="s">
        <v>1326</v>
      </c>
      <c r="AN109" s="108"/>
      <c r="AO109" s="108"/>
    </row>
    <row r="110" spans="2:41" ht="51" x14ac:dyDescent="0.2">
      <c r="B110" s="198" t="s">
        <v>142</v>
      </c>
      <c r="C110" s="199" t="s">
        <v>238</v>
      </c>
      <c r="D110" s="199"/>
      <c r="E110" s="201" t="s">
        <v>799</v>
      </c>
      <c r="F110" s="201" t="s">
        <v>1328</v>
      </c>
      <c r="G110" s="97" t="s">
        <v>1329</v>
      </c>
      <c r="H110" s="201" t="s">
        <v>302</v>
      </c>
      <c r="I110" s="201"/>
      <c r="J110" s="108"/>
      <c r="K110" s="108"/>
      <c r="L110" s="108"/>
      <c r="M110" s="108"/>
      <c r="N110" s="108"/>
      <c r="O110" s="108"/>
      <c r="P110" s="108"/>
      <c r="Q110" s="108"/>
      <c r="R110" s="97" t="s">
        <v>1330</v>
      </c>
      <c r="S110" s="97" t="s">
        <v>387</v>
      </c>
      <c r="T110" s="201" t="s">
        <v>303</v>
      </c>
      <c r="U110" s="201" t="s">
        <v>304</v>
      </c>
      <c r="V110" s="202" t="s">
        <v>305</v>
      </c>
      <c r="W110" s="108"/>
      <c r="X110" s="108"/>
      <c r="Y110" s="108"/>
      <c r="Z110" s="108"/>
      <c r="AC110" s="201" t="s">
        <v>1005</v>
      </c>
      <c r="AD110" s="201" t="s">
        <v>1006</v>
      </c>
      <c r="AE110" s="201" t="s">
        <v>1007</v>
      </c>
      <c r="AF110" s="201" t="s">
        <v>590</v>
      </c>
      <c r="AG110" s="201" t="s">
        <v>1008</v>
      </c>
      <c r="AH110" s="201" t="s">
        <v>1265</v>
      </c>
      <c r="AI110" s="201" t="s">
        <v>1266</v>
      </c>
      <c r="AJ110" s="201" t="s">
        <v>1267</v>
      </c>
      <c r="AK110" s="201" t="s">
        <v>599</v>
      </c>
      <c r="AL110" s="201" t="s">
        <v>1268</v>
      </c>
      <c r="AM110" s="202" t="s">
        <v>1269</v>
      </c>
      <c r="AN110" s="108"/>
      <c r="AO110" s="108"/>
    </row>
    <row r="111" spans="2:41" ht="13.5" thickBot="1" x14ac:dyDescent="0.25">
      <c r="B111" s="198"/>
      <c r="C111" s="204" t="s">
        <v>242</v>
      </c>
      <c r="D111" s="204"/>
      <c r="E111" s="278" t="s">
        <v>243</v>
      </c>
      <c r="F111" s="278" t="s">
        <v>243</v>
      </c>
      <c r="G111" s="97" t="s">
        <v>243</v>
      </c>
      <c r="H111" s="278" t="s">
        <v>243</v>
      </c>
      <c r="I111" s="278" t="s">
        <v>243</v>
      </c>
      <c r="J111" s="108"/>
      <c r="K111" s="108"/>
      <c r="L111" s="108"/>
      <c r="M111" s="108"/>
      <c r="N111" s="108"/>
      <c r="O111" s="108"/>
      <c r="P111" s="108"/>
      <c r="Q111" s="108"/>
      <c r="R111" s="97" t="s">
        <v>243</v>
      </c>
      <c r="S111" s="97" t="s">
        <v>243</v>
      </c>
      <c r="T111" s="278" t="s">
        <v>243</v>
      </c>
      <c r="U111" s="278" t="s">
        <v>243</v>
      </c>
      <c r="V111" s="294" t="s">
        <v>243</v>
      </c>
      <c r="W111" s="108"/>
      <c r="X111" s="108"/>
      <c r="Y111" s="108"/>
      <c r="Z111" s="108"/>
      <c r="AC111" s="278" t="s">
        <v>243</v>
      </c>
      <c r="AD111" s="278" t="s">
        <v>243</v>
      </c>
      <c r="AE111" s="278" t="s">
        <v>243</v>
      </c>
      <c r="AF111" s="278" t="s">
        <v>243</v>
      </c>
      <c r="AG111" s="278" t="s">
        <v>243</v>
      </c>
      <c r="AH111" s="278" t="s">
        <v>243</v>
      </c>
      <c r="AI111" s="278" t="s">
        <v>243</v>
      </c>
      <c r="AJ111" s="278" t="s">
        <v>243</v>
      </c>
      <c r="AK111" s="278" t="s">
        <v>243</v>
      </c>
      <c r="AL111" s="278" t="s">
        <v>243</v>
      </c>
      <c r="AM111" s="202" t="s">
        <v>243</v>
      </c>
    </row>
    <row r="112" spans="2:41" ht="21.95" customHeight="1" x14ac:dyDescent="0.2">
      <c r="B112" s="189" t="s">
        <v>1371</v>
      </c>
      <c r="C112" s="207">
        <v>800</v>
      </c>
      <c r="D112" s="206" t="s">
        <v>248</v>
      </c>
      <c r="E112" s="356"/>
      <c r="F112" s="356"/>
      <c r="H112" s="362"/>
      <c r="I112" s="362"/>
      <c r="T112" s="362"/>
      <c r="U112" s="362"/>
      <c r="V112" s="1227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295"/>
    </row>
    <row r="113" spans="1:40" ht="21.95" customHeight="1" x14ac:dyDescent="0.2">
      <c r="B113" s="213" t="s">
        <v>1372</v>
      </c>
      <c r="C113" s="218">
        <v>810</v>
      </c>
      <c r="D113" s="217" t="s">
        <v>248</v>
      </c>
      <c r="E113" s="228"/>
      <c r="F113" s="228"/>
      <c r="H113" s="324"/>
      <c r="I113" s="324"/>
      <c r="T113" s="258"/>
      <c r="U113" s="258"/>
      <c r="V113" s="259"/>
      <c r="AC113" s="396"/>
      <c r="AD113" s="396"/>
      <c r="AE113" s="396"/>
      <c r="AF113" s="396"/>
      <c r="AG113" s="396"/>
      <c r="AH113" s="396"/>
      <c r="AI113" s="396"/>
      <c r="AJ113" s="396"/>
      <c r="AK113" s="396"/>
      <c r="AL113" s="396"/>
      <c r="AM113" s="297"/>
    </row>
    <row r="114" spans="1:40" ht="21.95" customHeight="1" thickBot="1" x14ac:dyDescent="0.25">
      <c r="B114" s="226" t="s">
        <v>340</v>
      </c>
      <c r="C114" s="358">
        <v>820</v>
      </c>
      <c r="D114" s="357" t="s">
        <v>248</v>
      </c>
      <c r="E114" s="834">
        <f>SUM(E112:E113)</f>
        <v>0</v>
      </c>
      <c r="F114" s="834">
        <f>SUM(F112:F113)</f>
        <v>0</v>
      </c>
      <c r="H114" s="834">
        <f>SUM(F112:F113)-V114</f>
        <v>0</v>
      </c>
      <c r="I114" s="258"/>
      <c r="T114" s="340"/>
      <c r="U114" s="340"/>
      <c r="V114" s="301"/>
      <c r="AC114" s="240">
        <f t="shared" ref="AC114:AM114" si="7">SUM(AC112:AC113)</f>
        <v>0</v>
      </c>
      <c r="AD114" s="240">
        <f t="shared" si="7"/>
        <v>0</v>
      </c>
      <c r="AE114" s="240">
        <f t="shared" si="7"/>
        <v>0</v>
      </c>
      <c r="AF114" s="240">
        <f t="shared" si="7"/>
        <v>0</v>
      </c>
      <c r="AG114" s="240">
        <f t="shared" si="7"/>
        <v>0</v>
      </c>
      <c r="AH114" s="240">
        <f t="shared" si="7"/>
        <v>0</v>
      </c>
      <c r="AI114" s="240">
        <f t="shared" si="7"/>
        <v>0</v>
      </c>
      <c r="AJ114" s="240">
        <f t="shared" si="7"/>
        <v>0</v>
      </c>
      <c r="AK114" s="240">
        <f t="shared" si="7"/>
        <v>0</v>
      </c>
      <c r="AL114" s="240">
        <f t="shared" si="7"/>
        <v>0</v>
      </c>
      <c r="AM114" s="241">
        <f t="shared" si="7"/>
        <v>0</v>
      </c>
    </row>
    <row r="115" spans="1:40" ht="64.5" thickBot="1" x14ac:dyDescent="0.25">
      <c r="B115" s="475" t="s">
        <v>1351</v>
      </c>
      <c r="C115" s="891"/>
      <c r="D115" s="891"/>
      <c r="E115" s="892"/>
      <c r="F115" s="894"/>
      <c r="G115" s="108"/>
      <c r="H115" s="894"/>
      <c r="I115" s="886" t="s">
        <v>1352</v>
      </c>
    </row>
    <row r="116" spans="1:40" ht="21.95" customHeight="1" thickBot="1" x14ac:dyDescent="0.25">
      <c r="B116" s="890" t="s">
        <v>142</v>
      </c>
      <c r="C116" s="814">
        <v>830</v>
      </c>
      <c r="D116" s="813" t="s">
        <v>251</v>
      </c>
      <c r="E116" s="893"/>
      <c r="F116" s="893"/>
      <c r="H116" s="893"/>
      <c r="I116" s="895"/>
    </row>
    <row r="117" spans="1:40" ht="13.5" thickTop="1" x14ac:dyDescent="0.2"/>
    <row r="119" spans="1:40" ht="13.5" thickBot="1" x14ac:dyDescent="0.25"/>
    <row r="120" spans="1:40" ht="13.5" thickTop="1" x14ac:dyDescent="0.2">
      <c r="B120" s="242"/>
      <c r="C120" s="195"/>
      <c r="D120" s="195" t="s">
        <v>25</v>
      </c>
      <c r="E120" s="353" t="s">
        <v>235</v>
      </c>
      <c r="F120" s="353" t="s">
        <v>236</v>
      </c>
      <c r="G120" s="97" t="s">
        <v>293</v>
      </c>
      <c r="H120" s="353" t="s">
        <v>294</v>
      </c>
      <c r="I120" s="353" t="s">
        <v>298</v>
      </c>
      <c r="J120" s="108"/>
      <c r="K120" s="108"/>
      <c r="L120" s="108"/>
      <c r="M120" s="108"/>
      <c r="N120" s="108"/>
      <c r="O120" s="108"/>
      <c r="P120" s="108"/>
      <c r="Q120" s="108"/>
      <c r="R120" s="97" t="s">
        <v>576</v>
      </c>
      <c r="S120" s="97" t="s">
        <v>577</v>
      </c>
      <c r="T120" s="353" t="s">
        <v>578</v>
      </c>
      <c r="U120" s="353" t="s">
        <v>579</v>
      </c>
      <c r="V120" s="293" t="s">
        <v>580</v>
      </c>
      <c r="AC120" s="353" t="s">
        <v>825</v>
      </c>
      <c r="AD120" s="353" t="s">
        <v>826</v>
      </c>
      <c r="AE120" s="353" t="s">
        <v>827</v>
      </c>
      <c r="AF120" s="353" t="s">
        <v>828</v>
      </c>
      <c r="AG120" s="353" t="s">
        <v>829</v>
      </c>
      <c r="AH120" s="353" t="s">
        <v>830</v>
      </c>
      <c r="AI120" s="353" t="s">
        <v>831</v>
      </c>
      <c r="AJ120" s="353" t="s">
        <v>1323</v>
      </c>
      <c r="AK120" s="353" t="s">
        <v>1324</v>
      </c>
      <c r="AL120" s="353" t="s">
        <v>1325</v>
      </c>
      <c r="AM120" s="293" t="s">
        <v>1326</v>
      </c>
    </row>
    <row r="121" spans="1:40" ht="51" x14ac:dyDescent="0.2">
      <c r="B121" s="198" t="s">
        <v>143</v>
      </c>
      <c r="C121" s="199" t="s">
        <v>238</v>
      </c>
      <c r="D121" s="199"/>
      <c r="E121" s="201" t="s">
        <v>799</v>
      </c>
      <c r="F121" s="201" t="s">
        <v>1328</v>
      </c>
      <c r="G121" s="97" t="s">
        <v>1329</v>
      </c>
      <c r="H121" s="201" t="s">
        <v>302</v>
      </c>
      <c r="I121" s="201"/>
      <c r="J121" s="108"/>
      <c r="K121" s="108"/>
      <c r="L121" s="108"/>
      <c r="M121" s="108"/>
      <c r="N121" s="108"/>
      <c r="O121" s="108"/>
      <c r="P121" s="108"/>
      <c r="Q121" s="108"/>
      <c r="R121" s="97" t="s">
        <v>1330</v>
      </c>
      <c r="S121" s="97" t="s">
        <v>387</v>
      </c>
      <c r="T121" s="201" t="s">
        <v>303</v>
      </c>
      <c r="U121" s="201" t="s">
        <v>304</v>
      </c>
      <c r="V121" s="202" t="s">
        <v>305</v>
      </c>
      <c r="AC121" s="201" t="s">
        <v>1005</v>
      </c>
      <c r="AD121" s="201" t="s">
        <v>1006</v>
      </c>
      <c r="AE121" s="201" t="s">
        <v>1007</v>
      </c>
      <c r="AF121" s="201" t="s">
        <v>590</v>
      </c>
      <c r="AG121" s="201" t="s">
        <v>1008</v>
      </c>
      <c r="AH121" s="201" t="s">
        <v>1265</v>
      </c>
      <c r="AI121" s="201" t="s">
        <v>1266</v>
      </c>
      <c r="AJ121" s="201" t="s">
        <v>1267</v>
      </c>
      <c r="AK121" s="201" t="s">
        <v>599</v>
      </c>
      <c r="AL121" s="201" t="s">
        <v>1268</v>
      </c>
      <c r="AM121" s="202" t="s">
        <v>1269</v>
      </c>
    </row>
    <row r="122" spans="1:40" ht="13.5" thickBot="1" x14ac:dyDescent="0.25">
      <c r="B122" s="203"/>
      <c r="C122" s="204" t="s">
        <v>242</v>
      </c>
      <c r="D122" s="204"/>
      <c r="E122" s="278" t="s">
        <v>243</v>
      </c>
      <c r="F122" s="278" t="s">
        <v>243</v>
      </c>
      <c r="G122" s="97" t="s">
        <v>243</v>
      </c>
      <c r="H122" s="278" t="s">
        <v>243</v>
      </c>
      <c r="I122" s="278" t="s">
        <v>243</v>
      </c>
      <c r="J122" s="108"/>
      <c r="K122" s="108"/>
      <c r="L122" s="108"/>
      <c r="M122" s="108"/>
      <c r="N122" s="108"/>
      <c r="O122" s="108"/>
      <c r="P122" s="108"/>
      <c r="Q122" s="108"/>
      <c r="R122" s="97" t="s">
        <v>243</v>
      </c>
      <c r="S122" s="97" t="s">
        <v>243</v>
      </c>
      <c r="T122" s="278" t="s">
        <v>243</v>
      </c>
      <c r="U122" s="278" t="s">
        <v>243</v>
      </c>
      <c r="V122" s="294" t="s">
        <v>243</v>
      </c>
      <c r="AC122" s="278" t="s">
        <v>243</v>
      </c>
      <c r="AD122" s="278" t="s">
        <v>243</v>
      </c>
      <c r="AE122" s="278" t="s">
        <v>243</v>
      </c>
      <c r="AF122" s="278" t="s">
        <v>243</v>
      </c>
      <c r="AG122" s="278" t="s">
        <v>243</v>
      </c>
      <c r="AH122" s="278" t="s">
        <v>243</v>
      </c>
      <c r="AI122" s="278" t="s">
        <v>243</v>
      </c>
      <c r="AJ122" s="278" t="s">
        <v>243</v>
      </c>
      <c r="AK122" s="278" t="s">
        <v>243</v>
      </c>
      <c r="AL122" s="278" t="s">
        <v>243</v>
      </c>
      <c r="AM122" s="294" t="s">
        <v>243</v>
      </c>
    </row>
    <row r="123" spans="1:40" hidden="1" x14ac:dyDescent="0.2">
      <c r="A123" s="105"/>
      <c r="B123" s="99" t="s">
        <v>1373</v>
      </c>
      <c r="C123" s="172">
        <v>850</v>
      </c>
      <c r="D123" s="157" t="s">
        <v>248</v>
      </c>
      <c r="E123" s="99"/>
      <c r="F123" s="99"/>
      <c r="H123" s="99"/>
      <c r="I123" s="99"/>
      <c r="T123" s="99"/>
      <c r="U123" s="99"/>
      <c r="V123" s="1224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</row>
    <row r="124" spans="1:40" hidden="1" x14ac:dyDescent="0.2">
      <c r="A124" s="105"/>
      <c r="B124" s="102" t="s">
        <v>487</v>
      </c>
      <c r="C124" s="172">
        <v>854</v>
      </c>
      <c r="D124" s="157" t="s">
        <v>251</v>
      </c>
      <c r="E124" s="99"/>
      <c r="F124" s="99"/>
      <c r="H124" s="99"/>
      <c r="I124" s="99"/>
      <c r="T124" s="99"/>
      <c r="U124" s="99"/>
      <c r="V124" s="1224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</row>
    <row r="125" spans="1:40" hidden="1" x14ac:dyDescent="0.2">
      <c r="A125" s="105"/>
      <c r="B125" s="102" t="s">
        <v>1374</v>
      </c>
      <c r="C125" s="172">
        <v>855</v>
      </c>
      <c r="D125" s="157" t="s">
        <v>251</v>
      </c>
      <c r="E125" s="99"/>
      <c r="F125" s="99"/>
      <c r="H125" s="99"/>
      <c r="I125" s="99"/>
      <c r="T125" s="99"/>
      <c r="U125" s="99"/>
      <c r="V125" s="1224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</row>
    <row r="126" spans="1:40" hidden="1" x14ac:dyDescent="0.2">
      <c r="A126" s="99"/>
      <c r="B126" s="102" t="s">
        <v>1375</v>
      </c>
      <c r="C126" s="172">
        <v>856</v>
      </c>
      <c r="D126" s="157" t="s">
        <v>251</v>
      </c>
      <c r="E126" s="99"/>
      <c r="F126" s="99"/>
      <c r="H126" s="99"/>
      <c r="I126" s="99"/>
      <c r="T126" s="99"/>
      <c r="U126" s="99"/>
      <c r="V126" s="1224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</row>
    <row r="127" spans="1:40" ht="21.95" customHeight="1" x14ac:dyDescent="0.2">
      <c r="A127" s="186"/>
      <c r="B127" s="198" t="s">
        <v>1376</v>
      </c>
      <c r="C127" s="251">
        <v>857</v>
      </c>
      <c r="D127" s="250" t="s">
        <v>248</v>
      </c>
      <c r="E127" s="716"/>
      <c r="F127" s="253">
        <f>F137</f>
        <v>0</v>
      </c>
      <c r="H127" s="321"/>
      <c r="I127" s="896"/>
      <c r="T127" s="321"/>
      <c r="U127" s="321"/>
      <c r="V127" s="1225"/>
      <c r="AC127" s="896"/>
      <c r="AD127" s="896"/>
      <c r="AE127" s="896"/>
      <c r="AF127" s="896"/>
      <c r="AG127" s="896"/>
      <c r="AH127" s="896"/>
      <c r="AI127" s="896"/>
      <c r="AJ127" s="896"/>
      <c r="AK127" s="896"/>
      <c r="AL127" s="896"/>
      <c r="AM127" s="898"/>
    </row>
    <row r="128" spans="1:40" ht="21.95" customHeight="1" x14ac:dyDescent="0.2">
      <c r="A128" s="186"/>
      <c r="B128" s="213" t="s">
        <v>1377</v>
      </c>
      <c r="C128" s="218">
        <v>860</v>
      </c>
      <c r="D128" s="217" t="s">
        <v>251</v>
      </c>
      <c r="E128" s="220">
        <f>E137-F137</f>
        <v>0</v>
      </c>
      <c r="F128" s="324"/>
      <c r="H128" s="324"/>
      <c r="I128" s="897"/>
      <c r="T128" s="324"/>
      <c r="U128" s="324"/>
      <c r="V128" s="335"/>
      <c r="AC128" s="897"/>
      <c r="AD128" s="897"/>
      <c r="AE128" s="897"/>
      <c r="AF128" s="897"/>
      <c r="AG128" s="897"/>
      <c r="AH128" s="897"/>
      <c r="AI128" s="897"/>
      <c r="AJ128" s="897"/>
      <c r="AK128" s="897"/>
      <c r="AL128" s="897"/>
      <c r="AM128" s="899"/>
    </row>
    <row r="129" spans="1:39" ht="21.95" customHeight="1" x14ac:dyDescent="0.2">
      <c r="A129" s="186"/>
      <c r="B129" s="226" t="s">
        <v>1378</v>
      </c>
      <c r="C129" s="218">
        <v>870</v>
      </c>
      <c r="D129" s="217" t="s">
        <v>248</v>
      </c>
      <c r="E129" s="224">
        <f>E137</f>
        <v>0</v>
      </c>
      <c r="F129" s="324"/>
      <c r="H129" s="324"/>
      <c r="I129" s="897"/>
      <c r="T129" s="324"/>
      <c r="U129" s="324"/>
      <c r="V129" s="1226"/>
      <c r="AC129" s="897"/>
      <c r="AD129" s="897"/>
      <c r="AE129" s="897"/>
      <c r="AF129" s="897"/>
      <c r="AG129" s="897"/>
      <c r="AH129" s="897"/>
      <c r="AI129" s="897"/>
      <c r="AJ129" s="897"/>
      <c r="AK129" s="897"/>
      <c r="AL129" s="897"/>
      <c r="AM129" s="899"/>
    </row>
    <row r="130" spans="1:39" ht="21.95" customHeight="1" x14ac:dyDescent="0.2">
      <c r="B130" s="226" t="s">
        <v>1379</v>
      </c>
      <c r="C130" s="900"/>
      <c r="D130" s="579"/>
      <c r="E130" s="330"/>
      <c r="F130" s="330"/>
      <c r="H130" s="330"/>
      <c r="I130" s="330"/>
      <c r="T130" s="330"/>
      <c r="U130" s="330"/>
      <c r="V130" s="259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259"/>
    </row>
    <row r="131" spans="1:39" ht="21.95" customHeight="1" x14ac:dyDescent="0.2">
      <c r="B131" s="188" t="s">
        <v>1380</v>
      </c>
      <c r="C131" s="251">
        <v>880</v>
      </c>
      <c r="D131" s="250" t="s">
        <v>248</v>
      </c>
      <c r="E131" s="422"/>
      <c r="F131" s="422"/>
      <c r="H131" s="253">
        <f>F131-V131</f>
        <v>0</v>
      </c>
      <c r="I131" s="622"/>
      <c r="T131" s="622"/>
      <c r="U131" s="622"/>
      <c r="V131" s="802"/>
      <c r="AC131" s="622"/>
      <c r="AD131" s="622"/>
      <c r="AE131" s="622"/>
      <c r="AF131" s="622"/>
      <c r="AG131" s="622"/>
      <c r="AH131" s="622"/>
      <c r="AI131" s="622"/>
      <c r="AJ131" s="622"/>
      <c r="AK131" s="622"/>
      <c r="AL131" s="622"/>
      <c r="AM131" s="623"/>
    </row>
    <row r="132" spans="1:39" ht="21.95" customHeight="1" x14ac:dyDescent="0.2">
      <c r="B132" s="213" t="s">
        <v>1381</v>
      </c>
      <c r="C132" s="218">
        <v>890</v>
      </c>
      <c r="D132" s="217" t="s">
        <v>248</v>
      </c>
      <c r="E132" s="228"/>
      <c r="F132" s="228"/>
      <c r="H132" s="324"/>
      <c r="I132" s="897"/>
      <c r="T132" s="324"/>
      <c r="U132" s="324"/>
      <c r="V132" s="335"/>
      <c r="AC132" s="897"/>
      <c r="AD132" s="897"/>
      <c r="AE132" s="897"/>
      <c r="AF132" s="897"/>
      <c r="AG132" s="897"/>
      <c r="AH132" s="897"/>
      <c r="AI132" s="897"/>
      <c r="AJ132" s="897"/>
      <c r="AK132" s="897"/>
      <c r="AL132" s="897"/>
      <c r="AM132" s="899"/>
    </row>
    <row r="133" spans="1:39" ht="21.95" customHeight="1" x14ac:dyDescent="0.2">
      <c r="B133" s="213" t="s">
        <v>1382</v>
      </c>
      <c r="C133" s="218">
        <v>900</v>
      </c>
      <c r="D133" s="217" t="s">
        <v>248</v>
      </c>
      <c r="E133" s="228"/>
      <c r="F133" s="228"/>
      <c r="H133" s="324"/>
      <c r="I133" s="897"/>
      <c r="T133" s="324"/>
      <c r="U133" s="324"/>
      <c r="V133" s="335"/>
      <c r="AC133" s="897"/>
      <c r="AD133" s="897"/>
      <c r="AE133" s="897"/>
      <c r="AF133" s="897"/>
      <c r="AG133" s="897"/>
      <c r="AH133" s="897"/>
      <c r="AI133" s="897"/>
      <c r="AJ133" s="897"/>
      <c r="AK133" s="897"/>
      <c r="AL133" s="897"/>
      <c r="AM133" s="899"/>
    </row>
    <row r="134" spans="1:39" ht="30" customHeight="1" x14ac:dyDescent="0.2">
      <c r="B134" s="336" t="s">
        <v>1383</v>
      </c>
      <c r="C134" s="218">
        <v>905</v>
      </c>
      <c r="D134" s="217" t="s">
        <v>248</v>
      </c>
      <c r="E134" s="224">
        <f>SUM(E132:E133)</f>
        <v>0</v>
      </c>
      <c r="F134" s="224">
        <f>SUM(F132:F133)</f>
        <v>0</v>
      </c>
      <c r="H134" s="224">
        <f>SUM(F132:F133)-V134</f>
        <v>0</v>
      </c>
      <c r="I134" s="334"/>
      <c r="T134" s="334"/>
      <c r="U134" s="334"/>
      <c r="V134" s="1011"/>
      <c r="AC134" s="334"/>
      <c r="AD134" s="334"/>
      <c r="AE134" s="334"/>
      <c r="AF134" s="334"/>
      <c r="AG134" s="334"/>
      <c r="AH134" s="334"/>
      <c r="AI134" s="334"/>
      <c r="AJ134" s="334"/>
      <c r="AK134" s="334"/>
      <c r="AL134" s="334"/>
      <c r="AM134" s="259"/>
    </row>
    <row r="135" spans="1:39" ht="21.95" customHeight="1" x14ac:dyDescent="0.2">
      <c r="B135" s="213" t="s">
        <v>1384</v>
      </c>
      <c r="C135" s="218">
        <v>907</v>
      </c>
      <c r="D135" s="217" t="s">
        <v>248</v>
      </c>
      <c r="E135" s="338">
        <f>SUM(AC135:AM135)</f>
        <v>0</v>
      </c>
      <c r="F135" s="228"/>
      <c r="H135" s="220">
        <f>F135-V135</f>
        <v>0</v>
      </c>
      <c r="I135" s="897"/>
      <c r="T135" s="897"/>
      <c r="U135" s="897"/>
      <c r="V135" s="335"/>
      <c r="AC135" s="897"/>
      <c r="AD135" s="897"/>
      <c r="AE135" s="897"/>
      <c r="AF135" s="897"/>
      <c r="AG135" s="228"/>
      <c r="AH135" s="897"/>
      <c r="AI135" s="897"/>
      <c r="AJ135" s="897"/>
      <c r="AK135" s="897"/>
      <c r="AL135" s="897"/>
      <c r="AM135" s="899"/>
    </row>
    <row r="136" spans="1:39" ht="21.95" customHeight="1" x14ac:dyDescent="0.2">
      <c r="B136" s="213" t="s">
        <v>1385</v>
      </c>
      <c r="C136" s="218">
        <v>910</v>
      </c>
      <c r="D136" s="217" t="s">
        <v>248</v>
      </c>
      <c r="E136" s="228"/>
      <c r="F136" s="228"/>
      <c r="H136" s="220">
        <f>F136-V136</f>
        <v>0</v>
      </c>
      <c r="I136" s="897"/>
      <c r="T136" s="324"/>
      <c r="U136" s="324"/>
      <c r="V136" s="305"/>
      <c r="AC136" s="897"/>
      <c r="AD136" s="897"/>
      <c r="AE136" s="897"/>
      <c r="AF136" s="897"/>
      <c r="AG136" s="897"/>
      <c r="AH136" s="897"/>
      <c r="AI136" s="897"/>
      <c r="AJ136" s="897"/>
      <c r="AK136" s="897"/>
      <c r="AL136" s="897"/>
      <c r="AM136" s="899"/>
    </row>
    <row r="137" spans="1:39" ht="30" customHeight="1" x14ac:dyDescent="0.2">
      <c r="B137" s="336" t="s">
        <v>1386</v>
      </c>
      <c r="C137" s="218">
        <v>920</v>
      </c>
      <c r="D137" s="217" t="s">
        <v>248</v>
      </c>
      <c r="E137" s="224">
        <f>SUM(E134:E136)+E131</f>
        <v>0</v>
      </c>
      <c r="F137" s="224">
        <f>SUM(F134:F136)+F131</f>
        <v>0</v>
      </c>
      <c r="H137" s="224">
        <f>SUM(H134:H136)+H131</f>
        <v>0</v>
      </c>
      <c r="I137" s="897"/>
      <c r="T137" s="324"/>
      <c r="U137" s="324"/>
      <c r="V137" s="1011"/>
      <c r="AC137" s="897"/>
      <c r="AD137" s="897"/>
      <c r="AE137" s="897"/>
      <c r="AF137" s="897"/>
      <c r="AG137" s="897"/>
      <c r="AH137" s="897"/>
      <c r="AI137" s="897"/>
      <c r="AJ137" s="897"/>
      <c r="AK137" s="897"/>
      <c r="AL137" s="897"/>
      <c r="AM137" s="899"/>
    </row>
    <row r="138" spans="1:39" ht="21.95" customHeight="1" x14ac:dyDescent="0.2">
      <c r="B138" s="213" t="s">
        <v>1387</v>
      </c>
      <c r="C138" s="218">
        <v>930</v>
      </c>
      <c r="D138" s="217" t="s">
        <v>245</v>
      </c>
      <c r="E138" s="228"/>
      <c r="F138" s="228"/>
      <c r="H138" s="324"/>
      <c r="I138" s="897"/>
      <c r="T138" s="324"/>
      <c r="U138" s="324"/>
      <c r="V138" s="335"/>
      <c r="AC138" s="897"/>
      <c r="AD138" s="897"/>
      <c r="AE138" s="897"/>
      <c r="AF138" s="897"/>
      <c r="AG138" s="897"/>
      <c r="AH138" s="897"/>
      <c r="AI138" s="897"/>
      <c r="AJ138" s="897"/>
      <c r="AK138" s="897"/>
      <c r="AL138" s="897"/>
      <c r="AM138" s="899"/>
    </row>
    <row r="139" spans="1:39" ht="21.95" customHeight="1" x14ac:dyDescent="0.2">
      <c r="B139" s="213" t="s">
        <v>1388</v>
      </c>
      <c r="C139" s="218">
        <v>940</v>
      </c>
      <c r="D139" s="217" t="s">
        <v>245</v>
      </c>
      <c r="E139" s="228"/>
      <c r="F139" s="396"/>
      <c r="H139" s="258"/>
      <c r="I139" s="901"/>
      <c r="T139" s="258"/>
      <c r="U139" s="258"/>
      <c r="V139" s="335"/>
      <c r="AC139" s="901"/>
      <c r="AD139" s="901"/>
      <c r="AE139" s="901"/>
      <c r="AF139" s="901"/>
      <c r="AG139" s="901"/>
      <c r="AH139" s="901"/>
      <c r="AI139" s="901"/>
      <c r="AJ139" s="901"/>
      <c r="AK139" s="901"/>
      <c r="AL139" s="901"/>
      <c r="AM139" s="899"/>
    </row>
    <row r="140" spans="1:39" ht="30" customHeight="1" thickBot="1" x14ac:dyDescent="0.25">
      <c r="B140" s="336" t="s">
        <v>1389</v>
      </c>
      <c r="C140" s="289">
        <v>950</v>
      </c>
      <c r="D140" s="288" t="s">
        <v>251</v>
      </c>
      <c r="E140" s="239">
        <f>SUM(E137:E139)</f>
        <v>0</v>
      </c>
      <c r="F140" s="240">
        <f>SUM(F137:F139)</f>
        <v>0</v>
      </c>
      <c r="H140" s="399"/>
      <c r="I140" s="370"/>
      <c r="T140" s="340"/>
      <c r="U140" s="340"/>
      <c r="V140" s="961"/>
      <c r="AC140" s="370"/>
      <c r="AD140" s="370"/>
      <c r="AE140" s="370"/>
      <c r="AF140" s="370"/>
      <c r="AG140" s="370"/>
      <c r="AH140" s="370"/>
      <c r="AI140" s="370"/>
      <c r="AJ140" s="370"/>
      <c r="AK140" s="370"/>
      <c r="AL140" s="370"/>
      <c r="AM140" s="902"/>
    </row>
    <row r="141" spans="1:39" ht="27" customHeight="1" thickTop="1" x14ac:dyDescent="0.2">
      <c r="B141" s="1113" t="s">
        <v>1390</v>
      </c>
      <c r="C141" s="903">
        <v>952</v>
      </c>
      <c r="D141" s="904" t="s">
        <v>251</v>
      </c>
      <c r="E141" s="905"/>
      <c r="V141" s="940"/>
    </row>
    <row r="142" spans="1:39" ht="27" customHeight="1" thickBot="1" x14ac:dyDescent="0.25">
      <c r="B142" s="915" t="s">
        <v>1391</v>
      </c>
      <c r="C142" s="218">
        <v>955</v>
      </c>
      <c r="D142" s="219" t="s">
        <v>251</v>
      </c>
      <c r="E142" s="296"/>
      <c r="V142" s="941"/>
    </row>
    <row r="143" spans="1:39" ht="65.25" thickTop="1" thickBot="1" x14ac:dyDescent="0.25">
      <c r="B143" s="486" t="s">
        <v>1351</v>
      </c>
      <c r="C143" s="771"/>
      <c r="D143" s="771"/>
      <c r="E143" s="911"/>
      <c r="F143" s="912"/>
      <c r="G143" s="108"/>
      <c r="H143" s="912"/>
      <c r="I143" s="913" t="s">
        <v>1352</v>
      </c>
    </row>
    <row r="144" spans="1:39" ht="21.95" customHeight="1" thickBot="1" x14ac:dyDescent="0.25">
      <c r="B144" s="908" t="s">
        <v>1392</v>
      </c>
      <c r="C144" s="909">
        <v>970</v>
      </c>
      <c r="D144" s="910" t="s">
        <v>251</v>
      </c>
      <c r="E144" s="844"/>
      <c r="F144" s="844"/>
      <c r="H144" s="844"/>
      <c r="I144" s="914"/>
    </row>
    <row r="145" ht="13.5" hidden="1" thickTop="1" x14ac:dyDescent="0.2"/>
    <row r="146" ht="13.5" hidden="1" thickTop="1" x14ac:dyDescent="0.2"/>
    <row r="147" ht="13.5" hidden="1" thickTop="1" x14ac:dyDescent="0.2"/>
    <row r="148" ht="13.5" hidden="1" thickTop="1" x14ac:dyDescent="0.2"/>
    <row r="149" ht="13.5" hidden="1" thickTop="1" x14ac:dyDescent="0.2"/>
    <row r="150" ht="13.5" hidden="1" thickTop="1" x14ac:dyDescent="0.2"/>
    <row r="151" ht="13.5" hidden="1" thickTop="1" x14ac:dyDescent="0.2"/>
    <row r="152" ht="13.5" hidden="1" thickTop="1" x14ac:dyDescent="0.2"/>
    <row r="153" ht="13.5" hidden="1" thickTop="1" x14ac:dyDescent="0.2"/>
    <row r="154" ht="13.5" hidden="1" thickTop="1" x14ac:dyDescent="0.2"/>
    <row r="155" ht="13.5" hidden="1" thickTop="1" x14ac:dyDescent="0.2"/>
    <row r="156" ht="13.5" hidden="1" thickTop="1" x14ac:dyDescent="0.2"/>
    <row r="157" ht="13.5" hidden="1" thickTop="1" x14ac:dyDescent="0.2"/>
    <row r="158" ht="13.5" hidden="1" thickTop="1" x14ac:dyDescent="0.2"/>
    <row r="159" ht="13.5" hidden="1" thickTop="1" x14ac:dyDescent="0.2"/>
    <row r="160" ht="13.5" hidden="1" thickTop="1" x14ac:dyDescent="0.2"/>
    <row r="161" spans="1:40" ht="13.5" hidden="1" thickTop="1" x14ac:dyDescent="0.2"/>
    <row r="162" spans="1:40" ht="13.5" hidden="1" thickTop="1" x14ac:dyDescent="0.2"/>
    <row r="163" spans="1:40" ht="13.5" hidden="1" thickTop="1" x14ac:dyDescent="0.2"/>
    <row r="164" spans="1:40" ht="13.5" hidden="1" thickTop="1" x14ac:dyDescent="0.2"/>
    <row r="165" spans="1:40" ht="13.5" hidden="1" thickTop="1" x14ac:dyDescent="0.2"/>
    <row r="166" spans="1:40" ht="13.5" thickTop="1" x14ac:dyDescent="0.2"/>
    <row r="167" spans="1:40" hidden="1" x14ac:dyDescent="0.2">
      <c r="A167" s="99"/>
      <c r="B167" s="102"/>
      <c r="C167" s="102"/>
      <c r="D167" s="102" t="s">
        <v>25</v>
      </c>
      <c r="E167" s="102" t="s">
        <v>235</v>
      </c>
      <c r="F167" s="102" t="s">
        <v>236</v>
      </c>
      <c r="G167" s="97" t="s">
        <v>293</v>
      </c>
      <c r="H167" s="102" t="s">
        <v>294</v>
      </c>
      <c r="I167" s="100"/>
      <c r="J167" s="108"/>
      <c r="K167" s="108"/>
      <c r="L167" s="108"/>
      <c r="M167" s="108"/>
      <c r="N167" s="108"/>
      <c r="O167" s="108"/>
      <c r="P167" s="108"/>
      <c r="Q167" s="108"/>
      <c r="R167" s="97" t="s">
        <v>576</v>
      </c>
      <c r="S167" s="97" t="s">
        <v>577</v>
      </c>
      <c r="T167" s="102" t="s">
        <v>578</v>
      </c>
      <c r="U167" s="102" t="s">
        <v>579</v>
      </c>
      <c r="V167" s="102" t="s">
        <v>580</v>
      </c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</row>
    <row r="168" spans="1:40" hidden="1" x14ac:dyDescent="0.2">
      <c r="A168" s="99"/>
      <c r="B168" s="102" t="s">
        <v>1393</v>
      </c>
      <c r="C168" s="172" t="s">
        <v>238</v>
      </c>
      <c r="D168" s="172"/>
      <c r="E168" s="102" t="s">
        <v>799</v>
      </c>
      <c r="F168" s="102" t="s">
        <v>1328</v>
      </c>
      <c r="G168" s="97" t="s">
        <v>1329</v>
      </c>
      <c r="H168" s="102" t="s">
        <v>302</v>
      </c>
      <c r="I168" s="100"/>
      <c r="J168" s="108"/>
      <c r="K168" s="108"/>
      <c r="L168" s="108"/>
      <c r="M168" s="108"/>
      <c r="N168" s="108"/>
      <c r="O168" s="108"/>
      <c r="P168" s="108"/>
      <c r="Q168" s="108"/>
      <c r="R168" s="97" t="s">
        <v>1330</v>
      </c>
      <c r="S168" s="97" t="s">
        <v>387</v>
      </c>
      <c r="T168" s="102" t="s">
        <v>303</v>
      </c>
      <c r="U168" s="102" t="s">
        <v>304</v>
      </c>
      <c r="V168" s="102" t="s">
        <v>1033</v>
      </c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</row>
    <row r="169" spans="1:40" hidden="1" x14ac:dyDescent="0.2">
      <c r="A169" s="99"/>
      <c r="B169" s="102"/>
      <c r="C169" s="172" t="s">
        <v>242</v>
      </c>
      <c r="D169" s="172"/>
      <c r="E169" s="102" t="s">
        <v>243</v>
      </c>
      <c r="F169" s="102" t="s">
        <v>243</v>
      </c>
      <c r="G169" s="97" t="s">
        <v>243</v>
      </c>
      <c r="H169" s="102" t="s">
        <v>243</v>
      </c>
      <c r="I169" s="100"/>
      <c r="J169" s="108"/>
      <c r="K169" s="108"/>
      <c r="L169" s="108"/>
      <c r="M169" s="108"/>
      <c r="N169" s="108"/>
      <c r="O169" s="108"/>
      <c r="P169" s="108"/>
      <c r="Q169" s="108"/>
      <c r="R169" s="97" t="s">
        <v>243</v>
      </c>
      <c r="S169" s="97" t="s">
        <v>243</v>
      </c>
      <c r="T169" s="102" t="s">
        <v>243</v>
      </c>
      <c r="U169" s="102" t="s">
        <v>243</v>
      </c>
      <c r="V169" s="102" t="s">
        <v>243</v>
      </c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</row>
    <row r="170" spans="1:40" hidden="1" x14ac:dyDescent="0.2">
      <c r="A170" s="99"/>
      <c r="B170" s="100" t="s">
        <v>1394</v>
      </c>
      <c r="C170" s="172">
        <v>1160</v>
      </c>
      <c r="D170" s="157" t="s">
        <v>248</v>
      </c>
      <c r="E170" s="99"/>
      <c r="F170" s="99"/>
      <c r="H170" s="99"/>
      <c r="I170" s="99"/>
      <c r="T170" s="99"/>
      <c r="U170" s="99"/>
      <c r="V170" s="105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</row>
    <row r="171" spans="1:40" hidden="1" x14ac:dyDescent="0.2">
      <c r="A171" s="99"/>
      <c r="B171" s="99"/>
      <c r="C171" s="99"/>
      <c r="D171" s="99"/>
      <c r="E171" s="99"/>
      <c r="F171" s="99"/>
      <c r="H171" s="99"/>
      <c r="I171" s="99"/>
      <c r="T171" s="99"/>
      <c r="U171" s="99"/>
      <c r="V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</row>
    <row r="172" spans="1:40" hidden="1" x14ac:dyDescent="0.2">
      <c r="A172" s="99"/>
      <c r="B172" s="99"/>
      <c r="C172" s="99"/>
      <c r="D172" s="99"/>
      <c r="E172" s="99"/>
      <c r="F172" s="99"/>
      <c r="H172" s="99"/>
      <c r="I172" s="99"/>
      <c r="T172" s="99"/>
      <c r="U172" s="99"/>
      <c r="V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</row>
    <row r="174" spans="1:40" ht="13.5" thickBot="1" x14ac:dyDescent="0.25"/>
    <row r="175" spans="1:40" ht="13.5" thickTop="1" x14ac:dyDescent="0.2">
      <c r="B175" s="261"/>
      <c r="C175" s="195"/>
      <c r="D175" s="195" t="s">
        <v>25</v>
      </c>
      <c r="E175" s="353" t="s">
        <v>235</v>
      </c>
      <c r="F175" s="293" t="s">
        <v>236</v>
      </c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1:40" ht="25.5" x14ac:dyDescent="0.2">
      <c r="B176" s="264" t="s">
        <v>144</v>
      </c>
      <c r="C176" s="199" t="s">
        <v>238</v>
      </c>
      <c r="D176" s="199"/>
      <c r="E176" s="201" t="s">
        <v>799</v>
      </c>
      <c r="F176" s="202" t="s">
        <v>3819</v>
      </c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1:40" ht="13.5" thickBot="1" x14ac:dyDescent="0.25">
      <c r="B177" s="264"/>
      <c r="C177" s="204" t="s">
        <v>242</v>
      </c>
      <c r="D177" s="204"/>
      <c r="E177" s="278" t="s">
        <v>243</v>
      </c>
      <c r="F177" s="294" t="s">
        <v>243</v>
      </c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1:40" ht="30" customHeight="1" x14ac:dyDescent="0.2">
      <c r="B178" s="1098" t="s">
        <v>305</v>
      </c>
      <c r="C178" s="207">
        <v>1240</v>
      </c>
      <c r="D178" s="208" t="s">
        <v>248</v>
      </c>
      <c r="E178" s="309"/>
      <c r="F178" s="802"/>
    </row>
    <row r="179" spans="1:40" hidden="1" x14ac:dyDescent="0.2">
      <c r="A179" s="99"/>
      <c r="B179" s="102" t="s">
        <v>1360</v>
      </c>
      <c r="C179" s="102">
        <v>1250</v>
      </c>
      <c r="D179" s="100" t="s">
        <v>251</v>
      </c>
      <c r="E179" s="102"/>
      <c r="F179" s="99"/>
      <c r="H179" s="99"/>
      <c r="I179" s="99"/>
      <c r="T179" s="99"/>
      <c r="U179" s="99"/>
      <c r="V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</row>
    <row r="180" spans="1:40" hidden="1" x14ac:dyDescent="0.2">
      <c r="A180" s="99"/>
      <c r="B180" s="102" t="s">
        <v>303</v>
      </c>
      <c r="C180" s="102">
        <v>1260</v>
      </c>
      <c r="D180" s="100" t="s">
        <v>248</v>
      </c>
      <c r="E180" s="102"/>
      <c r="F180" s="99"/>
      <c r="H180" s="99"/>
      <c r="I180" s="99"/>
      <c r="T180" s="99"/>
      <c r="U180" s="99"/>
      <c r="V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</row>
    <row r="181" spans="1:40" hidden="1" x14ac:dyDescent="0.2">
      <c r="A181" s="99"/>
      <c r="B181" s="102" t="s">
        <v>387</v>
      </c>
      <c r="C181" s="102">
        <v>1270</v>
      </c>
      <c r="D181" s="100" t="s">
        <v>251</v>
      </c>
      <c r="E181" s="102"/>
      <c r="F181" s="99"/>
      <c r="H181" s="99"/>
      <c r="I181" s="99"/>
      <c r="T181" s="99"/>
      <c r="U181" s="99"/>
      <c r="V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</row>
    <row r="182" spans="1:40" ht="21.95" customHeight="1" x14ac:dyDescent="0.2">
      <c r="A182" s="99"/>
      <c r="B182" s="264" t="s">
        <v>389</v>
      </c>
      <c r="C182" s="251">
        <v>1280</v>
      </c>
      <c r="D182" s="252" t="s">
        <v>248</v>
      </c>
      <c r="E182" s="496">
        <f>E183-E178</f>
        <v>0</v>
      </c>
      <c r="F182" s="859"/>
      <c r="H182" s="99"/>
      <c r="I182" s="99"/>
      <c r="T182" s="99"/>
      <c r="U182" s="99"/>
      <c r="V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</row>
    <row r="183" spans="1:40" ht="30" customHeight="1" x14ac:dyDescent="0.2">
      <c r="B183" s="1099" t="s">
        <v>391</v>
      </c>
      <c r="C183" s="218">
        <v>1290</v>
      </c>
      <c r="D183" s="219" t="s">
        <v>251</v>
      </c>
      <c r="E183" s="933"/>
      <c r="F183" s="305"/>
    </row>
    <row r="184" spans="1:40" hidden="1" x14ac:dyDescent="0.2">
      <c r="A184" s="99"/>
      <c r="B184" s="100" t="s">
        <v>401</v>
      </c>
      <c r="C184" s="102">
        <v>1300</v>
      </c>
      <c r="D184" s="100" t="s">
        <v>251</v>
      </c>
      <c r="E184" s="429"/>
      <c r="F184" s="99"/>
      <c r="H184" s="99"/>
      <c r="I184" s="99"/>
      <c r="T184" s="99"/>
      <c r="U184" s="99"/>
      <c r="V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</row>
    <row r="185" spans="1:40" hidden="1" x14ac:dyDescent="0.2">
      <c r="A185" s="99"/>
      <c r="B185" s="100" t="s">
        <v>402</v>
      </c>
      <c r="C185" s="102">
        <v>1310</v>
      </c>
      <c r="D185" s="100" t="s">
        <v>248</v>
      </c>
      <c r="E185" s="102"/>
      <c r="F185" s="99"/>
      <c r="H185" s="99"/>
      <c r="I185" s="99"/>
      <c r="T185" s="99"/>
      <c r="U185" s="99"/>
      <c r="V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</row>
    <row r="186" spans="1:40" ht="21.95" customHeight="1" x14ac:dyDescent="0.2">
      <c r="B186" s="785" t="s">
        <v>292</v>
      </c>
      <c r="C186" s="251">
        <v>1320</v>
      </c>
      <c r="D186" s="250" t="s">
        <v>248</v>
      </c>
      <c r="E186" s="422"/>
      <c r="F186" s="307"/>
    </row>
    <row r="187" spans="1:40" ht="21.95" customHeight="1" x14ac:dyDescent="0.2">
      <c r="B187" s="213" t="s">
        <v>1068</v>
      </c>
      <c r="C187" s="218">
        <v>1330</v>
      </c>
      <c r="D187" s="217" t="s">
        <v>248</v>
      </c>
      <c r="E187" s="228"/>
      <c r="F187" s="298"/>
    </row>
    <row r="188" spans="1:40" ht="21.95" customHeight="1" x14ac:dyDescent="0.2">
      <c r="B188" s="213" t="s">
        <v>1395</v>
      </c>
      <c r="C188" s="218">
        <v>1340</v>
      </c>
      <c r="D188" s="217" t="s">
        <v>251</v>
      </c>
      <c r="E188" s="228"/>
      <c r="F188" s="298"/>
    </row>
    <row r="189" spans="1:40" ht="21.95" customHeight="1" x14ac:dyDescent="0.2">
      <c r="B189" s="213" t="s">
        <v>1396</v>
      </c>
      <c r="C189" s="218">
        <v>1350</v>
      </c>
      <c r="D189" s="217" t="s">
        <v>251</v>
      </c>
      <c r="E189" s="228"/>
      <c r="F189" s="298"/>
    </row>
    <row r="190" spans="1:40" ht="21.95" customHeight="1" x14ac:dyDescent="0.2">
      <c r="B190" s="213" t="s">
        <v>1397</v>
      </c>
      <c r="C190" s="218">
        <v>1355</v>
      </c>
      <c r="D190" s="217" t="s">
        <v>251</v>
      </c>
      <c r="E190" s="228"/>
      <c r="F190" s="298"/>
    </row>
    <row r="191" spans="1:40" ht="21.95" customHeight="1" x14ac:dyDescent="0.2">
      <c r="B191" s="213" t="s">
        <v>1398</v>
      </c>
      <c r="C191" s="218">
        <v>1360</v>
      </c>
      <c r="D191" s="217" t="s">
        <v>245</v>
      </c>
      <c r="E191" s="228"/>
      <c r="F191" s="298"/>
    </row>
    <row r="192" spans="1:40" ht="21.95" customHeight="1" x14ac:dyDescent="0.2">
      <c r="B192" s="213" t="s">
        <v>1237</v>
      </c>
      <c r="C192" s="218">
        <v>1370</v>
      </c>
      <c r="D192" s="217" t="s">
        <v>245</v>
      </c>
      <c r="E192" s="228"/>
      <c r="F192" s="298"/>
    </row>
    <row r="193" spans="1:40" ht="27" customHeight="1" x14ac:dyDescent="0.2">
      <c r="B193" s="915" t="s">
        <v>1074</v>
      </c>
      <c r="C193" s="234">
        <v>1380</v>
      </c>
      <c r="D193" s="237" t="s">
        <v>251</v>
      </c>
      <c r="E193" s="396"/>
      <c r="F193" s="299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1:40" ht="30" customHeight="1" thickBot="1" x14ac:dyDescent="0.25">
      <c r="B194" s="1096" t="s">
        <v>1399</v>
      </c>
      <c r="C194" s="499">
        <v>1390</v>
      </c>
      <c r="D194" s="500" t="s">
        <v>248</v>
      </c>
      <c r="E194" s="240">
        <f>SUM(E183:E193)</f>
        <v>0</v>
      </c>
      <c r="F194" s="241">
        <f>SUM(F183:F193)</f>
        <v>0</v>
      </c>
    </row>
    <row r="195" spans="1:40" ht="13.5" thickTop="1" x14ac:dyDescent="0.2"/>
    <row r="197" spans="1:40" ht="13.5" thickBot="1" x14ac:dyDescent="0.25"/>
    <row r="198" spans="1:40" ht="14.25" thickTop="1" thickBot="1" x14ac:dyDescent="0.25">
      <c r="B198" s="100"/>
      <c r="C198" s="100"/>
      <c r="D198" s="100"/>
      <c r="E198" s="100"/>
      <c r="F198" s="376" t="s">
        <v>1400</v>
      </c>
      <c r="G198" s="916"/>
      <c r="H198" s="378"/>
      <c r="I198" s="639"/>
      <c r="J198" s="108"/>
      <c r="K198" s="108"/>
      <c r="L198" s="108"/>
      <c r="M198" s="108"/>
      <c r="N198" s="108"/>
      <c r="O198" s="108"/>
      <c r="P198" s="108"/>
      <c r="Q198" s="108"/>
      <c r="R198" s="97" t="s">
        <v>1401</v>
      </c>
      <c r="S198" s="108"/>
      <c r="T198" s="634"/>
      <c r="U198" s="634"/>
      <c r="V198" s="639"/>
      <c r="W198" s="108"/>
      <c r="X198" s="108"/>
      <c r="Y198" s="108"/>
      <c r="Z198" s="108"/>
      <c r="AC198" s="876" t="s">
        <v>1322</v>
      </c>
      <c r="AD198" s="634"/>
      <c r="AE198" s="634"/>
      <c r="AF198" s="634"/>
      <c r="AG198" s="634"/>
      <c r="AH198" s="634"/>
      <c r="AI198" s="634"/>
      <c r="AJ198" s="634"/>
      <c r="AK198" s="634"/>
      <c r="AL198" s="634"/>
      <c r="AM198" s="639"/>
    </row>
    <row r="199" spans="1:40" ht="13.5" thickTop="1" x14ac:dyDescent="0.2">
      <c r="B199" s="261"/>
      <c r="C199" s="262"/>
      <c r="D199" s="353" t="s">
        <v>25</v>
      </c>
      <c r="E199" s="353" t="s">
        <v>235</v>
      </c>
      <c r="F199" s="353" t="s">
        <v>236</v>
      </c>
      <c r="G199" s="97" t="s">
        <v>293</v>
      </c>
      <c r="H199" s="353" t="s">
        <v>294</v>
      </c>
      <c r="I199" s="353" t="s">
        <v>298</v>
      </c>
      <c r="J199" s="108"/>
      <c r="K199" s="108"/>
      <c r="L199" s="108"/>
      <c r="M199" s="108"/>
      <c r="N199" s="108"/>
      <c r="O199" s="108"/>
      <c r="P199" s="108"/>
      <c r="Q199" s="108"/>
      <c r="R199" s="97" t="s">
        <v>576</v>
      </c>
      <c r="S199" s="97" t="s">
        <v>577</v>
      </c>
      <c r="T199" s="353" t="s">
        <v>578</v>
      </c>
      <c r="U199" s="353" t="s">
        <v>579</v>
      </c>
      <c r="V199" s="293" t="s">
        <v>580</v>
      </c>
      <c r="W199" s="108"/>
      <c r="X199" s="108"/>
      <c r="Y199" s="108"/>
      <c r="Z199" s="108"/>
      <c r="AC199" s="353" t="s">
        <v>825</v>
      </c>
      <c r="AD199" s="353" t="s">
        <v>826</v>
      </c>
      <c r="AE199" s="353" t="s">
        <v>827</v>
      </c>
      <c r="AF199" s="353" t="s">
        <v>828</v>
      </c>
      <c r="AG199" s="353" t="s">
        <v>829</v>
      </c>
      <c r="AH199" s="353" t="s">
        <v>830</v>
      </c>
      <c r="AI199" s="353" t="s">
        <v>831</v>
      </c>
      <c r="AJ199" s="353" t="s">
        <v>1323</v>
      </c>
      <c r="AK199" s="353" t="s">
        <v>1324</v>
      </c>
      <c r="AL199" s="353" t="s">
        <v>1325</v>
      </c>
      <c r="AM199" s="293" t="s">
        <v>1326</v>
      </c>
    </row>
    <row r="200" spans="1:40" ht="51" x14ac:dyDescent="0.2">
      <c r="B200" s="264" t="s">
        <v>145</v>
      </c>
      <c r="C200" s="201" t="s">
        <v>238</v>
      </c>
      <c r="D200" s="201"/>
      <c r="E200" s="201" t="s">
        <v>799</v>
      </c>
      <c r="F200" s="201" t="s">
        <v>1328</v>
      </c>
      <c r="G200" s="97" t="s">
        <v>1329</v>
      </c>
      <c r="H200" s="201" t="s">
        <v>302</v>
      </c>
      <c r="I200" s="201"/>
      <c r="J200" s="108"/>
      <c r="K200" s="108"/>
      <c r="L200" s="108"/>
      <c r="M200" s="108"/>
      <c r="N200" s="108"/>
      <c r="O200" s="108"/>
      <c r="P200" s="108"/>
      <c r="Q200" s="108"/>
      <c r="R200" s="97" t="s">
        <v>1330</v>
      </c>
      <c r="S200" s="97" t="s">
        <v>387</v>
      </c>
      <c r="T200" s="201" t="s">
        <v>303</v>
      </c>
      <c r="U200" s="201" t="s">
        <v>304</v>
      </c>
      <c r="V200" s="202" t="s">
        <v>305</v>
      </c>
      <c r="W200" s="108"/>
      <c r="X200" s="108"/>
      <c r="Y200" s="108"/>
      <c r="Z200" s="108"/>
      <c r="AC200" s="201" t="s">
        <v>1005</v>
      </c>
      <c r="AD200" s="201" t="s">
        <v>1006</v>
      </c>
      <c r="AE200" s="201" t="s">
        <v>1007</v>
      </c>
      <c r="AF200" s="201" t="s">
        <v>590</v>
      </c>
      <c r="AG200" s="201" t="s">
        <v>1008</v>
      </c>
      <c r="AH200" s="201" t="s">
        <v>1265</v>
      </c>
      <c r="AI200" s="201" t="s">
        <v>1266</v>
      </c>
      <c r="AJ200" s="201" t="s">
        <v>1267</v>
      </c>
      <c r="AK200" s="201" t="s">
        <v>599</v>
      </c>
      <c r="AL200" s="201" t="s">
        <v>1268</v>
      </c>
      <c r="AM200" s="202" t="s">
        <v>1269</v>
      </c>
    </row>
    <row r="201" spans="1:40" ht="13.5" thickBot="1" x14ac:dyDescent="0.25">
      <c r="B201" s="264"/>
      <c r="C201" s="278" t="s">
        <v>242</v>
      </c>
      <c r="D201" s="278"/>
      <c r="E201" s="278" t="s">
        <v>243</v>
      </c>
      <c r="F201" s="278" t="s">
        <v>243</v>
      </c>
      <c r="G201" s="97" t="s">
        <v>243</v>
      </c>
      <c r="H201" s="278" t="s">
        <v>243</v>
      </c>
      <c r="I201" s="278" t="s">
        <v>243</v>
      </c>
      <c r="J201" s="108"/>
      <c r="K201" s="108"/>
      <c r="L201" s="108"/>
      <c r="M201" s="108"/>
      <c r="N201" s="108"/>
      <c r="O201" s="108"/>
      <c r="P201" s="108"/>
      <c r="Q201" s="108"/>
      <c r="R201" s="97" t="s">
        <v>243</v>
      </c>
      <c r="S201" s="97" t="s">
        <v>243</v>
      </c>
      <c r="T201" s="278" t="s">
        <v>243</v>
      </c>
      <c r="U201" s="278" t="s">
        <v>243</v>
      </c>
      <c r="V201" s="294" t="s">
        <v>243</v>
      </c>
      <c r="W201" s="108"/>
      <c r="X201" s="108"/>
      <c r="Y201" s="108"/>
      <c r="Z201" s="108"/>
      <c r="AC201" s="278" t="s">
        <v>243</v>
      </c>
      <c r="AD201" s="278" t="s">
        <v>243</v>
      </c>
      <c r="AE201" s="278" t="s">
        <v>243</v>
      </c>
      <c r="AF201" s="278" t="s">
        <v>243</v>
      </c>
      <c r="AG201" s="278" t="s">
        <v>243</v>
      </c>
      <c r="AH201" s="278" t="s">
        <v>243</v>
      </c>
      <c r="AI201" s="278" t="s">
        <v>243</v>
      </c>
      <c r="AJ201" s="278" t="s">
        <v>243</v>
      </c>
      <c r="AK201" s="278" t="s">
        <v>243</v>
      </c>
      <c r="AL201" s="278" t="s">
        <v>243</v>
      </c>
      <c r="AM201" s="202" t="s">
        <v>243</v>
      </c>
    </row>
    <row r="202" spans="1:40" ht="27" customHeight="1" x14ac:dyDescent="0.2">
      <c r="B202" s="1114" t="s">
        <v>1402</v>
      </c>
      <c r="C202" s="207">
        <v>1400</v>
      </c>
      <c r="D202" s="208" t="s">
        <v>248</v>
      </c>
      <c r="E202" s="689"/>
      <c r="F202" s="356"/>
      <c r="H202" s="209">
        <f>F202-V202</f>
        <v>0</v>
      </c>
      <c r="I202" s="917"/>
      <c r="T202" s="362"/>
      <c r="U202" s="362"/>
      <c r="V202" s="804"/>
      <c r="AC202" s="362"/>
      <c r="AD202" s="362"/>
      <c r="AE202" s="362"/>
      <c r="AF202" s="362"/>
      <c r="AG202" s="362"/>
      <c r="AH202" s="362"/>
      <c r="AI202" s="362"/>
      <c r="AJ202" s="362"/>
      <c r="AK202" s="362"/>
      <c r="AL202" s="362"/>
      <c r="AM202" s="318"/>
    </row>
    <row r="203" spans="1:40" ht="21.95" customHeight="1" x14ac:dyDescent="0.2">
      <c r="B203" s="231" t="s">
        <v>1403</v>
      </c>
      <c r="C203" s="234">
        <v>1405</v>
      </c>
      <c r="D203" s="267" t="s">
        <v>248</v>
      </c>
      <c r="E203" s="660">
        <f>SUM(AC203:AM203)</f>
        <v>0</v>
      </c>
      <c r="F203" s="809"/>
      <c r="G203" s="97"/>
      <c r="H203" s="660">
        <f>F203-V203</f>
        <v>0</v>
      </c>
      <c r="I203" s="256"/>
      <c r="R203" s="97"/>
      <c r="S203" s="97"/>
      <c r="T203" s="256"/>
      <c r="U203" s="256"/>
      <c r="V203" s="920"/>
      <c r="AC203" s="400"/>
      <c r="AD203" s="400"/>
      <c r="AE203" s="400"/>
      <c r="AF203" s="400"/>
      <c r="AG203" s="809"/>
      <c r="AH203" s="400"/>
      <c r="AI203" s="400"/>
      <c r="AJ203" s="400"/>
      <c r="AK203" s="400"/>
      <c r="AL203" s="400"/>
      <c r="AM203" s="920"/>
    </row>
    <row r="204" spans="1:40" ht="13.5" thickBot="1" x14ac:dyDescent="0.25">
      <c r="A204" s="99"/>
      <c r="B204" s="498" t="s">
        <v>340</v>
      </c>
      <c r="C204" s="499">
        <v>1410</v>
      </c>
      <c r="D204" s="500" t="s">
        <v>248</v>
      </c>
      <c r="E204" s="502">
        <f>SUM(E202:E203)</f>
        <v>0</v>
      </c>
      <c r="F204" s="502">
        <f>SUM(F202:F203)</f>
        <v>0</v>
      </c>
      <c r="G204" s="108"/>
      <c r="H204" s="502">
        <f>SUM(H202:H203)</f>
        <v>0</v>
      </c>
      <c r="I204" s="918"/>
      <c r="T204" s="884"/>
      <c r="U204" s="884"/>
      <c r="V204" s="1223"/>
      <c r="AC204" s="919"/>
      <c r="AD204" s="919"/>
      <c r="AE204" s="919"/>
      <c r="AF204" s="919"/>
      <c r="AG204" s="919"/>
      <c r="AH204" s="919"/>
      <c r="AI204" s="919"/>
      <c r="AJ204" s="919"/>
      <c r="AK204" s="919"/>
      <c r="AL204" s="919"/>
      <c r="AM204" s="921"/>
      <c r="AN204" s="99"/>
    </row>
    <row r="205" spans="1:40" ht="13.5" hidden="1" thickTop="1" x14ac:dyDescent="0.2">
      <c r="A205" s="99"/>
      <c r="B205" s="103"/>
      <c r="C205" s="103"/>
      <c r="D205" s="101"/>
      <c r="E205" s="105"/>
      <c r="F205" s="99"/>
      <c r="H205" s="99"/>
      <c r="I205" s="99"/>
      <c r="T205" s="99"/>
      <c r="U205" s="99"/>
      <c r="V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</row>
    <row r="206" spans="1:40" ht="13.5" hidden="1" thickTop="1" x14ac:dyDescent="0.2"/>
    <row r="207" spans="1:40" hidden="1" x14ac:dyDescent="0.2"/>
    <row r="208" spans="1:40" hidden="1" x14ac:dyDescent="0.2"/>
    <row r="209" spans="1:40" ht="13.5" hidden="1" thickBot="1" x14ac:dyDescent="0.25">
      <c r="A209" s="99"/>
      <c r="B209" s="102"/>
      <c r="C209" s="102"/>
      <c r="D209" s="172" t="s">
        <v>25</v>
      </c>
      <c r="E209" s="102" t="s">
        <v>235</v>
      </c>
      <c r="F209" s="102" t="s">
        <v>236</v>
      </c>
      <c r="H209" s="99"/>
      <c r="I209" s="99"/>
      <c r="T209" s="99"/>
      <c r="U209" s="99"/>
      <c r="V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</row>
    <row r="210" spans="1:40" ht="13.5" hidden="1" thickBot="1" x14ac:dyDescent="0.25">
      <c r="A210" s="99"/>
      <c r="B210" s="102" t="s">
        <v>1404</v>
      </c>
      <c r="C210" s="172" t="s">
        <v>238</v>
      </c>
      <c r="D210" s="172"/>
      <c r="E210" s="102" t="s">
        <v>799</v>
      </c>
      <c r="F210" s="102" t="s">
        <v>240</v>
      </c>
      <c r="H210" s="99"/>
      <c r="I210" s="99"/>
      <c r="T210" s="99"/>
      <c r="U210" s="99"/>
      <c r="V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</row>
    <row r="211" spans="1:40" ht="13.5" hidden="1" thickBot="1" x14ac:dyDescent="0.25">
      <c r="A211" s="99"/>
      <c r="B211" s="102"/>
      <c r="C211" s="172" t="s">
        <v>242</v>
      </c>
      <c r="D211" s="172"/>
      <c r="E211" s="102" t="s">
        <v>243</v>
      </c>
      <c r="F211" s="102" t="s">
        <v>243</v>
      </c>
      <c r="H211" s="99"/>
      <c r="I211" s="99"/>
      <c r="T211" s="99"/>
      <c r="U211" s="99"/>
      <c r="V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</row>
    <row r="212" spans="1:40" ht="13.5" hidden="1" thickBot="1" x14ac:dyDescent="0.25">
      <c r="A212" s="99"/>
      <c r="B212" s="99" t="s">
        <v>1284</v>
      </c>
      <c r="C212" s="172">
        <v>1450</v>
      </c>
      <c r="D212" s="157" t="s">
        <v>248</v>
      </c>
      <c r="E212" s="99"/>
      <c r="F212" s="99"/>
      <c r="H212" s="99"/>
      <c r="I212" s="99"/>
      <c r="T212" s="99"/>
      <c r="U212" s="99"/>
      <c r="V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</row>
    <row r="213" spans="1:40" ht="13.5" hidden="1" thickBot="1" x14ac:dyDescent="0.25">
      <c r="A213" s="99"/>
      <c r="B213" s="99" t="s">
        <v>1285</v>
      </c>
      <c r="C213" s="172">
        <v>1460</v>
      </c>
      <c r="D213" s="157" t="s">
        <v>248</v>
      </c>
      <c r="E213" s="99"/>
      <c r="F213" s="99"/>
      <c r="H213" s="99"/>
      <c r="I213" s="99"/>
      <c r="T213" s="99"/>
      <c r="U213" s="99"/>
      <c r="V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</row>
    <row r="214" spans="1:40" ht="13.5" hidden="1" thickBot="1" x14ac:dyDescent="0.25"/>
    <row r="215" spans="1:40" ht="13.5" hidden="1" thickBot="1" x14ac:dyDescent="0.25"/>
    <row r="216" spans="1:40" ht="13.5" hidden="1" thickBot="1" x14ac:dyDescent="0.25"/>
    <row r="217" spans="1:40" ht="13.5" hidden="1" thickBot="1" x14ac:dyDescent="0.25"/>
    <row r="218" spans="1:40" ht="13.5" hidden="1" thickTop="1" x14ac:dyDescent="0.2">
      <c r="B218" s="261"/>
      <c r="C218" s="262"/>
      <c r="D218" s="353" t="s">
        <v>25</v>
      </c>
      <c r="E218" s="922"/>
      <c r="F218" s="922"/>
      <c r="H218" s="922"/>
      <c r="I218" s="922"/>
      <c r="T218" s="922"/>
      <c r="U218" s="922"/>
      <c r="V218" s="922"/>
      <c r="AC218" s="353" t="s">
        <v>825</v>
      </c>
      <c r="AD218" s="353" t="s">
        <v>826</v>
      </c>
      <c r="AE218" s="353" t="s">
        <v>827</v>
      </c>
      <c r="AF218" s="353" t="s">
        <v>828</v>
      </c>
      <c r="AG218" s="353" t="s">
        <v>829</v>
      </c>
      <c r="AH218" s="353" t="s">
        <v>830</v>
      </c>
      <c r="AI218" s="353" t="s">
        <v>831</v>
      </c>
      <c r="AJ218" s="353" t="s">
        <v>1323</v>
      </c>
      <c r="AK218" s="353" t="s">
        <v>1324</v>
      </c>
      <c r="AL218" s="353" t="s">
        <v>1325</v>
      </c>
      <c r="AM218" s="293" t="s">
        <v>1326</v>
      </c>
    </row>
    <row r="219" spans="1:40" ht="25.5" hidden="1" x14ac:dyDescent="0.2">
      <c r="B219" s="355" t="s">
        <v>146</v>
      </c>
      <c r="C219" s="201" t="s">
        <v>238</v>
      </c>
      <c r="D219" s="201"/>
      <c r="E219" s="419"/>
      <c r="F219" s="419"/>
      <c r="H219" s="419"/>
      <c r="I219" s="419"/>
      <c r="T219" s="419"/>
      <c r="U219" s="419"/>
      <c r="V219" s="419"/>
      <c r="AC219" s="201" t="s">
        <v>1005</v>
      </c>
      <c r="AD219" s="201" t="s">
        <v>1006</v>
      </c>
      <c r="AE219" s="201" t="s">
        <v>1007</v>
      </c>
      <c r="AF219" s="201" t="s">
        <v>590</v>
      </c>
      <c r="AG219" s="201" t="s">
        <v>1008</v>
      </c>
      <c r="AH219" s="201" t="s">
        <v>1265</v>
      </c>
      <c r="AI219" s="201" t="s">
        <v>1266</v>
      </c>
      <c r="AJ219" s="201" t="s">
        <v>1267</v>
      </c>
      <c r="AK219" s="201" t="s">
        <v>599</v>
      </c>
      <c r="AL219" s="201" t="s">
        <v>1268</v>
      </c>
      <c r="AM219" s="202" t="s">
        <v>1269</v>
      </c>
    </row>
    <row r="220" spans="1:40" ht="13.5" hidden="1" thickBot="1" x14ac:dyDescent="0.25">
      <c r="B220" s="264"/>
      <c r="C220" s="278" t="s">
        <v>242</v>
      </c>
      <c r="D220" s="278"/>
      <c r="E220" s="787"/>
      <c r="F220" s="787"/>
      <c r="H220" s="787"/>
      <c r="I220" s="787"/>
      <c r="T220" s="787"/>
      <c r="U220" s="787"/>
      <c r="V220" s="787"/>
      <c r="AC220" s="278" t="s">
        <v>243</v>
      </c>
      <c r="AD220" s="278" t="s">
        <v>243</v>
      </c>
      <c r="AE220" s="278" t="s">
        <v>243</v>
      </c>
      <c r="AF220" s="278" t="s">
        <v>243</v>
      </c>
      <c r="AG220" s="278" t="s">
        <v>243</v>
      </c>
      <c r="AH220" s="278" t="s">
        <v>243</v>
      </c>
      <c r="AI220" s="278" t="s">
        <v>243</v>
      </c>
      <c r="AJ220" s="278" t="s">
        <v>243</v>
      </c>
      <c r="AK220" s="278" t="s">
        <v>243</v>
      </c>
      <c r="AL220" s="278" t="s">
        <v>243</v>
      </c>
      <c r="AM220" s="202" t="s">
        <v>243</v>
      </c>
    </row>
    <row r="221" spans="1:40" ht="21.95" hidden="1" customHeight="1" x14ac:dyDescent="0.2">
      <c r="B221" s="761" t="s">
        <v>1406</v>
      </c>
      <c r="C221" s="885">
        <v>1470</v>
      </c>
      <c r="D221" s="925" t="s">
        <v>248</v>
      </c>
      <c r="E221" s="317"/>
      <c r="F221" s="317"/>
      <c r="H221" s="317"/>
      <c r="I221" s="317"/>
      <c r="T221" s="317"/>
      <c r="U221" s="317"/>
      <c r="V221" s="317"/>
      <c r="AB221" s="108"/>
      <c r="AC221" s="927">
        <f t="shared" ref="AC221:AM221" si="8">AC203+AC43+AC114</f>
        <v>0</v>
      </c>
      <c r="AD221" s="927">
        <f t="shared" si="8"/>
        <v>0</v>
      </c>
      <c r="AE221" s="927">
        <f t="shared" si="8"/>
        <v>0</v>
      </c>
      <c r="AF221" s="927">
        <f t="shared" si="8"/>
        <v>0</v>
      </c>
      <c r="AG221" s="927">
        <f t="shared" si="8"/>
        <v>0</v>
      </c>
      <c r="AH221" s="927">
        <f t="shared" si="8"/>
        <v>0</v>
      </c>
      <c r="AI221" s="927">
        <f t="shared" si="8"/>
        <v>0</v>
      </c>
      <c r="AJ221" s="927">
        <f t="shared" si="8"/>
        <v>0</v>
      </c>
      <c r="AK221" s="927">
        <f t="shared" si="8"/>
        <v>0</v>
      </c>
      <c r="AL221" s="927">
        <f t="shared" si="8"/>
        <v>0</v>
      </c>
      <c r="AM221" s="929">
        <f t="shared" si="8"/>
        <v>0</v>
      </c>
    </row>
    <row r="222" spans="1:40" ht="21.95" hidden="1" customHeight="1" thickBot="1" x14ac:dyDescent="0.25">
      <c r="B222" s="365" t="s">
        <v>1407</v>
      </c>
      <c r="C222" s="924">
        <v>1480</v>
      </c>
      <c r="D222" s="926" t="s">
        <v>248</v>
      </c>
      <c r="E222" s="340"/>
      <c r="F222" s="340"/>
      <c r="H222" s="340"/>
      <c r="I222" s="340"/>
      <c r="T222" s="340"/>
      <c r="U222" s="340"/>
      <c r="V222" s="340"/>
      <c r="AC222" s="367">
        <f t="shared" ref="AC222:AM222" si="9">AC58</f>
        <v>0</v>
      </c>
      <c r="AD222" s="928">
        <f t="shared" si="9"/>
        <v>0</v>
      </c>
      <c r="AE222" s="928">
        <f t="shared" si="9"/>
        <v>0</v>
      </c>
      <c r="AF222" s="928">
        <f t="shared" si="9"/>
        <v>0</v>
      </c>
      <c r="AG222" s="928">
        <f t="shared" si="9"/>
        <v>0</v>
      </c>
      <c r="AH222" s="928">
        <f t="shared" si="9"/>
        <v>0</v>
      </c>
      <c r="AI222" s="928">
        <f t="shared" si="9"/>
        <v>0</v>
      </c>
      <c r="AJ222" s="928">
        <f t="shared" si="9"/>
        <v>0</v>
      </c>
      <c r="AK222" s="928">
        <f t="shared" si="9"/>
        <v>0</v>
      </c>
      <c r="AL222" s="928">
        <f t="shared" si="9"/>
        <v>0</v>
      </c>
      <c r="AM222" s="930">
        <f t="shared" si="9"/>
        <v>0</v>
      </c>
    </row>
    <row r="223" spans="1:40" hidden="1" x14ac:dyDescent="0.2"/>
    <row r="224" spans="1:40" ht="13.5" hidden="1" thickBot="1" x14ac:dyDescent="0.25"/>
    <row r="225" spans="2:39" ht="14.25" hidden="1" thickTop="1" thickBot="1" x14ac:dyDescent="0.25">
      <c r="B225" s="100"/>
      <c r="C225" s="100"/>
      <c r="D225" s="100"/>
      <c r="E225" s="100"/>
      <c r="F225" s="376" t="s">
        <v>1320</v>
      </c>
      <c r="G225" s="97"/>
      <c r="H225" s="378"/>
      <c r="I225" s="639"/>
      <c r="R225" s="97" t="s">
        <v>1321</v>
      </c>
      <c r="S225" s="108"/>
      <c r="T225" s="634"/>
      <c r="U225" s="634"/>
      <c r="V225" s="634"/>
      <c r="AC225" s="876" t="s">
        <v>1322</v>
      </c>
      <c r="AD225" s="634"/>
      <c r="AE225" s="634"/>
      <c r="AF225" s="634"/>
      <c r="AG225" s="634"/>
      <c r="AH225" s="634"/>
      <c r="AI225" s="634"/>
      <c r="AJ225" s="634"/>
      <c r="AK225" s="634"/>
      <c r="AL225" s="634"/>
      <c r="AM225" s="639"/>
    </row>
    <row r="226" spans="2:39" ht="13.5" hidden="1" thickTop="1" x14ac:dyDescent="0.2">
      <c r="B226" s="261"/>
      <c r="C226" s="262"/>
      <c r="D226" s="353" t="s">
        <v>25</v>
      </c>
      <c r="E226" s="353" t="s">
        <v>235</v>
      </c>
      <c r="F226" s="353" t="s">
        <v>236</v>
      </c>
      <c r="G226" s="97" t="s">
        <v>293</v>
      </c>
      <c r="H226" s="353" t="s">
        <v>294</v>
      </c>
      <c r="I226" s="707"/>
      <c r="R226" s="97" t="s">
        <v>576</v>
      </c>
      <c r="S226" s="97" t="s">
        <v>577</v>
      </c>
      <c r="T226" s="353" t="s">
        <v>578</v>
      </c>
      <c r="U226" s="353" t="s">
        <v>579</v>
      </c>
      <c r="V226" s="353" t="s">
        <v>580</v>
      </c>
      <c r="AC226" s="353" t="s">
        <v>825</v>
      </c>
      <c r="AD226" s="353" t="s">
        <v>826</v>
      </c>
      <c r="AE226" s="353" t="s">
        <v>827</v>
      </c>
      <c r="AF226" s="353" t="s">
        <v>828</v>
      </c>
      <c r="AG226" s="353" t="s">
        <v>829</v>
      </c>
      <c r="AH226" s="353" t="s">
        <v>830</v>
      </c>
      <c r="AI226" s="353" t="s">
        <v>831</v>
      </c>
      <c r="AJ226" s="353" t="s">
        <v>1323</v>
      </c>
      <c r="AK226" s="353" t="s">
        <v>1324</v>
      </c>
      <c r="AL226" s="353" t="s">
        <v>1325</v>
      </c>
      <c r="AM226" s="293" t="s">
        <v>1326</v>
      </c>
    </row>
    <row r="227" spans="2:39" ht="51" hidden="1" x14ac:dyDescent="0.2">
      <c r="B227" s="264" t="s">
        <v>1408</v>
      </c>
      <c r="C227" s="201" t="s">
        <v>238</v>
      </c>
      <c r="D227" s="201"/>
      <c r="E227" s="201" t="s">
        <v>799</v>
      </c>
      <c r="F227" s="201" t="s">
        <v>1328</v>
      </c>
      <c r="G227" s="97" t="s">
        <v>1329</v>
      </c>
      <c r="H227" s="201" t="s">
        <v>302</v>
      </c>
      <c r="I227" s="709"/>
      <c r="R227" s="97" t="s">
        <v>1330</v>
      </c>
      <c r="S227" s="97" t="s">
        <v>387</v>
      </c>
      <c r="T227" s="201" t="s">
        <v>303</v>
      </c>
      <c r="U227" s="201" t="s">
        <v>304</v>
      </c>
      <c r="V227" s="201" t="s">
        <v>305</v>
      </c>
      <c r="AC227" s="201" t="s">
        <v>1005</v>
      </c>
      <c r="AD227" s="201" t="s">
        <v>1006</v>
      </c>
      <c r="AE227" s="201" t="s">
        <v>1007</v>
      </c>
      <c r="AF227" s="201" t="s">
        <v>590</v>
      </c>
      <c r="AG227" s="201" t="s">
        <v>1008</v>
      </c>
      <c r="AH227" s="201" t="s">
        <v>1265</v>
      </c>
      <c r="AI227" s="201" t="s">
        <v>1266</v>
      </c>
      <c r="AJ227" s="201" t="s">
        <v>1267</v>
      </c>
      <c r="AK227" s="201" t="s">
        <v>599</v>
      </c>
      <c r="AL227" s="201" t="s">
        <v>1268</v>
      </c>
      <c r="AM227" s="202" t="s">
        <v>1269</v>
      </c>
    </row>
    <row r="228" spans="2:39" ht="13.5" hidden="1" thickBot="1" x14ac:dyDescent="0.25">
      <c r="B228" s="265"/>
      <c r="C228" s="278" t="s">
        <v>242</v>
      </c>
      <c r="D228" s="278"/>
      <c r="E228" s="278" t="s">
        <v>243</v>
      </c>
      <c r="F228" s="278" t="s">
        <v>243</v>
      </c>
      <c r="G228" s="97" t="s">
        <v>243</v>
      </c>
      <c r="H228" s="278" t="s">
        <v>243</v>
      </c>
      <c r="I228" s="711"/>
      <c r="R228" s="97" t="s">
        <v>243</v>
      </c>
      <c r="S228" s="97" t="s">
        <v>243</v>
      </c>
      <c r="T228" s="278" t="s">
        <v>243</v>
      </c>
      <c r="U228" s="278" t="s">
        <v>243</v>
      </c>
      <c r="V228" s="278" t="s">
        <v>243</v>
      </c>
      <c r="AC228" s="278" t="s">
        <v>243</v>
      </c>
      <c r="AD228" s="278" t="s">
        <v>243</v>
      </c>
      <c r="AE228" s="278" t="s">
        <v>243</v>
      </c>
      <c r="AF228" s="278" t="s">
        <v>243</v>
      </c>
      <c r="AG228" s="278" t="s">
        <v>243</v>
      </c>
      <c r="AH228" s="278" t="s">
        <v>243</v>
      </c>
      <c r="AI228" s="278" t="s">
        <v>243</v>
      </c>
      <c r="AJ228" s="278" t="s">
        <v>243</v>
      </c>
      <c r="AK228" s="278" t="s">
        <v>243</v>
      </c>
      <c r="AL228" s="278" t="s">
        <v>243</v>
      </c>
      <c r="AM228" s="294" t="s">
        <v>243</v>
      </c>
    </row>
    <row r="229" spans="2:39" hidden="1" x14ac:dyDescent="0.2">
      <c r="B229" s="97"/>
      <c r="C229" s="469"/>
      <c r="D229" s="466"/>
    </row>
    <row r="230" spans="2:39" ht="21.95" hidden="1" customHeight="1" x14ac:dyDescent="0.2">
      <c r="B230" s="785" t="s">
        <v>1409</v>
      </c>
      <c r="C230" s="932">
        <v>1630</v>
      </c>
      <c r="D230" s="931" t="s">
        <v>248</v>
      </c>
      <c r="E230" s="691"/>
      <c r="F230" s="691"/>
      <c r="H230" s="321"/>
      <c r="I230" s="321"/>
      <c r="T230" s="321"/>
      <c r="U230" s="321"/>
      <c r="V230" s="622"/>
      <c r="AC230" s="422"/>
      <c r="AD230" s="422"/>
      <c r="AE230" s="422"/>
      <c r="AF230" s="422"/>
      <c r="AG230" s="422"/>
      <c r="AH230" s="422"/>
      <c r="AI230" s="422"/>
      <c r="AJ230" s="422"/>
      <c r="AK230" s="422"/>
      <c r="AL230" s="422"/>
      <c r="AM230" s="578"/>
    </row>
    <row r="231" spans="2:39" ht="21.95" hidden="1" customHeight="1" x14ac:dyDescent="0.2">
      <c r="B231" s="213" t="s">
        <v>1410</v>
      </c>
      <c r="C231" s="817">
        <v>1640</v>
      </c>
      <c r="D231" s="816" t="s">
        <v>248</v>
      </c>
      <c r="E231" s="561"/>
      <c r="F231" s="561"/>
      <c r="H231" s="324"/>
      <c r="I231" s="324"/>
      <c r="T231" s="324"/>
      <c r="U231" s="324"/>
      <c r="V231" s="334"/>
      <c r="AC231" s="324"/>
      <c r="AD231" s="324"/>
      <c r="AE231" s="324"/>
      <c r="AF231" s="324"/>
      <c r="AG231" s="228"/>
      <c r="AH231" s="324"/>
      <c r="AI231" s="324"/>
      <c r="AJ231" s="324"/>
      <c r="AK231" s="324"/>
      <c r="AL231" s="324"/>
      <c r="AM231" s="331"/>
    </row>
    <row r="232" spans="2:39" ht="30" hidden="1" customHeight="1" x14ac:dyDescent="0.2">
      <c r="B232" s="336" t="s">
        <v>1411</v>
      </c>
      <c r="C232" s="817">
        <v>1650</v>
      </c>
      <c r="D232" s="816" t="s">
        <v>248</v>
      </c>
      <c r="E232" s="224">
        <f>SUM(E230:E231)</f>
        <v>0</v>
      </c>
      <c r="F232" s="224">
        <f>SUM(F230:F231)</f>
        <v>0</v>
      </c>
      <c r="H232" s="224">
        <f>SUM(F230:F231)-V232</f>
        <v>0</v>
      </c>
      <c r="I232" s="324"/>
      <c r="T232" s="324"/>
      <c r="U232" s="324"/>
      <c r="V232" s="942"/>
      <c r="AC232" s="448">
        <f t="shared" ref="AC232:AM232" si="10">SUM(AC230:AC231)</f>
        <v>0</v>
      </c>
      <c r="AD232" s="448">
        <f t="shared" si="10"/>
        <v>0</v>
      </c>
      <c r="AE232" s="448">
        <f t="shared" si="10"/>
        <v>0</v>
      </c>
      <c r="AF232" s="448">
        <f t="shared" si="10"/>
        <v>0</v>
      </c>
      <c r="AG232" s="448">
        <f t="shared" si="10"/>
        <v>0</v>
      </c>
      <c r="AH232" s="448">
        <f t="shared" si="10"/>
        <v>0</v>
      </c>
      <c r="AI232" s="448">
        <f t="shared" si="10"/>
        <v>0</v>
      </c>
      <c r="AJ232" s="448">
        <f t="shared" si="10"/>
        <v>0</v>
      </c>
      <c r="AK232" s="448">
        <f t="shared" si="10"/>
        <v>0</v>
      </c>
      <c r="AL232" s="448">
        <f t="shared" si="10"/>
        <v>0</v>
      </c>
      <c r="AM232" s="442">
        <f t="shared" si="10"/>
        <v>0</v>
      </c>
    </row>
    <row r="233" spans="2:39" ht="21.95" hidden="1" customHeight="1" x14ac:dyDescent="0.2">
      <c r="B233" s="213" t="s">
        <v>1412</v>
      </c>
      <c r="C233" s="817">
        <v>1670</v>
      </c>
      <c r="D233" s="816" t="s">
        <v>248</v>
      </c>
      <c r="E233" s="561"/>
      <c r="F233" s="561"/>
      <c r="H233" s="324"/>
      <c r="I233" s="324"/>
      <c r="T233" s="324"/>
      <c r="U233" s="324"/>
      <c r="V233" s="334"/>
      <c r="AC233" s="228"/>
      <c r="AD233" s="228"/>
      <c r="AE233" s="933"/>
      <c r="AF233" s="933"/>
      <c r="AG233" s="933"/>
      <c r="AH233" s="228"/>
      <c r="AI233" s="933"/>
      <c r="AJ233" s="933"/>
      <c r="AK233" s="933"/>
      <c r="AL233" s="933"/>
      <c r="AM233" s="331"/>
    </row>
    <row r="234" spans="2:39" ht="21.95" hidden="1" customHeight="1" x14ac:dyDescent="0.2">
      <c r="B234" s="213" t="s">
        <v>1413</v>
      </c>
      <c r="C234" s="817">
        <v>1675</v>
      </c>
      <c r="D234" s="816" t="s">
        <v>248</v>
      </c>
      <c r="E234" s="561"/>
      <c r="F234" s="561"/>
      <c r="H234" s="324"/>
      <c r="I234" s="324"/>
      <c r="T234" s="324"/>
      <c r="U234" s="324"/>
      <c r="V234" s="334"/>
      <c r="AC234" s="324"/>
      <c r="AD234" s="324"/>
      <c r="AE234" s="324"/>
      <c r="AF234" s="324"/>
      <c r="AG234" s="228"/>
      <c r="AH234" s="334"/>
      <c r="AI234" s="324"/>
      <c r="AJ234" s="324"/>
      <c r="AK234" s="324"/>
      <c r="AL234" s="324"/>
      <c r="AM234" s="297"/>
    </row>
    <row r="235" spans="2:39" ht="30" hidden="1" customHeight="1" x14ac:dyDescent="0.2">
      <c r="B235" s="336" t="s">
        <v>1414</v>
      </c>
      <c r="C235" s="817">
        <v>1680</v>
      </c>
      <c r="D235" s="816" t="s">
        <v>248</v>
      </c>
      <c r="E235" s="224">
        <f>SUM(E233:E234)</f>
        <v>0</v>
      </c>
      <c r="F235" s="224">
        <f>SUM(F233:F234)</f>
        <v>0</v>
      </c>
      <c r="H235" s="224">
        <f>SUM(F233:F234)-V235</f>
        <v>0</v>
      </c>
      <c r="I235" s="324"/>
      <c r="T235" s="324"/>
      <c r="U235" s="324"/>
      <c r="V235" s="598"/>
      <c r="AC235" s="224">
        <f t="shared" ref="AC235:AM235" si="11">SUM(AC233:AC234)</f>
        <v>0</v>
      </c>
      <c r="AD235" s="224">
        <f t="shared" si="11"/>
        <v>0</v>
      </c>
      <c r="AE235" s="224">
        <f t="shared" si="11"/>
        <v>0</v>
      </c>
      <c r="AF235" s="224">
        <f t="shared" si="11"/>
        <v>0</v>
      </c>
      <c r="AG235" s="224">
        <f t="shared" si="11"/>
        <v>0</v>
      </c>
      <c r="AH235" s="224">
        <f t="shared" si="11"/>
        <v>0</v>
      </c>
      <c r="AI235" s="224">
        <f t="shared" si="11"/>
        <v>0</v>
      </c>
      <c r="AJ235" s="224">
        <f t="shared" si="11"/>
        <v>0</v>
      </c>
      <c r="AK235" s="224">
        <f t="shared" si="11"/>
        <v>0</v>
      </c>
      <c r="AL235" s="224">
        <f t="shared" si="11"/>
        <v>0</v>
      </c>
      <c r="AM235" s="227">
        <f t="shared" si="11"/>
        <v>0</v>
      </c>
    </row>
    <row r="236" spans="2:39" ht="21.95" hidden="1" customHeight="1" x14ac:dyDescent="0.2">
      <c r="B236" s="213" t="s">
        <v>1415</v>
      </c>
      <c r="C236" s="817">
        <v>1690</v>
      </c>
      <c r="D236" s="816" t="s">
        <v>248</v>
      </c>
      <c r="E236" s="561"/>
      <c r="F236" s="561"/>
      <c r="H236" s="324"/>
      <c r="I236" s="324"/>
      <c r="T236" s="324"/>
      <c r="U236" s="324"/>
      <c r="V236" s="334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331"/>
    </row>
    <row r="237" spans="2:39" ht="21.95" hidden="1" customHeight="1" x14ac:dyDescent="0.2">
      <c r="B237" s="213" t="s">
        <v>1416</v>
      </c>
      <c r="C237" s="934">
        <v>1700</v>
      </c>
      <c r="D237" s="935" t="s">
        <v>248</v>
      </c>
      <c r="E237" s="809"/>
      <c r="F237" s="809"/>
      <c r="H237" s="258"/>
      <c r="I237" s="258"/>
      <c r="T237" s="258"/>
      <c r="U237" s="258"/>
      <c r="V237" s="330"/>
      <c r="AC237" s="258"/>
      <c r="AD237" s="258"/>
      <c r="AE237" s="258"/>
      <c r="AF237" s="258"/>
      <c r="AG237" s="396"/>
      <c r="AH237" s="258"/>
      <c r="AI237" s="258"/>
      <c r="AJ237" s="258"/>
      <c r="AK237" s="258"/>
      <c r="AL237" s="258"/>
      <c r="AM237" s="297"/>
    </row>
    <row r="238" spans="2:39" ht="30" hidden="1" customHeight="1" thickBot="1" x14ac:dyDescent="0.25">
      <c r="B238" s="1096" t="s">
        <v>1417</v>
      </c>
      <c r="C238" s="924">
        <v>1710</v>
      </c>
      <c r="D238" s="923" t="s">
        <v>248</v>
      </c>
      <c r="E238" s="240">
        <f>SUM(E236:E237)</f>
        <v>0</v>
      </c>
      <c r="F238" s="240">
        <f>SUM(F236:F237)</f>
        <v>0</v>
      </c>
      <c r="H238" s="240">
        <f>SUM(F236:F237)-V238</f>
        <v>0</v>
      </c>
      <c r="I238" s="340"/>
      <c r="T238" s="340"/>
      <c r="U238" s="340"/>
      <c r="V238" s="943"/>
      <c r="AC238" s="240">
        <f t="shared" ref="AC238:AM238" si="12">SUM(AC236:AC237)</f>
        <v>0</v>
      </c>
      <c r="AD238" s="240">
        <f t="shared" si="12"/>
        <v>0</v>
      </c>
      <c r="AE238" s="240">
        <f t="shared" si="12"/>
        <v>0</v>
      </c>
      <c r="AF238" s="240">
        <f t="shared" si="12"/>
        <v>0</v>
      </c>
      <c r="AG238" s="240">
        <f t="shared" si="12"/>
        <v>0</v>
      </c>
      <c r="AH238" s="240">
        <f t="shared" si="12"/>
        <v>0</v>
      </c>
      <c r="AI238" s="240">
        <f t="shared" si="12"/>
        <v>0</v>
      </c>
      <c r="AJ238" s="240">
        <f t="shared" si="12"/>
        <v>0</v>
      </c>
      <c r="AK238" s="240">
        <f t="shared" si="12"/>
        <v>0</v>
      </c>
      <c r="AL238" s="240">
        <f t="shared" si="12"/>
        <v>0</v>
      </c>
      <c r="AM238" s="241">
        <f t="shared" si="12"/>
        <v>0</v>
      </c>
    </row>
    <row r="239" spans="2:39" ht="13.5" hidden="1" thickTop="1" x14ac:dyDescent="0.2"/>
    <row r="240" spans="2:39" ht="13.5" hidden="1" thickBot="1" x14ac:dyDescent="0.25"/>
    <row r="241" spans="1:40" ht="14.25" hidden="1" thickTop="1" thickBot="1" x14ac:dyDescent="0.25">
      <c r="B241" s="100"/>
      <c r="C241" s="100"/>
      <c r="D241" s="100"/>
      <c r="E241" s="100"/>
      <c r="F241" s="376" t="s">
        <v>1320</v>
      </c>
      <c r="G241" s="97"/>
      <c r="H241" s="378"/>
      <c r="I241" s="639"/>
      <c r="R241" s="97" t="s">
        <v>1321</v>
      </c>
      <c r="S241" s="108"/>
      <c r="T241" s="634"/>
      <c r="U241" s="634"/>
      <c r="V241" s="634"/>
      <c r="AC241" s="876" t="s">
        <v>1322</v>
      </c>
      <c r="AD241" s="634"/>
      <c r="AE241" s="634"/>
      <c r="AF241" s="634"/>
      <c r="AG241" s="634"/>
      <c r="AH241" s="634"/>
      <c r="AI241" s="634"/>
      <c r="AJ241" s="634"/>
      <c r="AK241" s="634"/>
      <c r="AL241" s="634"/>
      <c r="AM241" s="639"/>
    </row>
    <row r="242" spans="1:40" ht="13.5" hidden="1" thickTop="1" x14ac:dyDescent="0.2">
      <c r="B242" s="261"/>
      <c r="C242" s="262"/>
      <c r="D242" s="353" t="s">
        <v>25</v>
      </c>
      <c r="E242" s="353" t="s">
        <v>235</v>
      </c>
      <c r="F242" s="353" t="s">
        <v>236</v>
      </c>
      <c r="G242" s="97" t="s">
        <v>293</v>
      </c>
      <c r="H242" s="353" t="s">
        <v>294</v>
      </c>
      <c r="I242" s="707"/>
      <c r="R242" s="97" t="s">
        <v>576</v>
      </c>
      <c r="S242" s="97" t="s">
        <v>577</v>
      </c>
      <c r="T242" s="353" t="s">
        <v>578</v>
      </c>
      <c r="U242" s="353" t="s">
        <v>579</v>
      </c>
      <c r="V242" s="353" t="s">
        <v>580</v>
      </c>
      <c r="AC242" s="353" t="s">
        <v>825</v>
      </c>
      <c r="AD242" s="353" t="s">
        <v>826</v>
      </c>
      <c r="AE242" s="353" t="s">
        <v>827</v>
      </c>
      <c r="AF242" s="353" t="s">
        <v>828</v>
      </c>
      <c r="AG242" s="353" t="s">
        <v>829</v>
      </c>
      <c r="AH242" s="353" t="s">
        <v>830</v>
      </c>
      <c r="AI242" s="353" t="s">
        <v>831</v>
      </c>
      <c r="AJ242" s="353" t="s">
        <v>1323</v>
      </c>
      <c r="AK242" s="353" t="s">
        <v>1324</v>
      </c>
      <c r="AL242" s="353" t="s">
        <v>1325</v>
      </c>
      <c r="AM242" s="293" t="s">
        <v>1326</v>
      </c>
    </row>
    <row r="243" spans="1:40" ht="51" hidden="1" x14ac:dyDescent="0.2">
      <c r="B243" s="355" t="s">
        <v>1418</v>
      </c>
      <c r="C243" s="201" t="s">
        <v>238</v>
      </c>
      <c r="D243" s="201"/>
      <c r="E243" s="201" t="s">
        <v>799</v>
      </c>
      <c r="F243" s="201" t="s">
        <v>1328</v>
      </c>
      <c r="G243" s="97" t="s">
        <v>1329</v>
      </c>
      <c r="H243" s="201" t="s">
        <v>302</v>
      </c>
      <c r="I243" s="709"/>
      <c r="R243" s="97" t="s">
        <v>1330</v>
      </c>
      <c r="S243" s="97" t="s">
        <v>387</v>
      </c>
      <c r="T243" s="201" t="s">
        <v>303</v>
      </c>
      <c r="U243" s="201" t="s">
        <v>304</v>
      </c>
      <c r="V243" s="201" t="s">
        <v>305</v>
      </c>
      <c r="AC243" s="201" t="s">
        <v>1005</v>
      </c>
      <c r="AD243" s="201" t="s">
        <v>1006</v>
      </c>
      <c r="AE243" s="201" t="s">
        <v>1007</v>
      </c>
      <c r="AF243" s="201" t="s">
        <v>590</v>
      </c>
      <c r="AG243" s="201" t="s">
        <v>1008</v>
      </c>
      <c r="AH243" s="201" t="s">
        <v>1265</v>
      </c>
      <c r="AI243" s="201" t="s">
        <v>1266</v>
      </c>
      <c r="AJ243" s="201" t="s">
        <v>1267</v>
      </c>
      <c r="AK243" s="201" t="s">
        <v>599</v>
      </c>
      <c r="AL243" s="201" t="s">
        <v>1268</v>
      </c>
      <c r="AM243" s="202" t="s">
        <v>1269</v>
      </c>
    </row>
    <row r="244" spans="1:40" ht="13.5" hidden="1" thickBot="1" x14ac:dyDescent="0.25">
      <c r="B244" s="265"/>
      <c r="C244" s="278" t="s">
        <v>242</v>
      </c>
      <c r="D244" s="278"/>
      <c r="E244" s="278" t="s">
        <v>243</v>
      </c>
      <c r="F244" s="278" t="s">
        <v>243</v>
      </c>
      <c r="G244" s="97" t="s">
        <v>243</v>
      </c>
      <c r="H244" s="278" t="s">
        <v>243</v>
      </c>
      <c r="I244" s="711"/>
      <c r="R244" s="97" t="s">
        <v>243</v>
      </c>
      <c r="S244" s="97" t="s">
        <v>243</v>
      </c>
      <c r="T244" s="278" t="s">
        <v>243</v>
      </c>
      <c r="U244" s="278" t="s">
        <v>243</v>
      </c>
      <c r="V244" s="278" t="s">
        <v>243</v>
      </c>
      <c r="AC244" s="278" t="s">
        <v>243</v>
      </c>
      <c r="AD244" s="278" t="s">
        <v>243</v>
      </c>
      <c r="AE244" s="278" t="s">
        <v>243</v>
      </c>
      <c r="AF244" s="278" t="s">
        <v>243</v>
      </c>
      <c r="AG244" s="278" t="s">
        <v>243</v>
      </c>
      <c r="AH244" s="278" t="s">
        <v>243</v>
      </c>
      <c r="AI244" s="278" t="s">
        <v>243</v>
      </c>
      <c r="AJ244" s="278" t="s">
        <v>243</v>
      </c>
      <c r="AK244" s="278" t="s">
        <v>243</v>
      </c>
      <c r="AL244" s="278" t="s">
        <v>243</v>
      </c>
      <c r="AM244" s="294" t="s">
        <v>243</v>
      </c>
    </row>
    <row r="245" spans="1:40" hidden="1" x14ac:dyDescent="0.2">
      <c r="A245" s="99"/>
      <c r="B245" s="102"/>
      <c r="C245" s="102"/>
      <c r="D245" s="99"/>
      <c r="E245" s="99"/>
      <c r="F245" s="99"/>
      <c r="H245" s="99"/>
      <c r="I245" s="99"/>
      <c r="T245" s="99"/>
      <c r="U245" s="99"/>
      <c r="V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</row>
    <row r="246" spans="1:40" ht="21.95" hidden="1" customHeight="1" x14ac:dyDescent="0.2">
      <c r="B246" s="785" t="s">
        <v>1409</v>
      </c>
      <c r="C246" s="932">
        <v>1720</v>
      </c>
      <c r="D246" s="931" t="s">
        <v>248</v>
      </c>
      <c r="E246" s="691"/>
      <c r="F246" s="691"/>
      <c r="H246" s="321"/>
      <c r="I246" s="321"/>
      <c r="T246" s="321"/>
      <c r="U246" s="321"/>
      <c r="V246" s="622"/>
      <c r="AC246" s="422"/>
      <c r="AD246" s="422"/>
      <c r="AE246" s="422"/>
      <c r="AF246" s="422"/>
      <c r="AG246" s="422"/>
      <c r="AH246" s="422"/>
      <c r="AI246" s="422"/>
      <c r="AJ246" s="422"/>
      <c r="AK246" s="422"/>
      <c r="AL246" s="422"/>
      <c r="AM246" s="898"/>
    </row>
    <row r="247" spans="1:40" ht="21.95" hidden="1" customHeight="1" x14ac:dyDescent="0.2">
      <c r="B247" s="657" t="s">
        <v>1410</v>
      </c>
      <c r="C247" s="817">
        <v>1730</v>
      </c>
      <c r="D247" s="816" t="s">
        <v>248</v>
      </c>
      <c r="E247" s="561"/>
      <c r="F247" s="561"/>
      <c r="H247" s="324"/>
      <c r="I247" s="324"/>
      <c r="T247" s="324"/>
      <c r="U247" s="324"/>
      <c r="V247" s="334"/>
      <c r="AC247" s="324"/>
      <c r="AD247" s="324"/>
      <c r="AE247" s="324"/>
      <c r="AF247" s="324"/>
      <c r="AG247" s="228"/>
      <c r="AH247" s="324"/>
      <c r="AI247" s="324"/>
      <c r="AJ247" s="324"/>
      <c r="AK247" s="324"/>
      <c r="AL247" s="324"/>
      <c r="AM247" s="297"/>
    </row>
    <row r="248" spans="1:40" ht="30" hidden="1" customHeight="1" x14ac:dyDescent="0.2">
      <c r="B248" s="336" t="s">
        <v>1419</v>
      </c>
      <c r="C248" s="817">
        <v>1740</v>
      </c>
      <c r="D248" s="816" t="s">
        <v>248</v>
      </c>
      <c r="E248" s="224">
        <f>SUM(E246:E247)</f>
        <v>0</v>
      </c>
      <c r="F248" s="224">
        <f>SUM(F246:F247)</f>
        <v>0</v>
      </c>
      <c r="H248" s="224">
        <f>SUM(F246:F247)-V248</f>
        <v>0</v>
      </c>
      <c r="I248" s="324"/>
      <c r="T248" s="324"/>
      <c r="U248" s="324"/>
      <c r="V248" s="598"/>
      <c r="AC248" s="224">
        <f t="shared" ref="AC248:AM248" si="13">SUM(AC246:AC247)</f>
        <v>0</v>
      </c>
      <c r="AD248" s="224">
        <f t="shared" si="13"/>
        <v>0</v>
      </c>
      <c r="AE248" s="224">
        <f t="shared" si="13"/>
        <v>0</v>
      </c>
      <c r="AF248" s="224">
        <f t="shared" si="13"/>
        <v>0</v>
      </c>
      <c r="AG248" s="224">
        <f t="shared" si="13"/>
        <v>0</v>
      </c>
      <c r="AH248" s="224">
        <f t="shared" si="13"/>
        <v>0</v>
      </c>
      <c r="AI248" s="224">
        <f t="shared" si="13"/>
        <v>0</v>
      </c>
      <c r="AJ248" s="224">
        <f t="shared" si="13"/>
        <v>0</v>
      </c>
      <c r="AK248" s="224">
        <f t="shared" si="13"/>
        <v>0</v>
      </c>
      <c r="AL248" s="224">
        <f t="shared" si="13"/>
        <v>0</v>
      </c>
      <c r="AM248" s="227">
        <f t="shared" si="13"/>
        <v>0</v>
      </c>
    </row>
    <row r="249" spans="1:40" ht="21.95" hidden="1" customHeight="1" x14ac:dyDescent="0.2">
      <c r="B249" s="657" t="s">
        <v>1412</v>
      </c>
      <c r="C249" s="817">
        <v>1750</v>
      </c>
      <c r="D249" s="816" t="s">
        <v>248</v>
      </c>
      <c r="E249" s="561"/>
      <c r="F249" s="561"/>
      <c r="H249" s="324"/>
      <c r="I249" s="324"/>
      <c r="T249" s="324"/>
      <c r="U249" s="324"/>
      <c r="V249" s="334"/>
      <c r="AC249" s="561"/>
      <c r="AD249" s="561"/>
      <c r="AE249" s="561"/>
      <c r="AF249" s="561"/>
      <c r="AG249" s="561"/>
      <c r="AH249" s="561"/>
      <c r="AI249" s="561"/>
      <c r="AJ249" s="561"/>
      <c r="AK249" s="561"/>
      <c r="AL249" s="561"/>
      <c r="AM249" s="331"/>
    </row>
    <row r="250" spans="1:40" ht="21.95" hidden="1" customHeight="1" x14ac:dyDescent="0.2">
      <c r="B250" s="657" t="s">
        <v>1413</v>
      </c>
      <c r="C250" s="817">
        <v>1755</v>
      </c>
      <c r="D250" s="936" t="s">
        <v>248</v>
      </c>
      <c r="E250" s="561"/>
      <c r="F250" s="561"/>
      <c r="H250" s="324"/>
      <c r="I250" s="324"/>
      <c r="T250" s="324"/>
      <c r="U250" s="324"/>
      <c r="V250" s="334"/>
      <c r="AC250" s="324"/>
      <c r="AD250" s="324"/>
      <c r="AE250" s="324"/>
      <c r="AF250" s="324"/>
      <c r="AG250" s="228"/>
      <c r="AH250" s="324"/>
      <c r="AI250" s="324"/>
      <c r="AJ250" s="324"/>
      <c r="AK250" s="324"/>
      <c r="AL250" s="324"/>
      <c r="AM250" s="297"/>
    </row>
    <row r="251" spans="1:40" ht="30" hidden="1" customHeight="1" x14ac:dyDescent="0.2">
      <c r="B251" s="336" t="s">
        <v>1420</v>
      </c>
      <c r="C251" s="817">
        <v>1760</v>
      </c>
      <c r="D251" s="816" t="s">
        <v>248</v>
      </c>
      <c r="E251" s="224">
        <f>SUM(E249:E250)</f>
        <v>0</v>
      </c>
      <c r="F251" s="224">
        <f>SUM(F249:F250)</f>
        <v>0</v>
      </c>
      <c r="H251" s="224">
        <f>SUM(F249:F250)-V251</f>
        <v>0</v>
      </c>
      <c r="I251" s="324"/>
      <c r="T251" s="324"/>
      <c r="U251" s="324"/>
      <c r="V251" s="598"/>
      <c r="AC251" s="224">
        <f t="shared" ref="AC251:AM251" si="14">SUM(AC249:AC250)</f>
        <v>0</v>
      </c>
      <c r="AD251" s="224">
        <f t="shared" si="14"/>
        <v>0</v>
      </c>
      <c r="AE251" s="224">
        <f t="shared" si="14"/>
        <v>0</v>
      </c>
      <c r="AF251" s="224">
        <f t="shared" si="14"/>
        <v>0</v>
      </c>
      <c r="AG251" s="224">
        <f t="shared" si="14"/>
        <v>0</v>
      </c>
      <c r="AH251" s="224">
        <f t="shared" si="14"/>
        <v>0</v>
      </c>
      <c r="AI251" s="224">
        <f t="shared" si="14"/>
        <v>0</v>
      </c>
      <c r="AJ251" s="224">
        <f t="shared" si="14"/>
        <v>0</v>
      </c>
      <c r="AK251" s="224">
        <f t="shared" si="14"/>
        <v>0</v>
      </c>
      <c r="AL251" s="224">
        <f t="shared" si="14"/>
        <v>0</v>
      </c>
      <c r="AM251" s="227">
        <f t="shared" si="14"/>
        <v>0</v>
      </c>
    </row>
    <row r="252" spans="1:40" ht="21.95" hidden="1" customHeight="1" x14ac:dyDescent="0.2">
      <c r="B252" s="657" t="s">
        <v>1415</v>
      </c>
      <c r="C252" s="817">
        <v>1770</v>
      </c>
      <c r="D252" s="816" t="s">
        <v>248</v>
      </c>
      <c r="E252" s="561"/>
      <c r="F252" s="561"/>
      <c r="H252" s="324"/>
      <c r="I252" s="324"/>
      <c r="T252" s="324"/>
      <c r="U252" s="324"/>
      <c r="V252" s="334"/>
      <c r="AC252" s="561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331"/>
    </row>
    <row r="253" spans="1:40" ht="21.95" hidden="1" customHeight="1" x14ac:dyDescent="0.2">
      <c r="B253" s="657" t="s">
        <v>1416</v>
      </c>
      <c r="C253" s="934">
        <v>1780</v>
      </c>
      <c r="D253" s="935" t="s">
        <v>248</v>
      </c>
      <c r="E253" s="809"/>
      <c r="F253" s="809"/>
      <c r="H253" s="258"/>
      <c r="I253" s="258"/>
      <c r="T253" s="258"/>
      <c r="U253" s="258"/>
      <c r="V253" s="330"/>
      <c r="AC253" s="258"/>
      <c r="AD253" s="258"/>
      <c r="AE253" s="258"/>
      <c r="AF253" s="258"/>
      <c r="AG253" s="396"/>
      <c r="AH253" s="258"/>
      <c r="AI253" s="258"/>
      <c r="AJ253" s="258"/>
      <c r="AK253" s="258"/>
      <c r="AL253" s="258"/>
      <c r="AM253" s="297"/>
    </row>
    <row r="254" spans="1:40" ht="30" hidden="1" customHeight="1" thickBot="1" x14ac:dyDescent="0.25">
      <c r="B254" s="1096" t="s">
        <v>1421</v>
      </c>
      <c r="C254" s="924">
        <v>1790</v>
      </c>
      <c r="D254" s="923" t="s">
        <v>248</v>
      </c>
      <c r="E254" s="240">
        <f>SUM(E252:E253)</f>
        <v>0</v>
      </c>
      <c r="F254" s="240">
        <f>SUM(F252:F253)</f>
        <v>0</v>
      </c>
      <c r="H254" s="240">
        <f>SUM(F252:F253)-V254</f>
        <v>0</v>
      </c>
      <c r="I254" s="340"/>
      <c r="T254" s="340"/>
      <c r="U254" s="340"/>
      <c r="V254" s="943"/>
      <c r="AC254" s="240">
        <f t="shared" ref="AC254:AM254" si="15">SUM(AC252:AC253)</f>
        <v>0</v>
      </c>
      <c r="AD254" s="240">
        <f t="shared" si="15"/>
        <v>0</v>
      </c>
      <c r="AE254" s="240">
        <f t="shared" si="15"/>
        <v>0</v>
      </c>
      <c r="AF254" s="240">
        <f t="shared" si="15"/>
        <v>0</v>
      </c>
      <c r="AG254" s="240">
        <f t="shared" si="15"/>
        <v>0</v>
      </c>
      <c r="AH254" s="240">
        <f t="shared" si="15"/>
        <v>0</v>
      </c>
      <c r="AI254" s="240">
        <f t="shared" si="15"/>
        <v>0</v>
      </c>
      <c r="AJ254" s="240">
        <f t="shared" si="15"/>
        <v>0</v>
      </c>
      <c r="AK254" s="240">
        <f t="shared" si="15"/>
        <v>0</v>
      </c>
      <c r="AL254" s="240">
        <f t="shared" si="15"/>
        <v>0</v>
      </c>
      <c r="AM254" s="241">
        <f t="shared" si="15"/>
        <v>0</v>
      </c>
    </row>
    <row r="255" spans="1:40" ht="13.5" hidden="1" thickTop="1" x14ac:dyDescent="0.2"/>
    <row r="256" spans="1:40" hidden="1" x14ac:dyDescent="0.2"/>
    <row r="257" spans="2:39" hidden="1" x14ac:dyDescent="0.2"/>
    <row r="258" spans="2:39" ht="13.5" hidden="1" thickBot="1" x14ac:dyDescent="0.25"/>
    <row r="259" spans="2:39" ht="13.5" hidden="1" thickTop="1" x14ac:dyDescent="0.2">
      <c r="B259" s="261"/>
      <c r="C259" s="262"/>
      <c r="D259" s="353" t="s">
        <v>25</v>
      </c>
      <c r="E259" s="353" t="s">
        <v>235</v>
      </c>
      <c r="F259" s="353" t="s">
        <v>236</v>
      </c>
      <c r="G259" s="97" t="s">
        <v>293</v>
      </c>
      <c r="H259" s="353" t="s">
        <v>294</v>
      </c>
      <c r="I259" s="707"/>
      <c r="R259" s="97" t="s">
        <v>576</v>
      </c>
      <c r="S259" s="97" t="s">
        <v>577</v>
      </c>
      <c r="T259" s="353" t="s">
        <v>578</v>
      </c>
      <c r="U259" s="353" t="s">
        <v>579</v>
      </c>
      <c r="V259" s="353" t="s">
        <v>580</v>
      </c>
      <c r="AC259" s="353" t="s">
        <v>825</v>
      </c>
      <c r="AD259" s="353" t="s">
        <v>826</v>
      </c>
      <c r="AE259" s="353" t="s">
        <v>827</v>
      </c>
      <c r="AF259" s="353" t="s">
        <v>828</v>
      </c>
      <c r="AG259" s="353" t="s">
        <v>829</v>
      </c>
      <c r="AH259" s="353" t="s">
        <v>830</v>
      </c>
      <c r="AI259" s="353" t="s">
        <v>831</v>
      </c>
      <c r="AJ259" s="353" t="s">
        <v>1323</v>
      </c>
      <c r="AK259" s="353" t="s">
        <v>1324</v>
      </c>
      <c r="AL259" s="353" t="s">
        <v>1325</v>
      </c>
      <c r="AM259" s="293" t="s">
        <v>1326</v>
      </c>
    </row>
    <row r="260" spans="2:39" ht="51" hidden="1" x14ac:dyDescent="0.2">
      <c r="B260" s="355" t="s">
        <v>1422</v>
      </c>
      <c r="C260" s="201" t="s">
        <v>238</v>
      </c>
      <c r="D260" s="201"/>
      <c r="E260" s="201" t="s">
        <v>799</v>
      </c>
      <c r="F260" s="201" t="s">
        <v>1328</v>
      </c>
      <c r="G260" s="97" t="s">
        <v>1329</v>
      </c>
      <c r="H260" s="201" t="s">
        <v>302</v>
      </c>
      <c r="I260" s="709"/>
      <c r="R260" s="97" t="s">
        <v>1330</v>
      </c>
      <c r="S260" s="97" t="s">
        <v>387</v>
      </c>
      <c r="T260" s="201" t="s">
        <v>303</v>
      </c>
      <c r="U260" s="201" t="s">
        <v>304</v>
      </c>
      <c r="V260" s="201" t="s">
        <v>305</v>
      </c>
      <c r="AC260" s="201" t="s">
        <v>1005</v>
      </c>
      <c r="AD260" s="201" t="s">
        <v>1006</v>
      </c>
      <c r="AE260" s="201" t="s">
        <v>1007</v>
      </c>
      <c r="AF260" s="201" t="s">
        <v>590</v>
      </c>
      <c r="AG260" s="201" t="s">
        <v>1008</v>
      </c>
      <c r="AH260" s="201" t="s">
        <v>1265</v>
      </c>
      <c r="AI260" s="201" t="s">
        <v>1266</v>
      </c>
      <c r="AJ260" s="201" t="s">
        <v>1267</v>
      </c>
      <c r="AK260" s="201" t="s">
        <v>599</v>
      </c>
      <c r="AL260" s="201" t="s">
        <v>1268</v>
      </c>
      <c r="AM260" s="202" t="s">
        <v>1269</v>
      </c>
    </row>
    <row r="261" spans="2:39" ht="13.5" hidden="1" thickBot="1" x14ac:dyDescent="0.25">
      <c r="B261" s="264"/>
      <c r="C261" s="278" t="s">
        <v>242</v>
      </c>
      <c r="D261" s="278"/>
      <c r="E261" s="278" t="s">
        <v>243</v>
      </c>
      <c r="F261" s="278" t="s">
        <v>243</v>
      </c>
      <c r="G261" s="97" t="s">
        <v>243</v>
      </c>
      <c r="H261" s="278" t="s">
        <v>243</v>
      </c>
      <c r="I261" s="711"/>
      <c r="R261" s="97" t="s">
        <v>243</v>
      </c>
      <c r="S261" s="97" t="s">
        <v>243</v>
      </c>
      <c r="T261" s="278" t="s">
        <v>243</v>
      </c>
      <c r="U261" s="278" t="s">
        <v>243</v>
      </c>
      <c r="V261" s="278" t="s">
        <v>243</v>
      </c>
      <c r="AC261" s="278" t="s">
        <v>243</v>
      </c>
      <c r="AD261" s="278" t="s">
        <v>243</v>
      </c>
      <c r="AE261" s="278" t="s">
        <v>243</v>
      </c>
      <c r="AF261" s="278" t="s">
        <v>243</v>
      </c>
      <c r="AG261" s="278" t="s">
        <v>243</v>
      </c>
      <c r="AH261" s="278" t="s">
        <v>243</v>
      </c>
      <c r="AI261" s="278" t="s">
        <v>243</v>
      </c>
      <c r="AJ261" s="278" t="s">
        <v>243</v>
      </c>
      <c r="AK261" s="278" t="s">
        <v>243</v>
      </c>
      <c r="AL261" s="278" t="s">
        <v>243</v>
      </c>
      <c r="AM261" s="202" t="s">
        <v>243</v>
      </c>
    </row>
    <row r="262" spans="2:39" ht="21.95" hidden="1" customHeight="1" x14ac:dyDescent="0.2">
      <c r="B262" s="314" t="s">
        <v>1248</v>
      </c>
      <c r="C262" s="316"/>
      <c r="D262" s="669"/>
      <c r="E262" s="317"/>
      <c r="F262" s="317"/>
      <c r="H262" s="317"/>
      <c r="I262" s="317"/>
      <c r="T262" s="317"/>
      <c r="U262" s="317"/>
      <c r="V262" s="317"/>
      <c r="AC262" s="317"/>
      <c r="AD262" s="317"/>
      <c r="AE262" s="317"/>
      <c r="AF262" s="317"/>
      <c r="AG262" s="317"/>
      <c r="AH262" s="317"/>
      <c r="AI262" s="317"/>
      <c r="AJ262" s="317"/>
      <c r="AK262" s="317"/>
      <c r="AL262" s="317"/>
      <c r="AM262" s="318"/>
    </row>
    <row r="263" spans="2:39" ht="21.95" hidden="1" customHeight="1" x14ac:dyDescent="0.2">
      <c r="B263" s="188" t="s">
        <v>1423</v>
      </c>
      <c r="C263" s="932">
        <v>1795</v>
      </c>
      <c r="D263" s="931" t="s">
        <v>248</v>
      </c>
      <c r="E263" s="422"/>
      <c r="F263" s="422"/>
      <c r="H263" s="321"/>
      <c r="I263" s="321"/>
      <c r="T263" s="321"/>
      <c r="U263" s="321"/>
      <c r="V263" s="321"/>
      <c r="AC263" s="422"/>
      <c r="AD263" s="422"/>
      <c r="AE263" s="422"/>
      <c r="AF263" s="422"/>
      <c r="AG263" s="321"/>
      <c r="AH263" s="422"/>
      <c r="AI263" s="422"/>
      <c r="AJ263" s="422"/>
      <c r="AK263" s="422"/>
      <c r="AL263" s="422"/>
      <c r="AM263" s="578"/>
    </row>
    <row r="264" spans="2:39" ht="21.95" hidden="1" customHeight="1" x14ac:dyDescent="0.2">
      <c r="B264" s="213" t="s">
        <v>1424</v>
      </c>
      <c r="C264" s="817">
        <v>1800</v>
      </c>
      <c r="D264" s="816" t="s">
        <v>248</v>
      </c>
      <c r="E264" s="228"/>
      <c r="F264" s="228"/>
      <c r="H264" s="324"/>
      <c r="I264" s="324"/>
      <c r="T264" s="324"/>
      <c r="U264" s="324"/>
      <c r="V264" s="334"/>
      <c r="AC264" s="324"/>
      <c r="AD264" s="324"/>
      <c r="AE264" s="324"/>
      <c r="AF264" s="324"/>
      <c r="AG264" s="228"/>
      <c r="AH264" s="324"/>
      <c r="AI264" s="324"/>
      <c r="AJ264" s="324"/>
      <c r="AK264" s="324"/>
      <c r="AL264" s="324"/>
      <c r="AM264" s="297"/>
    </row>
    <row r="265" spans="2:39" ht="21.95" hidden="1" customHeight="1" x14ac:dyDescent="0.2">
      <c r="B265" s="226" t="s">
        <v>1425</v>
      </c>
      <c r="C265" s="817">
        <v>1802</v>
      </c>
      <c r="D265" s="816" t="s">
        <v>248</v>
      </c>
      <c r="E265" s="224">
        <f>SUM(E263:E264)</f>
        <v>0</v>
      </c>
      <c r="F265" s="224">
        <f>SUM(F263:F264)</f>
        <v>0</v>
      </c>
      <c r="H265" s="224">
        <f>SUM(F263:F264)-V265</f>
        <v>0</v>
      </c>
      <c r="I265" s="324"/>
      <c r="T265" s="324"/>
      <c r="U265" s="324"/>
      <c r="V265" s="461"/>
      <c r="AC265" s="224">
        <f t="shared" ref="AC265:AM265" si="16">SUM(AC263:AC264)</f>
        <v>0</v>
      </c>
      <c r="AD265" s="224">
        <f t="shared" si="16"/>
        <v>0</v>
      </c>
      <c r="AE265" s="224">
        <f t="shared" si="16"/>
        <v>0</v>
      </c>
      <c r="AF265" s="224">
        <f t="shared" si="16"/>
        <v>0</v>
      </c>
      <c r="AG265" s="224">
        <f t="shared" si="16"/>
        <v>0</v>
      </c>
      <c r="AH265" s="224">
        <f t="shared" si="16"/>
        <v>0</v>
      </c>
      <c r="AI265" s="224">
        <f t="shared" si="16"/>
        <v>0</v>
      </c>
      <c r="AJ265" s="224">
        <f t="shared" si="16"/>
        <v>0</v>
      </c>
      <c r="AK265" s="224">
        <f t="shared" si="16"/>
        <v>0</v>
      </c>
      <c r="AL265" s="224">
        <f t="shared" si="16"/>
        <v>0</v>
      </c>
      <c r="AM265" s="227">
        <f t="shared" si="16"/>
        <v>0</v>
      </c>
    </row>
    <row r="266" spans="2:39" ht="21.95" hidden="1" customHeight="1" x14ac:dyDescent="0.2">
      <c r="B266" s="213" t="s">
        <v>1426</v>
      </c>
      <c r="C266" s="817">
        <v>1804</v>
      </c>
      <c r="D266" s="816" t="s">
        <v>248</v>
      </c>
      <c r="E266" s="228"/>
      <c r="F266" s="228"/>
      <c r="H266" s="324"/>
      <c r="I266" s="324"/>
      <c r="T266" s="324"/>
      <c r="U266" s="324"/>
      <c r="V266" s="324"/>
      <c r="AC266" s="228"/>
      <c r="AD266" s="228"/>
      <c r="AE266" s="228"/>
      <c r="AF266" s="228"/>
      <c r="AG266" s="324"/>
      <c r="AH266" s="228"/>
      <c r="AI266" s="228"/>
      <c r="AJ266" s="228"/>
      <c r="AK266" s="228"/>
      <c r="AL266" s="228"/>
      <c r="AM266" s="331"/>
    </row>
    <row r="267" spans="2:39" ht="21.95" hidden="1" customHeight="1" x14ac:dyDescent="0.2">
      <c r="B267" s="213" t="s">
        <v>1427</v>
      </c>
      <c r="C267" s="817">
        <v>1810</v>
      </c>
      <c r="D267" s="816" t="s">
        <v>248</v>
      </c>
      <c r="E267" s="228"/>
      <c r="F267" s="228"/>
      <c r="H267" s="324"/>
      <c r="I267" s="324"/>
      <c r="T267" s="324"/>
      <c r="U267" s="324"/>
      <c r="V267" s="334"/>
      <c r="AC267" s="324"/>
      <c r="AD267" s="324"/>
      <c r="AE267" s="324"/>
      <c r="AF267" s="324"/>
      <c r="AG267" s="228"/>
      <c r="AH267" s="324"/>
      <c r="AI267" s="324"/>
      <c r="AJ267" s="324"/>
      <c r="AK267" s="324"/>
      <c r="AL267" s="324"/>
      <c r="AM267" s="297"/>
    </row>
    <row r="268" spans="2:39" ht="21.95" hidden="1" customHeight="1" thickBot="1" x14ac:dyDescent="0.25">
      <c r="B268" s="226" t="s">
        <v>1428</v>
      </c>
      <c r="C268" s="907">
        <v>1820</v>
      </c>
      <c r="D268" s="906" t="s">
        <v>248</v>
      </c>
      <c r="E268" s="834">
        <f>SUM(E266:E267)</f>
        <v>0</v>
      </c>
      <c r="F268" s="834">
        <f>SUM(F266:F267)</f>
        <v>0</v>
      </c>
      <c r="H268" s="834">
        <f>SUM(F266:F267)-V268</f>
        <v>0</v>
      </c>
      <c r="I268" s="360"/>
      <c r="T268" s="360"/>
      <c r="U268" s="360"/>
      <c r="V268" s="939"/>
      <c r="AC268" s="834">
        <f t="shared" ref="AC268:AM268" si="17">SUM(AC266:AC267)</f>
        <v>0</v>
      </c>
      <c r="AD268" s="834">
        <f t="shared" si="17"/>
        <v>0</v>
      </c>
      <c r="AE268" s="834">
        <f t="shared" si="17"/>
        <v>0</v>
      </c>
      <c r="AF268" s="834">
        <f t="shared" si="17"/>
        <v>0</v>
      </c>
      <c r="AG268" s="834">
        <f t="shared" si="17"/>
        <v>0</v>
      </c>
      <c r="AH268" s="834">
        <f t="shared" si="17"/>
        <v>0</v>
      </c>
      <c r="AI268" s="834">
        <f t="shared" si="17"/>
        <v>0</v>
      </c>
      <c r="AJ268" s="834">
        <f t="shared" si="17"/>
        <v>0</v>
      </c>
      <c r="AK268" s="834">
        <f t="shared" si="17"/>
        <v>0</v>
      </c>
      <c r="AL268" s="834">
        <f t="shared" si="17"/>
        <v>0</v>
      </c>
      <c r="AM268" s="227">
        <f t="shared" si="17"/>
        <v>0</v>
      </c>
    </row>
    <row r="269" spans="2:39" ht="21.95" hidden="1" customHeight="1" x14ac:dyDescent="0.2">
      <c r="B269" s="314" t="s">
        <v>1346</v>
      </c>
      <c r="C269" s="894"/>
      <c r="D269" s="669"/>
      <c r="E269" s="317"/>
      <c r="F269" s="317"/>
      <c r="H269" s="317"/>
      <c r="I269" s="317"/>
      <c r="T269" s="317"/>
      <c r="U269" s="317"/>
      <c r="V269" s="317"/>
      <c r="AC269" s="317"/>
      <c r="AD269" s="317"/>
      <c r="AE269" s="317"/>
      <c r="AF269" s="317"/>
      <c r="AG269" s="317"/>
      <c r="AH269" s="317"/>
      <c r="AI269" s="317"/>
      <c r="AJ269" s="317"/>
      <c r="AK269" s="317"/>
      <c r="AL269" s="317"/>
      <c r="AM269" s="318"/>
    </row>
    <row r="270" spans="2:39" ht="21.95" hidden="1" customHeight="1" x14ac:dyDescent="0.2">
      <c r="B270" s="188" t="s">
        <v>1423</v>
      </c>
      <c r="C270" s="932">
        <v>1825</v>
      </c>
      <c r="D270" s="931" t="s">
        <v>248</v>
      </c>
      <c r="E270" s="422"/>
      <c r="F270" s="422"/>
      <c r="H270" s="321"/>
      <c r="I270" s="321"/>
      <c r="T270" s="321"/>
      <c r="U270" s="321"/>
      <c r="V270" s="321"/>
      <c r="AC270" s="422"/>
      <c r="AD270" s="422"/>
      <c r="AE270" s="422"/>
      <c r="AF270" s="422"/>
      <c r="AG270" s="321"/>
      <c r="AH270" s="422"/>
      <c r="AI270" s="422"/>
      <c r="AJ270" s="422"/>
      <c r="AK270" s="422"/>
      <c r="AL270" s="422"/>
      <c r="AM270" s="578"/>
    </row>
    <row r="271" spans="2:39" ht="21.95" hidden="1" customHeight="1" x14ac:dyDescent="0.2">
      <c r="B271" s="213" t="s">
        <v>1424</v>
      </c>
      <c r="C271" s="817">
        <v>1830</v>
      </c>
      <c r="D271" s="816" t="s">
        <v>248</v>
      </c>
      <c r="E271" s="228"/>
      <c r="F271" s="228"/>
      <c r="H271" s="324"/>
      <c r="I271" s="324"/>
      <c r="T271" s="324"/>
      <c r="U271" s="324"/>
      <c r="V271" s="334"/>
      <c r="AC271" s="324"/>
      <c r="AD271" s="324"/>
      <c r="AE271" s="324"/>
      <c r="AF271" s="324"/>
      <c r="AG271" s="228"/>
      <c r="AH271" s="324"/>
      <c r="AI271" s="324"/>
      <c r="AJ271" s="324"/>
      <c r="AK271" s="324"/>
      <c r="AL271" s="324"/>
      <c r="AM271" s="297"/>
    </row>
    <row r="272" spans="2:39" ht="21.95" hidden="1" customHeight="1" x14ac:dyDescent="0.2">
      <c r="B272" s="226" t="s">
        <v>1429</v>
      </c>
      <c r="C272" s="817">
        <v>1832</v>
      </c>
      <c r="D272" s="816" t="s">
        <v>248</v>
      </c>
      <c r="E272" s="224">
        <f>SUM(E270:E271)</f>
        <v>0</v>
      </c>
      <c r="F272" s="224">
        <f>SUM(F270:F271)</f>
        <v>0</v>
      </c>
      <c r="H272" s="224">
        <f>SUM(F270:F271)-V272</f>
        <v>0</v>
      </c>
      <c r="I272" s="324"/>
      <c r="T272" s="324"/>
      <c r="U272" s="324"/>
      <c r="V272" s="461"/>
      <c r="AC272" s="224">
        <f t="shared" ref="AC272:AM272" si="18">SUM(AC270:AC271)</f>
        <v>0</v>
      </c>
      <c r="AD272" s="224">
        <f t="shared" si="18"/>
        <v>0</v>
      </c>
      <c r="AE272" s="224">
        <f t="shared" si="18"/>
        <v>0</v>
      </c>
      <c r="AF272" s="224">
        <f t="shared" si="18"/>
        <v>0</v>
      </c>
      <c r="AG272" s="224">
        <f t="shared" si="18"/>
        <v>0</v>
      </c>
      <c r="AH272" s="224">
        <f t="shared" si="18"/>
        <v>0</v>
      </c>
      <c r="AI272" s="224">
        <f t="shared" si="18"/>
        <v>0</v>
      </c>
      <c r="AJ272" s="224">
        <f t="shared" si="18"/>
        <v>0</v>
      </c>
      <c r="AK272" s="224">
        <f t="shared" si="18"/>
        <v>0</v>
      </c>
      <c r="AL272" s="224">
        <f t="shared" si="18"/>
        <v>0</v>
      </c>
      <c r="AM272" s="227">
        <f t="shared" si="18"/>
        <v>0</v>
      </c>
    </row>
    <row r="273" spans="1:40" ht="21.95" hidden="1" customHeight="1" x14ac:dyDescent="0.2">
      <c r="B273" s="213" t="s">
        <v>1426</v>
      </c>
      <c r="C273" s="817">
        <v>1834</v>
      </c>
      <c r="D273" s="816" t="s">
        <v>248</v>
      </c>
      <c r="E273" s="228"/>
      <c r="F273" s="228"/>
      <c r="H273" s="324"/>
      <c r="I273" s="324"/>
      <c r="T273" s="324"/>
      <c r="U273" s="324"/>
      <c r="V273" s="324"/>
      <c r="AC273" s="228"/>
      <c r="AD273" s="228"/>
      <c r="AE273" s="228"/>
      <c r="AF273" s="228"/>
      <c r="AG273" s="324"/>
      <c r="AH273" s="228"/>
      <c r="AI273" s="228"/>
      <c r="AJ273" s="228"/>
      <c r="AK273" s="228"/>
      <c r="AL273" s="228"/>
      <c r="AM273" s="331"/>
    </row>
    <row r="274" spans="1:40" ht="21.95" hidden="1" customHeight="1" x14ac:dyDescent="0.2">
      <c r="B274" s="213" t="s">
        <v>1427</v>
      </c>
      <c r="C274" s="934">
        <v>1840</v>
      </c>
      <c r="D274" s="935" t="s">
        <v>248</v>
      </c>
      <c r="E274" s="396"/>
      <c r="F274" s="396"/>
      <c r="H274" s="258"/>
      <c r="I274" s="258"/>
      <c r="T274" s="258"/>
      <c r="U274" s="258"/>
      <c r="V274" s="330"/>
      <c r="AC274" s="258"/>
      <c r="AD274" s="258"/>
      <c r="AE274" s="258"/>
      <c r="AF274" s="258"/>
      <c r="AG274" s="396"/>
      <c r="AH274" s="258"/>
      <c r="AI274" s="258"/>
      <c r="AJ274" s="258"/>
      <c r="AK274" s="258"/>
      <c r="AL274" s="258"/>
      <c r="AM274" s="297"/>
    </row>
    <row r="275" spans="1:40" ht="21.95" hidden="1" customHeight="1" thickBot="1" x14ac:dyDescent="0.25">
      <c r="B275" s="233" t="s">
        <v>1430</v>
      </c>
      <c r="C275" s="924">
        <v>1850</v>
      </c>
      <c r="D275" s="923" t="s">
        <v>248</v>
      </c>
      <c r="E275" s="240">
        <f>SUM(E273:E274)</f>
        <v>0</v>
      </c>
      <c r="F275" s="240">
        <f>SUM(F273:F274)</f>
        <v>0</v>
      </c>
      <c r="H275" s="240">
        <f>SUM(F273:F274)-V275</f>
        <v>0</v>
      </c>
      <c r="I275" s="340"/>
      <c r="T275" s="340"/>
      <c r="U275" s="340"/>
      <c r="V275" s="464"/>
      <c r="AC275" s="240">
        <f t="shared" ref="AC275:AM275" si="19">SUM(AC273:AC274)</f>
        <v>0</v>
      </c>
      <c r="AD275" s="240">
        <f t="shared" si="19"/>
        <v>0</v>
      </c>
      <c r="AE275" s="240">
        <f t="shared" si="19"/>
        <v>0</v>
      </c>
      <c r="AF275" s="240">
        <f t="shared" si="19"/>
        <v>0</v>
      </c>
      <c r="AG275" s="240">
        <f t="shared" si="19"/>
        <v>0</v>
      </c>
      <c r="AH275" s="240">
        <f t="shared" si="19"/>
        <v>0</v>
      </c>
      <c r="AI275" s="240">
        <f t="shared" si="19"/>
        <v>0</v>
      </c>
      <c r="AJ275" s="240">
        <f t="shared" si="19"/>
        <v>0</v>
      </c>
      <c r="AK275" s="240">
        <f t="shared" si="19"/>
        <v>0</v>
      </c>
      <c r="AL275" s="240">
        <f t="shared" si="19"/>
        <v>0</v>
      </c>
      <c r="AM275" s="241">
        <f t="shared" si="19"/>
        <v>0</v>
      </c>
    </row>
    <row r="276" spans="1:40" ht="13.5" hidden="1" thickTop="1" x14ac:dyDescent="0.2"/>
    <row r="277" spans="1:40" hidden="1" x14ac:dyDescent="0.2"/>
    <row r="278" spans="1:40" hidden="1" x14ac:dyDescent="0.2">
      <c r="A278" s="99"/>
      <c r="B278" s="102"/>
      <c r="C278" s="102"/>
      <c r="D278" s="102" t="s">
        <v>25</v>
      </c>
      <c r="E278" s="102" t="s">
        <v>235</v>
      </c>
      <c r="F278" s="102" t="s">
        <v>236</v>
      </c>
      <c r="H278" s="102" t="s">
        <v>294</v>
      </c>
      <c r="I278" s="102"/>
      <c r="T278" s="102" t="s">
        <v>578</v>
      </c>
      <c r="U278" s="102" t="s">
        <v>579</v>
      </c>
      <c r="V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</row>
    <row r="279" spans="1:40" hidden="1" x14ac:dyDescent="0.2">
      <c r="A279" s="99"/>
      <c r="B279" s="102" t="s">
        <v>1431</v>
      </c>
      <c r="C279" s="102" t="s">
        <v>238</v>
      </c>
      <c r="D279" s="102"/>
      <c r="E279" s="102" t="s">
        <v>1432</v>
      </c>
      <c r="F279" s="102" t="s">
        <v>1433</v>
      </c>
      <c r="H279" s="102" t="s">
        <v>1434</v>
      </c>
      <c r="I279" s="102"/>
      <c r="T279" s="102" t="s">
        <v>1435</v>
      </c>
      <c r="U279" s="102" t="s">
        <v>1436</v>
      </c>
      <c r="V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</row>
    <row r="280" spans="1:40" hidden="1" x14ac:dyDescent="0.2">
      <c r="A280" s="99"/>
      <c r="B280" s="102"/>
      <c r="C280" s="102" t="s">
        <v>242</v>
      </c>
      <c r="D280" s="102"/>
      <c r="E280" s="102" t="s">
        <v>243</v>
      </c>
      <c r="F280" s="102" t="s">
        <v>243</v>
      </c>
      <c r="H280" s="102" t="s">
        <v>243</v>
      </c>
      <c r="I280" s="102"/>
      <c r="T280" s="102" t="s">
        <v>243</v>
      </c>
      <c r="U280" s="102" t="s">
        <v>243</v>
      </c>
      <c r="V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</row>
    <row r="281" spans="1:40" hidden="1" x14ac:dyDescent="0.2">
      <c r="A281" s="99"/>
      <c r="B281" s="99" t="s">
        <v>1437</v>
      </c>
      <c r="C281" s="102">
        <v>1900</v>
      </c>
      <c r="D281" s="99" t="s">
        <v>248</v>
      </c>
      <c r="E281" s="99"/>
      <c r="F281" s="99"/>
      <c r="H281" s="99"/>
      <c r="I281" s="99"/>
      <c r="T281" s="99"/>
      <c r="U281" s="99"/>
      <c r="V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</row>
    <row r="282" spans="1:40" hidden="1" x14ac:dyDescent="0.2">
      <c r="A282" s="99"/>
      <c r="B282" s="99" t="s">
        <v>1438</v>
      </c>
      <c r="C282" s="102">
        <v>1910</v>
      </c>
      <c r="D282" s="99" t="s">
        <v>248</v>
      </c>
      <c r="E282" s="99"/>
      <c r="F282" s="99"/>
      <c r="H282" s="99"/>
      <c r="I282" s="99"/>
      <c r="T282" s="99"/>
      <c r="U282" s="99"/>
      <c r="V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</row>
    <row r="283" spans="1:40" ht="13.5" thickTop="1" x14ac:dyDescent="0.2"/>
  </sheetData>
  <sheetProtection password="8EBD" sheet="1" objects="1" scenarios="1"/>
  <dataValidations count="3">
    <dataValidation type="decimal" allowBlank="1" showErrorMessage="1" errorTitle="Number Only" error="Error : This cell can only accept a numeric value with a max of 12 digits." sqref="G1 AC275:AM275 H275 E275:F275 V274:V275 AC272:AM272 H272 E272:F272 V271:V272 AC268:AM268 H268 E268:F268 V267:V268 AC265:AM265 H265 E265:F265 V264:V265 AC254:AM254 H254 E254:F254 V252:V253 AC251:AM251 H251 E251:F251 V249:V250 AC248:AM248 H248 E248:F248 V246:V247 AC238:AM238 H238 E238:F238 V236:V237 AI235:AM235 AC235:AG235 H235 E235:F235 AH234:AH235 V233:V234 AC232:AM232 H232 E232:F232 V230:V231 AC221:AM222 F204 E203:E205 V202 H202:H204 E194 F186:F194 E184 F183 E182:F182 E178:F178 V170 C143:D143 E140:F140 E137:F137 H135:H137 E135 AC134:AM134 T134:U134 H134:I134 E134:F134 AC130:AM131 T130:U131 H130:I131 F130 E128:E130 V127:V142 F127 A127:A129 A123:A125 C115:D115 AC114:AM114 H114 E114:F114 V112:V114 F101:F105 E100:F100 E97 A95 F92:F97 F89 E88 E82:E83 E78 F75:F78 I65 V61 AC58:AM59 E58:F59 E55 AG53:AM53 AE52:AF53 AH52:AM52 V51:V59 H51:H59 E49:F50 AM49:AM50 AG49:AG50 AL48 AI48:AJ48 AE48:AF48 AH47:AL47 AC47:AF47 AC46:AL46 F46:F47 AM45 V45:V49 E45:E47 AC43:AM43 E43:F43 E40 AH39 AG38:AK38 AH37:AK37 H36:H43 V35:V43 F35 E33:F34 AM33:AM34 AG33:AG34 AI32:AJ32 AH31:AL31 AC31:AF31 AC30:AL30 F30:F31 V29:V33 E29:E31 R1:S1">
      <formula1>-1000000000000</formula1>
      <formula2>1000000000000</formula2>
    </dataValidation>
    <dataValidation type="whole" allowBlank="1" showErrorMessage="1" errorTitle="Number Only" error="Error : This cell can only accept a numeric value with a max of 12 digits." sqref="B5 AM246 B204:D205 I204 C194:D194 B193 C144:D144 H143:I143 E143:F143 B141:B144 AG136:AM140 AC135:AF140 AH135:AM135 T135:U135 I135:I140 AC132:AM133 I132:I133 AC127:AM129 I127:I129 E115 B115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F29 AM274 AG274 E273:F274 AH273:AL273 AC273:AF273 AM271 AG271 E270:F271 AH270:AL270 AC270:AF270 AM267 AG267 E266:F267 AH266:AL266 AC266:AF266 AM264 AG264 E263:F264 AH263:AL263 AC263:AF263 AM253 AG253 E252:F253 AC252:AL252 AM250 AG250 E249:F250 AC249:AL249 AM247 AG247 E246:F247 AC246:AL246 AM237 AG237 E236:F237 AC236:AL236 AM234 AG234 E233:F234 AC233:AL233 AG231 E230:F231 AC230:AL230 AG203 F203 E202:F202 E186:E193 E183 I144 E141:E142 E138:F139 E136 AG135 F135:F136 E131:F133 I116 AC112:AM113 E112:F113 E101:E105 E92:E96 E89 E75:E77 I63:I64 E61 AH55:AM57 AC54:AG57 E56:E57 F55:F57 AI54:AM54 E51:F54 AG52 AC51:AM51 AM48 AG48 E48:F48 AC45:AL45 F45 AH40:AM42 AC39:AG42 E41:E42 AI39:AM39 AG37 AC36:AM36 F36:F42 E35:E39 AM32 AG32 E32:F32 AC29:AL29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28" fitToHeight="3" orientation="landscape" horizontalDpi="90" verticalDpi="90" r:id="rId1"/>
  <rowBreaks count="2" manualBreakCount="2">
    <brk id="105" max="54" man="1"/>
    <brk id="222" max="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"/>
  <sheetViews>
    <sheetView workbookViewId="0">
      <selection activeCell="A3" sqref="A3"/>
    </sheetView>
  </sheetViews>
  <sheetFormatPr defaultRowHeight="12.75" x14ac:dyDescent="0.2"/>
  <sheetData>
    <row r="1" spans="1:1" s="40" customFormat="1" x14ac:dyDescent="0.2"/>
    <row r="2" spans="1:1" s="40" customFormat="1" x14ac:dyDescent="0.2"/>
    <row r="3" spans="1:1" s="41" customFormat="1" x14ac:dyDescent="0.2">
      <c r="A3" s="40"/>
    </row>
    <row r="4" spans="1:1" s="41" customFormat="1" x14ac:dyDescent="0.2"/>
    <row r="5" spans="1:1" s="41" customForma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B282"/>
  <sheetViews>
    <sheetView topLeftCell="A133" zoomScale="70" zoomScaleNormal="70" workbookViewId="0">
      <pane xSplit="4" topLeftCell="E1" activePane="topRight" state="frozen"/>
      <selection pane="topRight" activeCell="BD64" sqref="BD64"/>
    </sheetView>
  </sheetViews>
  <sheetFormatPr defaultRowHeight="12.75" x14ac:dyDescent="0.2"/>
  <cols>
    <col min="1" max="1" width="5.5703125" customWidth="1"/>
    <col min="2" max="2" width="57.7109375" customWidth="1"/>
    <col min="3" max="4" width="10.140625" customWidth="1"/>
    <col min="5" max="5" width="14.85546875" customWidth="1"/>
    <col min="6" max="6" width="17.85546875" customWidth="1"/>
    <col min="7" max="7" width="3.7109375" hidden="1" customWidth="1"/>
    <col min="8" max="9" width="17" customWidth="1"/>
    <col min="10" max="16" width="2.85546875" hidden="1" customWidth="1"/>
    <col min="17" max="17" width="2.42578125" hidden="1" customWidth="1"/>
    <col min="18" max="21" width="2.85546875" hidden="1" customWidth="1"/>
    <col min="22" max="22" width="14.85546875" customWidth="1"/>
    <col min="23" max="23" width="3.140625" hidden="1" customWidth="1"/>
    <col min="24" max="27" width="1.85546875" hidden="1" customWidth="1"/>
    <col min="28" max="28" width="2.5703125" hidden="1" customWidth="1"/>
    <col min="29" max="39" width="14.85546875" hidden="1" customWidth="1"/>
    <col min="40" max="40" width="10.28515625" hidden="1" customWidth="1"/>
    <col min="41" max="54" width="2.5703125" hidden="1" customWidth="1"/>
    <col min="55" max="55" width="0" hidden="1" customWidth="1"/>
  </cols>
  <sheetData>
    <row r="1" spans="1:54" ht="15.75" x14ac:dyDescent="0.25">
      <c r="A1" s="1131" t="s">
        <v>3726</v>
      </c>
      <c r="B1" s="1139" t="str">
        <f>OrgName</f>
        <v>ZZZ NHS TRUST</v>
      </c>
      <c r="C1" s="1149"/>
      <c r="D1" s="1149"/>
      <c r="E1" s="1177" t="str">
        <f>HYPERLINK(CHAR(35)&amp;"1415TRU_Index_P13"&amp;"!A1","GoTo Index tab")</f>
        <v>GoTo Index tab</v>
      </c>
      <c r="G1" s="105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W1" s="686"/>
      <c r="X1" s="99"/>
      <c r="Y1" s="99"/>
      <c r="Z1" s="99"/>
      <c r="AA1" s="99"/>
      <c r="AB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</row>
    <row r="2" spans="1:54" x14ac:dyDescent="0.2">
      <c r="A2" s="1131" t="s">
        <v>3727</v>
      </c>
      <c r="B2" s="1137" t="str">
        <f>"Org Code: " &amp; Orgcode</f>
        <v>Org Code: ZZZ</v>
      </c>
      <c r="C2" s="1148"/>
      <c r="D2" s="1148"/>
      <c r="E2" s="1135"/>
    </row>
    <row r="3" spans="1:54" x14ac:dyDescent="0.2">
      <c r="A3" s="1131" t="s">
        <v>3744</v>
      </c>
      <c r="B3" s="1138" t="s">
        <v>3725</v>
      </c>
      <c r="C3" s="1150"/>
      <c r="D3" s="1150"/>
      <c r="E3" s="1136"/>
    </row>
    <row r="4" spans="1:54" x14ac:dyDescent="0.2">
      <c r="B4" s="102" t="s">
        <v>1442</v>
      </c>
    </row>
    <row r="5" spans="1:54" ht="13.5" thickBot="1" x14ac:dyDescent="0.25">
      <c r="B5" s="103" t="s">
        <v>66</v>
      </c>
      <c r="C5" s="157"/>
      <c r="D5" s="157"/>
    </row>
    <row r="6" spans="1:54" ht="14.25" thickTop="1" thickBot="1" x14ac:dyDescent="0.25">
      <c r="C6" s="157"/>
      <c r="D6" s="157"/>
      <c r="E6" s="376" t="s">
        <v>1320</v>
      </c>
      <c r="F6" s="377"/>
      <c r="H6" s="377"/>
      <c r="I6" s="634"/>
      <c r="R6" s="97"/>
      <c r="V6" s="381"/>
      <c r="AC6" s="376" t="s">
        <v>1443</v>
      </c>
      <c r="AD6" s="377"/>
      <c r="AE6" s="634"/>
      <c r="AF6" s="377"/>
      <c r="AG6" s="377"/>
      <c r="AH6" s="377"/>
      <c r="AI6" s="377"/>
      <c r="AJ6" s="377"/>
      <c r="AK6" s="377"/>
      <c r="AL6" s="377"/>
      <c r="AM6" s="381"/>
    </row>
    <row r="7" spans="1:54" ht="13.5" thickTop="1" x14ac:dyDescent="0.2">
      <c r="B7" s="242"/>
      <c r="C7" s="195"/>
      <c r="D7" s="195" t="s">
        <v>25</v>
      </c>
      <c r="E7" s="353" t="s">
        <v>235</v>
      </c>
      <c r="F7" s="353" t="s">
        <v>236</v>
      </c>
      <c r="G7" s="97"/>
      <c r="H7" s="353" t="s">
        <v>294</v>
      </c>
      <c r="I7" s="353" t="s">
        <v>298</v>
      </c>
      <c r="R7" s="97"/>
      <c r="S7" s="97"/>
      <c r="T7" s="97"/>
      <c r="U7" s="97"/>
      <c r="V7" s="293" t="s">
        <v>580</v>
      </c>
      <c r="W7" s="97"/>
      <c r="AC7" s="353" t="s">
        <v>823</v>
      </c>
      <c r="AD7" s="353" t="s">
        <v>824</v>
      </c>
      <c r="AE7" s="353" t="s">
        <v>825</v>
      </c>
      <c r="AF7" s="353" t="s">
        <v>826</v>
      </c>
      <c r="AG7" s="353" t="s">
        <v>827</v>
      </c>
      <c r="AH7" s="353" t="s">
        <v>828</v>
      </c>
      <c r="AI7" s="353" t="s">
        <v>829</v>
      </c>
      <c r="AJ7" s="353" t="s">
        <v>830</v>
      </c>
      <c r="AK7" s="353" t="s">
        <v>831</v>
      </c>
      <c r="AL7" s="353" t="s">
        <v>1323</v>
      </c>
      <c r="AM7" s="293" t="s">
        <v>1324</v>
      </c>
    </row>
    <row r="8" spans="1:54" ht="63.75" x14ac:dyDescent="0.2">
      <c r="B8" s="198"/>
      <c r="C8" s="199" t="s">
        <v>238</v>
      </c>
      <c r="D8" s="199"/>
      <c r="E8" s="201" t="s">
        <v>799</v>
      </c>
      <c r="F8" s="201" t="s">
        <v>1328</v>
      </c>
      <c r="G8" s="97"/>
      <c r="H8" s="201" t="s">
        <v>302</v>
      </c>
      <c r="I8" s="201"/>
      <c r="R8" s="97"/>
      <c r="S8" s="97"/>
      <c r="T8" s="97"/>
      <c r="U8" s="97"/>
      <c r="V8" s="202" t="s">
        <v>305</v>
      </c>
      <c r="W8" s="97"/>
      <c r="AC8" s="201" t="s">
        <v>1005</v>
      </c>
      <c r="AD8" s="201" t="s">
        <v>1006</v>
      </c>
      <c r="AE8" s="201" t="s">
        <v>1007</v>
      </c>
      <c r="AF8" s="201" t="s">
        <v>590</v>
      </c>
      <c r="AG8" s="201" t="s">
        <v>1008</v>
      </c>
      <c r="AH8" s="201" t="s">
        <v>1265</v>
      </c>
      <c r="AI8" s="201" t="s">
        <v>1266</v>
      </c>
      <c r="AJ8" s="201" t="s">
        <v>1267</v>
      </c>
      <c r="AK8" s="201" t="s">
        <v>599</v>
      </c>
      <c r="AL8" s="201" t="s">
        <v>1268</v>
      </c>
      <c r="AM8" s="202" t="s">
        <v>1269</v>
      </c>
    </row>
    <row r="9" spans="1:54" ht="13.5" thickBot="1" x14ac:dyDescent="0.25">
      <c r="B9" s="198" t="s">
        <v>322</v>
      </c>
      <c r="C9" s="204" t="s">
        <v>242</v>
      </c>
      <c r="D9" s="204"/>
      <c r="E9" s="278" t="s">
        <v>243</v>
      </c>
      <c r="F9" s="278" t="s">
        <v>243</v>
      </c>
      <c r="G9" s="97"/>
      <c r="H9" s="278" t="s">
        <v>243</v>
      </c>
      <c r="I9" s="278" t="s">
        <v>243</v>
      </c>
      <c r="R9" s="97"/>
      <c r="S9" s="97"/>
      <c r="T9" s="97"/>
      <c r="U9" s="97"/>
      <c r="V9" s="294" t="s">
        <v>243</v>
      </c>
      <c r="W9" s="97"/>
      <c r="AC9" s="278" t="s">
        <v>243</v>
      </c>
      <c r="AD9" s="278" t="s">
        <v>243</v>
      </c>
      <c r="AE9" s="278" t="s">
        <v>243</v>
      </c>
      <c r="AF9" s="278" t="s">
        <v>243</v>
      </c>
      <c r="AG9" s="278" t="s">
        <v>243</v>
      </c>
      <c r="AH9" s="278" t="s">
        <v>243</v>
      </c>
      <c r="AI9" s="278" t="s">
        <v>243</v>
      </c>
      <c r="AJ9" s="278" t="s">
        <v>243</v>
      </c>
      <c r="AK9" s="278" t="s">
        <v>243</v>
      </c>
      <c r="AL9" s="278" t="s">
        <v>243</v>
      </c>
      <c r="AM9" s="202" t="s">
        <v>243</v>
      </c>
    </row>
    <row r="10" spans="1:54" x14ac:dyDescent="0.2">
      <c r="B10" s="314" t="s">
        <v>1248</v>
      </c>
      <c r="C10" s="735"/>
      <c r="D10" s="735"/>
      <c r="E10" s="317"/>
      <c r="F10" s="317"/>
      <c r="H10" s="317"/>
      <c r="I10" s="317"/>
      <c r="V10" s="318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8"/>
    </row>
    <row r="11" spans="1:54" hidden="1" x14ac:dyDescent="0.2">
      <c r="A11" s="99"/>
      <c r="B11" s="99" t="s">
        <v>1449</v>
      </c>
      <c r="C11" s="172">
        <v>100</v>
      </c>
      <c r="D11" s="157" t="s">
        <v>248</v>
      </c>
      <c r="E11" s="99"/>
      <c r="F11" s="99"/>
      <c r="H11" s="99"/>
      <c r="I11" s="99"/>
      <c r="V11" s="1197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</row>
    <row r="12" spans="1:54" ht="21.95" customHeight="1" x14ac:dyDescent="0.2">
      <c r="B12" s="188" t="s">
        <v>1450</v>
      </c>
      <c r="C12" s="251">
        <v>110</v>
      </c>
      <c r="D12" s="250" t="s">
        <v>248</v>
      </c>
      <c r="E12" s="253"/>
      <c r="F12" s="422"/>
      <c r="H12" s="321"/>
      <c r="I12" s="321"/>
      <c r="V12" s="1234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578"/>
    </row>
    <row r="13" spans="1:54" ht="21.95" customHeight="1" x14ac:dyDescent="0.2">
      <c r="B13" s="213" t="s">
        <v>1451</v>
      </c>
      <c r="C13" s="218">
        <v>120</v>
      </c>
      <c r="D13" s="217" t="s">
        <v>248</v>
      </c>
      <c r="E13" s="220"/>
      <c r="F13" s="220"/>
      <c r="H13" s="324"/>
      <c r="I13" s="324"/>
      <c r="V13" s="335"/>
      <c r="AC13" s="220">
        <f t="shared" ref="AC13:AL13" si="0">SUM(AC218+AC221+AC224)</f>
        <v>0</v>
      </c>
      <c r="AD13" s="220">
        <f t="shared" si="0"/>
        <v>0</v>
      </c>
      <c r="AE13" s="220">
        <f t="shared" si="0"/>
        <v>0</v>
      </c>
      <c r="AF13" s="220">
        <f t="shared" si="0"/>
        <v>0</v>
      </c>
      <c r="AG13" s="220">
        <f t="shared" si="0"/>
        <v>0</v>
      </c>
      <c r="AH13" s="220">
        <f t="shared" si="0"/>
        <v>0</v>
      </c>
      <c r="AI13" s="220">
        <f t="shared" si="0"/>
        <v>0</v>
      </c>
      <c r="AJ13" s="220">
        <f t="shared" si="0"/>
        <v>0</v>
      </c>
      <c r="AK13" s="220">
        <f t="shared" si="0"/>
        <v>0</v>
      </c>
      <c r="AL13" s="220">
        <f t="shared" si="0"/>
        <v>0</v>
      </c>
      <c r="AM13" s="331"/>
    </row>
    <row r="14" spans="1:54" ht="21.95" customHeight="1" x14ac:dyDescent="0.2">
      <c r="B14" s="214" t="s">
        <v>1452</v>
      </c>
      <c r="C14" s="218">
        <v>130</v>
      </c>
      <c r="D14" s="217" t="s">
        <v>248</v>
      </c>
      <c r="E14" s="220"/>
      <c r="F14" s="220"/>
      <c r="H14" s="324"/>
      <c r="I14" s="324"/>
      <c r="V14" s="335"/>
      <c r="AC14" s="220">
        <f t="shared" ref="AC14:AL14" si="1">SUM(AC251+AC254)</f>
        <v>0</v>
      </c>
      <c r="AD14" s="220">
        <f t="shared" si="1"/>
        <v>0</v>
      </c>
      <c r="AE14" s="220">
        <f t="shared" si="1"/>
        <v>0</v>
      </c>
      <c r="AF14" s="220">
        <f t="shared" si="1"/>
        <v>0</v>
      </c>
      <c r="AG14" s="220">
        <f t="shared" si="1"/>
        <v>0</v>
      </c>
      <c r="AH14" s="220">
        <f t="shared" si="1"/>
        <v>0</v>
      </c>
      <c r="AI14" s="220">
        <f t="shared" si="1"/>
        <v>0</v>
      </c>
      <c r="AJ14" s="220">
        <f t="shared" si="1"/>
        <v>0</v>
      </c>
      <c r="AK14" s="220">
        <f t="shared" si="1"/>
        <v>0</v>
      </c>
      <c r="AL14" s="220">
        <f t="shared" si="1"/>
        <v>0</v>
      </c>
      <c r="AM14" s="395"/>
    </row>
    <row r="15" spans="1:54" hidden="1" x14ac:dyDescent="0.2">
      <c r="A15" s="99"/>
      <c r="B15" s="99" t="s">
        <v>1453</v>
      </c>
      <c r="C15" s="172">
        <v>140</v>
      </c>
      <c r="D15" s="157" t="s">
        <v>248</v>
      </c>
      <c r="E15" s="99"/>
      <c r="F15" s="99"/>
      <c r="H15" s="99"/>
      <c r="I15" s="99"/>
      <c r="V15" s="37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</row>
    <row r="16" spans="1:54" ht="21.95" customHeight="1" x14ac:dyDescent="0.2">
      <c r="B16" s="188" t="s">
        <v>1454</v>
      </c>
      <c r="C16" s="251">
        <v>150</v>
      </c>
      <c r="D16" s="250" t="s">
        <v>248</v>
      </c>
      <c r="E16" s="422"/>
      <c r="F16" s="422"/>
      <c r="H16" s="321"/>
      <c r="I16" s="321"/>
      <c r="V16" s="1213"/>
      <c r="AC16" s="321"/>
      <c r="AD16" s="321"/>
      <c r="AE16" s="321"/>
      <c r="AF16" s="321"/>
      <c r="AG16" s="422"/>
      <c r="AH16" s="622"/>
      <c r="AI16" s="321"/>
      <c r="AJ16" s="321"/>
      <c r="AK16" s="321"/>
      <c r="AL16" s="321"/>
      <c r="AM16" s="694"/>
    </row>
    <row r="17" spans="2:39" ht="21.95" customHeight="1" x14ac:dyDescent="0.2">
      <c r="B17" s="213" t="s">
        <v>1455</v>
      </c>
      <c r="C17" s="218">
        <v>160</v>
      </c>
      <c r="D17" s="217" t="s">
        <v>248</v>
      </c>
      <c r="E17" s="220"/>
      <c r="F17" s="220"/>
      <c r="H17" s="324"/>
      <c r="I17" s="324"/>
      <c r="V17" s="395"/>
      <c r="AC17" s="324"/>
      <c r="AD17" s="324"/>
      <c r="AE17" s="324"/>
      <c r="AF17" s="324"/>
      <c r="AG17" s="220">
        <f>SUM(AG219+AG222+AG225)</f>
        <v>0</v>
      </c>
      <c r="AH17" s="324"/>
      <c r="AI17" s="324"/>
      <c r="AJ17" s="324"/>
      <c r="AK17" s="324"/>
      <c r="AL17" s="324"/>
      <c r="AM17" s="222">
        <f>SUM(AM219+AM222+AM225)</f>
        <v>0</v>
      </c>
    </row>
    <row r="18" spans="2:39" ht="21.95" customHeight="1" x14ac:dyDescent="0.2">
      <c r="B18" s="213" t="s">
        <v>1456</v>
      </c>
      <c r="C18" s="218">
        <v>170</v>
      </c>
      <c r="D18" s="217" t="s">
        <v>248</v>
      </c>
      <c r="E18" s="220"/>
      <c r="F18" s="220"/>
      <c r="H18" s="324"/>
      <c r="I18" s="324"/>
      <c r="V18" s="395"/>
      <c r="AC18" s="324"/>
      <c r="AD18" s="324"/>
      <c r="AE18" s="324"/>
      <c r="AF18" s="324"/>
      <c r="AG18" s="220">
        <f>SUM(AG252+AG255)</f>
        <v>0</v>
      </c>
      <c r="AH18" s="324"/>
      <c r="AI18" s="324"/>
      <c r="AJ18" s="324"/>
      <c r="AK18" s="324"/>
      <c r="AL18" s="324"/>
      <c r="AM18" s="222">
        <f>SUM(AM252+AM255)</f>
        <v>0</v>
      </c>
    </row>
    <row r="19" spans="2:39" ht="21.95" customHeight="1" x14ac:dyDescent="0.2">
      <c r="B19" s="213" t="s">
        <v>1457</v>
      </c>
      <c r="C19" s="218">
        <v>180</v>
      </c>
      <c r="D19" s="217" t="s">
        <v>248</v>
      </c>
      <c r="E19" s="228"/>
      <c r="F19" s="228"/>
      <c r="H19" s="324"/>
      <c r="I19" s="324"/>
      <c r="V19" s="335"/>
      <c r="AC19" s="324"/>
      <c r="AD19" s="324"/>
      <c r="AE19" s="324"/>
      <c r="AF19" s="324"/>
      <c r="AG19" s="228"/>
      <c r="AH19" s="324"/>
      <c r="AI19" s="324"/>
      <c r="AJ19" s="324"/>
      <c r="AK19" s="324"/>
      <c r="AL19" s="324"/>
      <c r="AM19" s="331"/>
    </row>
    <row r="20" spans="2:39" ht="21.95" customHeight="1" x14ac:dyDescent="0.2">
      <c r="B20" s="231" t="s">
        <v>1458</v>
      </c>
      <c r="C20" s="218">
        <v>185</v>
      </c>
      <c r="D20" s="219" t="s">
        <v>248</v>
      </c>
      <c r="E20" s="228"/>
      <c r="F20" s="228"/>
      <c r="H20" s="220">
        <f>F20-V20</f>
        <v>0</v>
      </c>
      <c r="I20" s="324"/>
      <c r="V20" s="1235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31"/>
    </row>
    <row r="21" spans="2:39" ht="21.95" customHeight="1" x14ac:dyDescent="0.2">
      <c r="B21" s="213" t="s">
        <v>1339</v>
      </c>
      <c r="C21" s="218">
        <v>190</v>
      </c>
      <c r="D21" s="217" t="s">
        <v>248</v>
      </c>
      <c r="E21" s="228"/>
      <c r="F21" s="228"/>
      <c r="H21" s="220">
        <f>F21-V21</f>
        <v>0</v>
      </c>
      <c r="I21" s="324"/>
      <c r="V21" s="305"/>
      <c r="AC21" s="324"/>
      <c r="AD21" s="324"/>
      <c r="AE21" s="324"/>
      <c r="AF21" s="324"/>
      <c r="AG21" s="228"/>
      <c r="AH21" s="324"/>
      <c r="AI21" s="324"/>
      <c r="AJ21" s="324"/>
      <c r="AK21" s="324"/>
      <c r="AL21" s="324"/>
      <c r="AM21" s="331"/>
    </row>
    <row r="22" spans="2:39" ht="21.95" customHeight="1" x14ac:dyDescent="0.2">
      <c r="B22" s="213" t="s">
        <v>1459</v>
      </c>
      <c r="C22" s="218">
        <v>200</v>
      </c>
      <c r="D22" s="217" t="s">
        <v>248</v>
      </c>
      <c r="E22" s="228"/>
      <c r="F22" s="228"/>
      <c r="H22" s="324"/>
      <c r="I22" s="324"/>
      <c r="V22" s="395"/>
      <c r="AC22" s="324"/>
      <c r="AD22" s="324"/>
      <c r="AE22" s="324"/>
      <c r="AF22" s="324"/>
      <c r="AG22" s="228"/>
      <c r="AH22" s="324"/>
      <c r="AI22" s="324"/>
      <c r="AJ22" s="324"/>
      <c r="AK22" s="324"/>
      <c r="AL22" s="324"/>
      <c r="AM22" s="331"/>
    </row>
    <row r="23" spans="2:39" ht="21.95" customHeight="1" x14ac:dyDescent="0.2">
      <c r="B23" s="213" t="s">
        <v>1460</v>
      </c>
      <c r="C23" s="218">
        <v>210</v>
      </c>
      <c r="D23" s="217" t="s">
        <v>248</v>
      </c>
      <c r="E23" s="228"/>
      <c r="F23" s="228"/>
      <c r="H23" s="220">
        <f>F23-V23</f>
        <v>0</v>
      </c>
      <c r="I23" s="324"/>
      <c r="V23" s="305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97"/>
    </row>
    <row r="24" spans="2:39" ht="27" customHeight="1" x14ac:dyDescent="0.2">
      <c r="B24" s="245" t="s">
        <v>1461</v>
      </c>
      <c r="C24" s="218">
        <v>220</v>
      </c>
      <c r="D24" s="217" t="s">
        <v>248</v>
      </c>
      <c r="E24" s="228"/>
      <c r="F24" s="228"/>
      <c r="H24" s="220">
        <f>F24+F60-V24</f>
        <v>0</v>
      </c>
      <c r="I24" s="324"/>
      <c r="V24" s="305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97"/>
    </row>
    <row r="25" spans="2:39" ht="21.95" customHeight="1" x14ac:dyDescent="0.2">
      <c r="B25" s="226" t="s">
        <v>1462</v>
      </c>
      <c r="C25" s="218">
        <v>230</v>
      </c>
      <c r="D25" s="217" t="s">
        <v>248</v>
      </c>
      <c r="E25" s="224">
        <f>SUM(E11:E24)</f>
        <v>0</v>
      </c>
      <c r="F25" s="224">
        <f>SUM(F11:F24)</f>
        <v>0</v>
      </c>
      <c r="H25" s="224">
        <f>SUM(F11:F24,F60)-V25</f>
        <v>0</v>
      </c>
      <c r="I25" s="324"/>
      <c r="V25" s="1011">
        <f>SUM(V11:V24)</f>
        <v>0</v>
      </c>
      <c r="W25" s="97"/>
      <c r="AC25" s="224">
        <f t="shared" ref="AC25:AM25" si="2">SUM(AC11:AC24)</f>
        <v>0</v>
      </c>
      <c r="AD25" s="224">
        <f t="shared" si="2"/>
        <v>0</v>
      </c>
      <c r="AE25" s="224">
        <f t="shared" si="2"/>
        <v>0</v>
      </c>
      <c r="AF25" s="224">
        <f t="shared" si="2"/>
        <v>0</v>
      </c>
      <c r="AG25" s="224">
        <f t="shared" si="2"/>
        <v>0</v>
      </c>
      <c r="AH25" s="224">
        <f t="shared" si="2"/>
        <v>0</v>
      </c>
      <c r="AI25" s="224">
        <f t="shared" si="2"/>
        <v>0</v>
      </c>
      <c r="AJ25" s="224">
        <f t="shared" si="2"/>
        <v>0</v>
      </c>
      <c r="AK25" s="224">
        <f t="shared" si="2"/>
        <v>0</v>
      </c>
      <c r="AL25" s="224">
        <f t="shared" si="2"/>
        <v>0</v>
      </c>
      <c r="AM25" s="227">
        <f t="shared" si="2"/>
        <v>0</v>
      </c>
    </row>
    <row r="26" spans="2:39" ht="21.95" customHeight="1" x14ac:dyDescent="0.2">
      <c r="B26" s="226" t="s">
        <v>1346</v>
      </c>
      <c r="C26" s="446"/>
      <c r="D26" s="579"/>
      <c r="E26" s="330"/>
      <c r="F26" s="258"/>
      <c r="H26" s="258"/>
      <c r="I26" s="258"/>
      <c r="V26" s="331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331"/>
    </row>
    <row r="27" spans="2:39" ht="21.95" customHeight="1" x14ac:dyDescent="0.2">
      <c r="B27" s="188" t="s">
        <v>1450</v>
      </c>
      <c r="C27" s="251">
        <v>240</v>
      </c>
      <c r="D27" s="250" t="s">
        <v>248</v>
      </c>
      <c r="E27" s="253"/>
      <c r="F27" s="422"/>
      <c r="H27" s="321"/>
      <c r="I27" s="321"/>
      <c r="V27" s="1234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578"/>
    </row>
    <row r="28" spans="2:39" ht="21.95" customHeight="1" x14ac:dyDescent="0.2">
      <c r="B28" s="213" t="s">
        <v>1451</v>
      </c>
      <c r="C28" s="218">
        <v>250</v>
      </c>
      <c r="D28" s="217" t="s">
        <v>248</v>
      </c>
      <c r="E28" s="220"/>
      <c r="F28" s="220"/>
      <c r="H28" s="324"/>
      <c r="I28" s="324"/>
      <c r="V28" s="335"/>
      <c r="AC28" s="220">
        <f t="shared" ref="AC28:AL28" si="3">SUM(AC234+AC237)</f>
        <v>0</v>
      </c>
      <c r="AD28" s="220">
        <f t="shared" si="3"/>
        <v>0</v>
      </c>
      <c r="AE28" s="220">
        <f t="shared" si="3"/>
        <v>0</v>
      </c>
      <c r="AF28" s="220">
        <f t="shared" si="3"/>
        <v>0</v>
      </c>
      <c r="AG28" s="220">
        <f t="shared" si="3"/>
        <v>0</v>
      </c>
      <c r="AH28" s="220">
        <f t="shared" si="3"/>
        <v>0</v>
      </c>
      <c r="AI28" s="220">
        <f t="shared" si="3"/>
        <v>0</v>
      </c>
      <c r="AJ28" s="220">
        <f t="shared" si="3"/>
        <v>0</v>
      </c>
      <c r="AK28" s="220">
        <f t="shared" si="3"/>
        <v>0</v>
      </c>
      <c r="AL28" s="220">
        <f t="shared" si="3"/>
        <v>0</v>
      </c>
      <c r="AM28" s="331"/>
    </row>
    <row r="29" spans="2:39" ht="21.95" customHeight="1" x14ac:dyDescent="0.2">
      <c r="B29" s="213" t="s">
        <v>1452</v>
      </c>
      <c r="C29" s="218">
        <v>260</v>
      </c>
      <c r="D29" s="217" t="s">
        <v>248</v>
      </c>
      <c r="E29" s="220"/>
      <c r="F29" s="220"/>
      <c r="H29" s="324"/>
      <c r="I29" s="324"/>
      <c r="V29" s="335"/>
      <c r="AC29" s="220">
        <f t="shared" ref="AC29:AL29" si="4">SUM(AC258+AC261)</f>
        <v>0</v>
      </c>
      <c r="AD29" s="220">
        <f t="shared" si="4"/>
        <v>0</v>
      </c>
      <c r="AE29" s="220">
        <f t="shared" si="4"/>
        <v>0</v>
      </c>
      <c r="AF29" s="220">
        <f t="shared" si="4"/>
        <v>0</v>
      </c>
      <c r="AG29" s="220">
        <f t="shared" si="4"/>
        <v>0</v>
      </c>
      <c r="AH29" s="220">
        <f t="shared" si="4"/>
        <v>0</v>
      </c>
      <c r="AI29" s="220">
        <f t="shared" si="4"/>
        <v>0</v>
      </c>
      <c r="AJ29" s="220">
        <f t="shared" si="4"/>
        <v>0</v>
      </c>
      <c r="AK29" s="220">
        <f t="shared" si="4"/>
        <v>0</v>
      </c>
      <c r="AL29" s="220">
        <f t="shared" si="4"/>
        <v>0</v>
      </c>
      <c r="AM29" s="331"/>
    </row>
    <row r="30" spans="2:39" ht="21.95" customHeight="1" x14ac:dyDescent="0.2">
      <c r="B30" s="213" t="s">
        <v>1454</v>
      </c>
      <c r="C30" s="218">
        <v>270</v>
      </c>
      <c r="D30" s="217" t="s">
        <v>248</v>
      </c>
      <c r="E30" s="228"/>
      <c r="F30" s="228"/>
      <c r="H30" s="324"/>
      <c r="I30" s="324"/>
      <c r="V30" s="395"/>
      <c r="AC30" s="324"/>
      <c r="AD30" s="324"/>
      <c r="AE30" s="324"/>
      <c r="AF30" s="324"/>
      <c r="AG30" s="228"/>
      <c r="AH30" s="324"/>
      <c r="AI30" s="324"/>
      <c r="AJ30" s="324"/>
      <c r="AK30" s="324"/>
      <c r="AL30" s="324"/>
      <c r="AM30" s="297"/>
    </row>
    <row r="31" spans="2:39" ht="21.95" customHeight="1" x14ac:dyDescent="0.2">
      <c r="B31" s="213" t="s">
        <v>1455</v>
      </c>
      <c r="C31" s="218">
        <v>280</v>
      </c>
      <c r="D31" s="217" t="s">
        <v>248</v>
      </c>
      <c r="E31" s="220"/>
      <c r="F31" s="220"/>
      <c r="H31" s="324"/>
      <c r="I31" s="324"/>
      <c r="V31" s="395"/>
      <c r="AC31" s="324"/>
      <c r="AD31" s="324"/>
      <c r="AE31" s="324"/>
      <c r="AF31" s="324"/>
      <c r="AG31" s="220">
        <f>SUM(AG235+AG238+AG241)</f>
        <v>0</v>
      </c>
      <c r="AH31" s="324"/>
      <c r="AI31" s="324"/>
      <c r="AJ31" s="324"/>
      <c r="AK31" s="324"/>
      <c r="AL31" s="324"/>
      <c r="AM31" s="222">
        <f>SUM(AM235+AM238+AM241)</f>
        <v>0</v>
      </c>
    </row>
    <row r="32" spans="2:39" ht="21.95" customHeight="1" x14ac:dyDescent="0.2">
      <c r="B32" s="213" t="s">
        <v>1456</v>
      </c>
      <c r="C32" s="218">
        <v>290</v>
      </c>
      <c r="D32" s="217" t="s">
        <v>248</v>
      </c>
      <c r="E32" s="220"/>
      <c r="F32" s="220"/>
      <c r="H32" s="324"/>
      <c r="I32" s="324"/>
      <c r="V32" s="395"/>
      <c r="AC32" s="324"/>
      <c r="AD32" s="324"/>
      <c r="AE32" s="324"/>
      <c r="AF32" s="324"/>
      <c r="AG32" s="220">
        <f>SUM(AG259+AG262)</f>
        <v>0</v>
      </c>
      <c r="AH32" s="324"/>
      <c r="AI32" s="324"/>
      <c r="AJ32" s="324"/>
      <c r="AK32" s="324"/>
      <c r="AL32" s="324"/>
      <c r="AM32" s="222">
        <f>SUM(AM259+AM262)</f>
        <v>0</v>
      </c>
    </row>
    <row r="33" spans="1:40" ht="21.95" customHeight="1" x14ac:dyDescent="0.2">
      <c r="B33" s="213" t="s">
        <v>1339</v>
      </c>
      <c r="C33" s="218">
        <v>300</v>
      </c>
      <c r="D33" s="217" t="s">
        <v>248</v>
      </c>
      <c r="E33" s="228"/>
      <c r="F33" s="228"/>
      <c r="H33" s="220">
        <f>F33-V33</f>
        <v>0</v>
      </c>
      <c r="I33" s="324"/>
      <c r="V33" s="305"/>
      <c r="AC33" s="324"/>
      <c r="AD33" s="324"/>
      <c r="AE33" s="324"/>
      <c r="AF33" s="324"/>
      <c r="AG33" s="228"/>
      <c r="AH33" s="324"/>
      <c r="AI33" s="324"/>
      <c r="AJ33" s="324"/>
      <c r="AK33" s="324"/>
      <c r="AL33" s="324"/>
      <c r="AM33" s="331"/>
    </row>
    <row r="34" spans="1:40" ht="21.95" customHeight="1" x14ac:dyDescent="0.2">
      <c r="B34" s="213" t="s">
        <v>1460</v>
      </c>
      <c r="C34" s="218">
        <v>310</v>
      </c>
      <c r="D34" s="217" t="s">
        <v>248</v>
      </c>
      <c r="E34" s="228"/>
      <c r="F34" s="228"/>
      <c r="H34" s="220">
        <f>F34-V34</f>
        <v>0</v>
      </c>
      <c r="I34" s="324"/>
      <c r="V34" s="305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97"/>
    </row>
    <row r="35" spans="1:40" ht="21.95" customHeight="1" x14ac:dyDescent="0.2">
      <c r="B35" s="213" t="s">
        <v>1463</v>
      </c>
      <c r="C35" s="218">
        <v>320</v>
      </c>
      <c r="D35" s="217" t="s">
        <v>248</v>
      </c>
      <c r="E35" s="228"/>
      <c r="F35" s="228"/>
      <c r="H35" s="220">
        <f>F35+F65+F149-V35</f>
        <v>0</v>
      </c>
      <c r="I35" s="324"/>
      <c r="V35" s="305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97"/>
    </row>
    <row r="36" spans="1:40" ht="21.95" customHeight="1" x14ac:dyDescent="0.2">
      <c r="B36" s="226" t="s">
        <v>1464</v>
      </c>
      <c r="C36" s="218">
        <v>330</v>
      </c>
      <c r="D36" s="217" t="s">
        <v>248</v>
      </c>
      <c r="E36" s="224">
        <f>SUM(E27:E35)</f>
        <v>0</v>
      </c>
      <c r="F36" s="224">
        <f>SUM(F27:F35)</f>
        <v>0</v>
      </c>
      <c r="H36" s="224">
        <f>SUM(F27:F35,F65,F149)-V36</f>
        <v>0</v>
      </c>
      <c r="I36" s="324"/>
      <c r="V36" s="1011">
        <f>SUM(V27:V35)</f>
        <v>0</v>
      </c>
      <c r="W36" s="97"/>
      <c r="AC36" s="224">
        <f t="shared" ref="AC36:AM36" si="5">SUM(AC27:AC35)</f>
        <v>0</v>
      </c>
      <c r="AD36" s="224">
        <f t="shared" si="5"/>
        <v>0</v>
      </c>
      <c r="AE36" s="224">
        <f t="shared" si="5"/>
        <v>0</v>
      </c>
      <c r="AF36" s="224">
        <f t="shared" si="5"/>
        <v>0</v>
      </c>
      <c r="AG36" s="224">
        <f t="shared" si="5"/>
        <v>0</v>
      </c>
      <c r="AH36" s="224">
        <f t="shared" si="5"/>
        <v>0</v>
      </c>
      <c r="AI36" s="224">
        <f t="shared" si="5"/>
        <v>0</v>
      </c>
      <c r="AJ36" s="224">
        <f t="shared" si="5"/>
        <v>0</v>
      </c>
      <c r="AK36" s="224">
        <f t="shared" si="5"/>
        <v>0</v>
      </c>
      <c r="AL36" s="224">
        <f t="shared" si="5"/>
        <v>0</v>
      </c>
      <c r="AM36" s="227">
        <f t="shared" si="5"/>
        <v>0</v>
      </c>
    </row>
    <row r="37" spans="1:40" ht="21.95" customHeight="1" x14ac:dyDescent="0.2">
      <c r="B37" s="226" t="s">
        <v>1465</v>
      </c>
      <c r="C37" s="218">
        <v>340</v>
      </c>
      <c r="D37" s="217" t="s">
        <v>248</v>
      </c>
      <c r="E37" s="224">
        <f>E25+E36</f>
        <v>0</v>
      </c>
      <c r="F37" s="224">
        <f>F25+F36</f>
        <v>0</v>
      </c>
      <c r="H37" s="224">
        <f>H25+H36</f>
        <v>0</v>
      </c>
      <c r="I37" s="324"/>
      <c r="V37" s="1011">
        <f>V25+V36</f>
        <v>0</v>
      </c>
      <c r="W37" s="97"/>
      <c r="AC37" s="224">
        <f t="shared" ref="AC37:AM37" si="6">AC25+AC36</f>
        <v>0</v>
      </c>
      <c r="AD37" s="224">
        <f t="shared" si="6"/>
        <v>0</v>
      </c>
      <c r="AE37" s="224">
        <f t="shared" si="6"/>
        <v>0</v>
      </c>
      <c r="AF37" s="224">
        <f t="shared" si="6"/>
        <v>0</v>
      </c>
      <c r="AG37" s="224">
        <f t="shared" si="6"/>
        <v>0</v>
      </c>
      <c r="AH37" s="224">
        <f t="shared" si="6"/>
        <v>0</v>
      </c>
      <c r="AI37" s="224">
        <f t="shared" si="6"/>
        <v>0</v>
      </c>
      <c r="AJ37" s="224">
        <f t="shared" si="6"/>
        <v>0</v>
      </c>
      <c r="AK37" s="224">
        <f t="shared" si="6"/>
        <v>0</v>
      </c>
      <c r="AL37" s="224">
        <f t="shared" si="6"/>
        <v>0</v>
      </c>
      <c r="AM37" s="227">
        <f t="shared" si="6"/>
        <v>0</v>
      </c>
    </row>
    <row r="38" spans="1:40" ht="21.95" customHeight="1" x14ac:dyDescent="0.2">
      <c r="B38" s="213" t="s">
        <v>1466</v>
      </c>
      <c r="C38" s="446"/>
      <c r="D38" s="579"/>
      <c r="E38" s="330"/>
      <c r="F38" s="258"/>
      <c r="H38" s="258"/>
      <c r="I38" s="258"/>
      <c r="V38" s="331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331"/>
    </row>
    <row r="39" spans="1:40" ht="27" customHeight="1" x14ac:dyDescent="0.2">
      <c r="B39" s="739" t="s">
        <v>1467</v>
      </c>
      <c r="C39" s="251">
        <v>350</v>
      </c>
      <c r="D39" s="250" t="s">
        <v>248</v>
      </c>
      <c r="E39" s="422"/>
      <c r="F39" s="422"/>
      <c r="H39" s="253">
        <f>F39-V39</f>
        <v>0</v>
      </c>
      <c r="I39" s="321"/>
      <c r="V39" s="802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578"/>
    </row>
    <row r="40" spans="1:40" ht="27" customHeight="1" x14ac:dyDescent="0.2">
      <c r="B40" s="450" t="s">
        <v>1468</v>
      </c>
      <c r="C40" s="234">
        <v>360</v>
      </c>
      <c r="D40" s="237" t="s">
        <v>248</v>
      </c>
      <c r="E40" s="396"/>
      <c r="F40" s="396"/>
      <c r="H40" s="268">
        <f>F40-V40</f>
        <v>0</v>
      </c>
      <c r="I40" s="258"/>
      <c r="V40" s="29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331"/>
    </row>
    <row r="41" spans="1:40" ht="30" customHeight="1" thickBot="1" x14ac:dyDescent="0.25">
      <c r="B41" s="944" t="s">
        <v>1469</v>
      </c>
      <c r="C41" s="236">
        <v>370</v>
      </c>
      <c r="D41" s="235" t="s">
        <v>248</v>
      </c>
      <c r="E41" s="889"/>
      <c r="F41" s="371"/>
      <c r="H41" s="269">
        <f>F41-V41</f>
        <v>0</v>
      </c>
      <c r="I41" s="258"/>
      <c r="V41" s="685"/>
      <c r="W41" s="97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72"/>
    </row>
    <row r="42" spans="1:40" ht="65.25" thickTop="1" thickBot="1" x14ac:dyDescent="0.25">
      <c r="A42" s="99"/>
      <c r="B42" s="261" t="s">
        <v>1470</v>
      </c>
      <c r="C42" s="880"/>
      <c r="D42" s="880"/>
      <c r="E42" s="882"/>
      <c r="F42" s="882"/>
      <c r="H42" s="882"/>
      <c r="I42" s="293" t="s">
        <v>1352</v>
      </c>
      <c r="V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</row>
    <row r="43" spans="1:40" ht="21.95" customHeight="1" x14ac:dyDescent="0.2">
      <c r="A43" s="99"/>
      <c r="B43" s="473" t="s">
        <v>1471</v>
      </c>
      <c r="C43" s="207">
        <v>380</v>
      </c>
      <c r="D43" s="206" t="s">
        <v>251</v>
      </c>
      <c r="E43" s="849"/>
      <c r="F43" s="849"/>
      <c r="H43" s="849"/>
      <c r="I43" s="883"/>
      <c r="V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ht="21.95" customHeight="1" x14ac:dyDescent="0.2">
      <c r="A44" s="99"/>
      <c r="B44" s="246" t="s">
        <v>1472</v>
      </c>
      <c r="C44" s="234">
        <v>385</v>
      </c>
      <c r="D44" s="237" t="s">
        <v>251</v>
      </c>
      <c r="E44" s="671"/>
      <c r="F44" s="671"/>
      <c r="H44" s="671"/>
      <c r="I44" s="777"/>
      <c r="V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21.95" customHeight="1" thickBot="1" x14ac:dyDescent="0.25">
      <c r="A45" s="99"/>
      <c r="B45" s="497" t="s">
        <v>1465</v>
      </c>
      <c r="C45" s="236">
        <v>390</v>
      </c>
      <c r="D45" s="235" t="s">
        <v>251</v>
      </c>
      <c r="E45" s="884"/>
      <c r="F45" s="884"/>
      <c r="H45" s="884"/>
      <c r="I45" s="503">
        <f>SUM(I43:I44)</f>
        <v>0</v>
      </c>
      <c r="V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3.5" thickTop="1" x14ac:dyDescent="0.2"/>
    <row r="51" spans="2:39" ht="13.5" thickBot="1" x14ac:dyDescent="0.25"/>
    <row r="52" spans="2:39" ht="14.25" thickTop="1" thickBot="1" x14ac:dyDescent="0.25">
      <c r="E52" s="376" t="s">
        <v>1320</v>
      </c>
      <c r="F52" s="377"/>
      <c r="H52" s="377"/>
      <c r="I52" s="634"/>
      <c r="R52" s="97"/>
      <c r="V52" s="381"/>
      <c r="AC52" s="376" t="s">
        <v>1322</v>
      </c>
      <c r="AD52" s="377"/>
      <c r="AE52" s="634"/>
      <c r="AF52" s="377"/>
      <c r="AG52" s="377"/>
      <c r="AH52" s="377"/>
      <c r="AI52" s="377"/>
      <c r="AJ52" s="377"/>
      <c r="AK52" s="377"/>
      <c r="AL52" s="377"/>
      <c r="AM52" s="381"/>
    </row>
    <row r="53" spans="2:39" ht="13.5" thickTop="1" x14ac:dyDescent="0.2">
      <c r="B53" s="242"/>
      <c r="C53" s="195"/>
      <c r="D53" s="195" t="s">
        <v>25</v>
      </c>
      <c r="E53" s="353" t="s">
        <v>235</v>
      </c>
      <c r="F53" s="353" t="s">
        <v>236</v>
      </c>
      <c r="G53" s="97"/>
      <c r="H53" s="353" t="s">
        <v>294</v>
      </c>
      <c r="I53" s="353" t="s">
        <v>298</v>
      </c>
      <c r="R53" s="97"/>
      <c r="S53" s="97"/>
      <c r="T53" s="97"/>
      <c r="U53" s="97"/>
      <c r="V53" s="293" t="s">
        <v>580</v>
      </c>
      <c r="W53" s="97"/>
      <c r="AC53" s="353" t="s">
        <v>823</v>
      </c>
      <c r="AD53" s="353" t="s">
        <v>824</v>
      </c>
      <c r="AE53" s="353" t="s">
        <v>825</v>
      </c>
      <c r="AF53" s="353" t="s">
        <v>826</v>
      </c>
      <c r="AG53" s="353" t="s">
        <v>827</v>
      </c>
      <c r="AH53" s="353" t="s">
        <v>828</v>
      </c>
      <c r="AI53" s="353" t="s">
        <v>829</v>
      </c>
      <c r="AJ53" s="353" t="s">
        <v>830</v>
      </c>
      <c r="AK53" s="353" t="s">
        <v>831</v>
      </c>
      <c r="AL53" s="353" t="s">
        <v>1323</v>
      </c>
      <c r="AM53" s="293" t="s">
        <v>1324</v>
      </c>
    </row>
    <row r="54" spans="2:39" ht="63.75" x14ac:dyDescent="0.2">
      <c r="B54" s="198"/>
      <c r="C54" s="199" t="s">
        <v>238</v>
      </c>
      <c r="D54" s="199"/>
      <c r="E54" s="201" t="s">
        <v>799</v>
      </c>
      <c r="F54" s="201" t="s">
        <v>1328</v>
      </c>
      <c r="G54" s="97"/>
      <c r="H54" s="201" t="s">
        <v>302</v>
      </c>
      <c r="I54" s="201"/>
      <c r="R54" s="97"/>
      <c r="S54" s="97"/>
      <c r="T54" s="97"/>
      <c r="U54" s="97"/>
      <c r="V54" s="202" t="s">
        <v>305</v>
      </c>
      <c r="W54" s="97"/>
      <c r="AC54" s="201" t="s">
        <v>1005</v>
      </c>
      <c r="AD54" s="201" t="s">
        <v>1006</v>
      </c>
      <c r="AE54" s="201" t="s">
        <v>1007</v>
      </c>
      <c r="AF54" s="201" t="s">
        <v>590</v>
      </c>
      <c r="AG54" s="201" t="s">
        <v>1008</v>
      </c>
      <c r="AH54" s="201" t="s">
        <v>1265</v>
      </c>
      <c r="AI54" s="201" t="s">
        <v>1266</v>
      </c>
      <c r="AJ54" s="201" t="s">
        <v>1267</v>
      </c>
      <c r="AK54" s="201" t="s">
        <v>599</v>
      </c>
      <c r="AL54" s="201" t="s">
        <v>1268</v>
      </c>
      <c r="AM54" s="202" t="s">
        <v>1269</v>
      </c>
    </row>
    <row r="55" spans="2:39" ht="13.5" thickBot="1" x14ac:dyDescent="0.25">
      <c r="B55" s="198" t="s">
        <v>323</v>
      </c>
      <c r="C55" s="204" t="s">
        <v>242</v>
      </c>
      <c r="D55" s="204"/>
      <c r="E55" s="278" t="s">
        <v>243</v>
      </c>
      <c r="F55" s="278" t="s">
        <v>243</v>
      </c>
      <c r="G55" s="97"/>
      <c r="H55" s="278" t="s">
        <v>243</v>
      </c>
      <c r="I55" s="278" t="s">
        <v>243</v>
      </c>
      <c r="R55" s="97"/>
      <c r="S55" s="97"/>
      <c r="T55" s="97"/>
      <c r="U55" s="97"/>
      <c r="V55" s="294" t="s">
        <v>243</v>
      </c>
      <c r="W55" s="97"/>
      <c r="AC55" s="278" t="s">
        <v>243</v>
      </c>
      <c r="AD55" s="278" t="s">
        <v>243</v>
      </c>
      <c r="AE55" s="278" t="s">
        <v>243</v>
      </c>
      <c r="AF55" s="278" t="s">
        <v>243</v>
      </c>
      <c r="AG55" s="278" t="s">
        <v>243</v>
      </c>
      <c r="AH55" s="278" t="s">
        <v>243</v>
      </c>
      <c r="AI55" s="278" t="s">
        <v>243</v>
      </c>
      <c r="AJ55" s="278" t="s">
        <v>243</v>
      </c>
      <c r="AK55" s="278" t="s">
        <v>243</v>
      </c>
      <c r="AL55" s="278" t="s">
        <v>243</v>
      </c>
      <c r="AM55" s="202" t="s">
        <v>243</v>
      </c>
    </row>
    <row r="56" spans="2:39" ht="21.95" customHeight="1" x14ac:dyDescent="0.2">
      <c r="B56" s="314" t="s">
        <v>1473</v>
      </c>
      <c r="C56" s="735"/>
      <c r="D56" s="735"/>
      <c r="E56" s="317"/>
      <c r="F56" s="317"/>
      <c r="H56" s="317"/>
      <c r="I56" s="317"/>
      <c r="V56" s="318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8"/>
    </row>
    <row r="57" spans="2:39" ht="21.95" customHeight="1" x14ac:dyDescent="0.2">
      <c r="B57" s="188" t="s">
        <v>1474</v>
      </c>
      <c r="C57" s="251">
        <v>400</v>
      </c>
      <c r="D57" s="250" t="s">
        <v>248</v>
      </c>
      <c r="E57" s="422"/>
      <c r="F57" s="422"/>
      <c r="H57" s="321"/>
      <c r="I57" s="321"/>
      <c r="V57" s="1234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694"/>
    </row>
    <row r="58" spans="2:39" ht="21.95" customHeight="1" x14ac:dyDescent="0.2">
      <c r="B58" s="213" t="s">
        <v>1475</v>
      </c>
      <c r="C58" s="218">
        <v>410</v>
      </c>
      <c r="D58" s="217" t="s">
        <v>248</v>
      </c>
      <c r="E58" s="228"/>
      <c r="F58" s="228"/>
      <c r="H58" s="324"/>
      <c r="I58" s="324"/>
      <c r="V58" s="335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97"/>
    </row>
    <row r="59" spans="2:39" ht="21.95" customHeight="1" x14ac:dyDescent="0.2">
      <c r="B59" s="213" t="s">
        <v>1476</v>
      </c>
      <c r="C59" s="218">
        <v>420</v>
      </c>
      <c r="D59" s="217" t="s">
        <v>248</v>
      </c>
      <c r="E59" s="228"/>
      <c r="F59" s="228"/>
      <c r="H59" s="324"/>
      <c r="I59" s="324"/>
      <c r="V59" s="335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97"/>
    </row>
    <row r="60" spans="2:39" ht="21.95" customHeight="1" x14ac:dyDescent="0.2">
      <c r="B60" s="226" t="s">
        <v>1477</v>
      </c>
      <c r="C60" s="218">
        <v>430</v>
      </c>
      <c r="D60" s="217" t="s">
        <v>248</v>
      </c>
      <c r="E60" s="224">
        <f>SUM(E57:E59)</f>
        <v>0</v>
      </c>
      <c r="F60" s="224">
        <f>SUM(F57:F59)</f>
        <v>0</v>
      </c>
      <c r="H60" s="712"/>
      <c r="I60" s="324"/>
      <c r="V60" s="1226"/>
      <c r="W60" s="97"/>
      <c r="AC60" s="224">
        <f t="shared" ref="AC60:AM60" si="7">SUM(AC57:AC59)</f>
        <v>0</v>
      </c>
      <c r="AD60" s="224">
        <f t="shared" si="7"/>
        <v>0</v>
      </c>
      <c r="AE60" s="224">
        <f t="shared" si="7"/>
        <v>0</v>
      </c>
      <c r="AF60" s="224">
        <f t="shared" si="7"/>
        <v>0</v>
      </c>
      <c r="AG60" s="224">
        <f t="shared" si="7"/>
        <v>0</v>
      </c>
      <c r="AH60" s="224">
        <f t="shared" si="7"/>
        <v>0</v>
      </c>
      <c r="AI60" s="224">
        <f t="shared" si="7"/>
        <v>0</v>
      </c>
      <c r="AJ60" s="224">
        <f t="shared" si="7"/>
        <v>0</v>
      </c>
      <c r="AK60" s="224">
        <f t="shared" si="7"/>
        <v>0</v>
      </c>
      <c r="AL60" s="224">
        <f t="shared" si="7"/>
        <v>0</v>
      </c>
      <c r="AM60" s="227">
        <f t="shared" si="7"/>
        <v>0</v>
      </c>
    </row>
    <row r="61" spans="2:39" ht="21.95" customHeight="1" x14ac:dyDescent="0.2">
      <c r="B61" s="226" t="s">
        <v>1478</v>
      </c>
      <c r="C61" s="446"/>
      <c r="D61" s="579"/>
      <c r="E61" s="330"/>
      <c r="F61" s="258"/>
      <c r="H61" s="258"/>
      <c r="I61" s="258"/>
      <c r="V61" s="331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331"/>
    </row>
    <row r="62" spans="2:39" ht="21.95" customHeight="1" x14ac:dyDescent="0.2">
      <c r="B62" s="188" t="s">
        <v>1474</v>
      </c>
      <c r="C62" s="251">
        <v>440</v>
      </c>
      <c r="D62" s="250" t="s">
        <v>248</v>
      </c>
      <c r="E62" s="422"/>
      <c r="F62" s="422"/>
      <c r="H62" s="321"/>
      <c r="I62" s="321"/>
      <c r="V62" s="1234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694"/>
    </row>
    <row r="63" spans="2:39" ht="21.95" customHeight="1" x14ac:dyDescent="0.2">
      <c r="B63" s="213" t="s">
        <v>1475</v>
      </c>
      <c r="C63" s="218">
        <v>450</v>
      </c>
      <c r="D63" s="217" t="s">
        <v>248</v>
      </c>
      <c r="E63" s="228"/>
      <c r="F63" s="228"/>
      <c r="H63" s="324"/>
      <c r="I63" s="324"/>
      <c r="V63" s="335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97"/>
    </row>
    <row r="64" spans="2:39" ht="21.95" customHeight="1" x14ac:dyDescent="0.2">
      <c r="B64" s="213" t="s">
        <v>1476</v>
      </c>
      <c r="C64" s="218">
        <v>460</v>
      </c>
      <c r="D64" s="217" t="s">
        <v>248</v>
      </c>
      <c r="E64" s="228"/>
      <c r="F64" s="228"/>
      <c r="H64" s="324"/>
      <c r="I64" s="324"/>
      <c r="V64" s="335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97"/>
    </row>
    <row r="65" spans="1:40" ht="21.95" customHeight="1" x14ac:dyDescent="0.2">
      <c r="B65" s="226" t="s">
        <v>1477</v>
      </c>
      <c r="C65" s="234">
        <v>470</v>
      </c>
      <c r="D65" s="237" t="s">
        <v>248</v>
      </c>
      <c r="E65" s="239">
        <f>SUM(E62:E64)</f>
        <v>0</v>
      </c>
      <c r="F65" s="239">
        <f>SUM(F62:F64)</f>
        <v>0</v>
      </c>
      <c r="H65" s="256"/>
      <c r="I65" s="258"/>
      <c r="V65" s="961"/>
      <c r="W65" s="97"/>
      <c r="AC65" s="239">
        <f t="shared" ref="AC65:AM65" si="8">SUM(AC62:AC64)</f>
        <v>0</v>
      </c>
      <c r="AD65" s="239">
        <f t="shared" si="8"/>
        <v>0</v>
      </c>
      <c r="AE65" s="239">
        <f t="shared" si="8"/>
        <v>0</v>
      </c>
      <c r="AF65" s="239">
        <f t="shared" si="8"/>
        <v>0</v>
      </c>
      <c r="AG65" s="239">
        <f t="shared" si="8"/>
        <v>0</v>
      </c>
      <c r="AH65" s="239">
        <f t="shared" si="8"/>
        <v>0</v>
      </c>
      <c r="AI65" s="239">
        <f t="shared" si="8"/>
        <v>0</v>
      </c>
      <c r="AJ65" s="239">
        <f t="shared" si="8"/>
        <v>0</v>
      </c>
      <c r="AK65" s="239">
        <f t="shared" si="8"/>
        <v>0</v>
      </c>
      <c r="AL65" s="239">
        <f t="shared" si="8"/>
        <v>0</v>
      </c>
      <c r="AM65" s="227">
        <f t="shared" si="8"/>
        <v>0</v>
      </c>
    </row>
    <row r="66" spans="1:40" ht="21.95" customHeight="1" thickBot="1" x14ac:dyDescent="0.25">
      <c r="B66" s="233" t="s">
        <v>1479</v>
      </c>
      <c r="C66" s="236">
        <v>480</v>
      </c>
      <c r="D66" s="235" t="s">
        <v>248</v>
      </c>
      <c r="E66" s="240">
        <f>E60+E65</f>
        <v>0</v>
      </c>
      <c r="F66" s="240">
        <f>F60+F65</f>
        <v>0</v>
      </c>
      <c r="H66" s="399"/>
      <c r="I66" s="340"/>
      <c r="V66" s="1237"/>
      <c r="W66" s="97"/>
      <c r="AC66" s="240">
        <f t="shared" ref="AC66:AM66" si="9">AC60+AC65</f>
        <v>0</v>
      </c>
      <c r="AD66" s="240">
        <f t="shared" si="9"/>
        <v>0</v>
      </c>
      <c r="AE66" s="240">
        <f t="shared" si="9"/>
        <v>0</v>
      </c>
      <c r="AF66" s="240">
        <f t="shared" si="9"/>
        <v>0</v>
      </c>
      <c r="AG66" s="240">
        <f t="shared" si="9"/>
        <v>0</v>
      </c>
      <c r="AH66" s="240">
        <f t="shared" si="9"/>
        <v>0</v>
      </c>
      <c r="AI66" s="240">
        <f t="shared" si="9"/>
        <v>0</v>
      </c>
      <c r="AJ66" s="240">
        <f t="shared" si="9"/>
        <v>0</v>
      </c>
      <c r="AK66" s="240">
        <f t="shared" si="9"/>
        <v>0</v>
      </c>
      <c r="AL66" s="240">
        <f t="shared" si="9"/>
        <v>0</v>
      </c>
      <c r="AM66" s="241">
        <f t="shared" si="9"/>
        <v>0</v>
      </c>
    </row>
    <row r="67" spans="1:40" ht="13.5" hidden="1" thickTop="1" x14ac:dyDescent="0.2">
      <c r="A67" s="157"/>
      <c r="V67" s="104"/>
    </row>
    <row r="68" spans="1:40" ht="13.5" hidden="1" thickTop="1" x14ac:dyDescent="0.2">
      <c r="A68" s="157"/>
    </row>
    <row r="69" spans="1:40" ht="13.5" hidden="1" thickTop="1" x14ac:dyDescent="0.2">
      <c r="A69" s="157"/>
    </row>
    <row r="70" spans="1:40" ht="65.25" thickTop="1" thickBot="1" x14ac:dyDescent="0.25">
      <c r="A70" s="99"/>
      <c r="B70" s="264" t="s">
        <v>1470</v>
      </c>
      <c r="C70" s="146"/>
      <c r="D70" s="146"/>
      <c r="E70" s="945"/>
      <c r="F70" s="945"/>
      <c r="G70" s="108"/>
      <c r="H70" s="945"/>
      <c r="I70" s="202" t="s">
        <v>1352</v>
      </c>
      <c r="V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</row>
    <row r="71" spans="1:40" ht="21.95" customHeight="1" x14ac:dyDescent="0.2">
      <c r="A71" s="99"/>
      <c r="B71" s="761" t="s">
        <v>1480</v>
      </c>
      <c r="C71" s="207">
        <v>485</v>
      </c>
      <c r="D71" s="208" t="s">
        <v>251</v>
      </c>
      <c r="E71" s="849"/>
      <c r="F71" s="849"/>
      <c r="H71" s="849"/>
      <c r="I71" s="883"/>
      <c r="V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</row>
    <row r="72" spans="1:40" ht="21.95" customHeight="1" x14ac:dyDescent="0.2">
      <c r="A72" s="99"/>
      <c r="B72" s="231" t="s">
        <v>1481</v>
      </c>
      <c r="C72" s="234">
        <v>490</v>
      </c>
      <c r="D72" s="267" t="s">
        <v>251</v>
      </c>
      <c r="E72" s="671"/>
      <c r="F72" s="671"/>
      <c r="H72" s="671"/>
      <c r="I72" s="777"/>
      <c r="V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</row>
    <row r="73" spans="1:40" ht="21.95" customHeight="1" thickBot="1" x14ac:dyDescent="0.25">
      <c r="A73" s="99"/>
      <c r="B73" s="497" t="s">
        <v>1482</v>
      </c>
      <c r="C73" s="236">
        <v>495</v>
      </c>
      <c r="D73" s="238" t="s">
        <v>251</v>
      </c>
      <c r="E73" s="884"/>
      <c r="F73" s="884"/>
      <c r="H73" s="884"/>
      <c r="I73" s="503">
        <f>SUM(I71:I72)</f>
        <v>0</v>
      </c>
      <c r="V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</row>
    <row r="74" spans="1:40" ht="13.5" thickTop="1" x14ac:dyDescent="0.2"/>
    <row r="76" spans="1:40" ht="13.5" thickBot="1" x14ac:dyDescent="0.25"/>
    <row r="77" spans="1:40" ht="14.25" thickTop="1" thickBot="1" x14ac:dyDescent="0.25">
      <c r="E77" s="376" t="s">
        <v>1320</v>
      </c>
      <c r="F77" s="377"/>
      <c r="H77" s="377"/>
      <c r="I77" s="634"/>
      <c r="R77" s="97"/>
      <c r="V77" s="381"/>
      <c r="AC77" s="376" t="s">
        <v>1322</v>
      </c>
      <c r="AD77" s="634"/>
      <c r="AE77" s="634"/>
      <c r="AF77" s="377"/>
      <c r="AG77" s="377"/>
      <c r="AH77" s="377"/>
      <c r="AI77" s="377"/>
      <c r="AJ77" s="377"/>
      <c r="AK77" s="377"/>
      <c r="AL77" s="377"/>
      <c r="AM77" s="381"/>
    </row>
    <row r="78" spans="1:40" ht="13.5" thickTop="1" x14ac:dyDescent="0.2">
      <c r="B78" s="242"/>
      <c r="C78" s="195"/>
      <c r="D78" s="195" t="s">
        <v>25</v>
      </c>
      <c r="E78" s="353" t="s">
        <v>235</v>
      </c>
      <c r="F78" s="353" t="s">
        <v>236</v>
      </c>
      <c r="G78" s="97"/>
      <c r="H78" s="353" t="s">
        <v>294</v>
      </c>
      <c r="I78" s="707"/>
      <c r="R78" s="97"/>
      <c r="S78" s="97"/>
      <c r="T78" s="97"/>
      <c r="U78" s="97"/>
      <c r="V78" s="293" t="s">
        <v>580</v>
      </c>
      <c r="W78" s="97"/>
      <c r="AC78" s="353" t="s">
        <v>823</v>
      </c>
      <c r="AD78" s="353" t="s">
        <v>824</v>
      </c>
      <c r="AE78" s="353" t="s">
        <v>825</v>
      </c>
      <c r="AF78" s="353" t="s">
        <v>826</v>
      </c>
      <c r="AG78" s="353" t="s">
        <v>827</v>
      </c>
      <c r="AH78" s="353" t="s">
        <v>828</v>
      </c>
      <c r="AI78" s="353" t="s">
        <v>829</v>
      </c>
      <c r="AJ78" s="353" t="s">
        <v>830</v>
      </c>
      <c r="AK78" s="353" t="s">
        <v>831</v>
      </c>
      <c r="AL78" s="353" t="s">
        <v>1323</v>
      </c>
      <c r="AM78" s="293" t="s">
        <v>1324</v>
      </c>
    </row>
    <row r="79" spans="1:40" ht="63.75" x14ac:dyDescent="0.2">
      <c r="B79" s="198" t="s">
        <v>324</v>
      </c>
      <c r="C79" s="199" t="s">
        <v>238</v>
      </c>
      <c r="D79" s="199"/>
      <c r="E79" s="201" t="s">
        <v>799</v>
      </c>
      <c r="F79" s="201" t="s">
        <v>1328</v>
      </c>
      <c r="G79" s="97"/>
      <c r="H79" s="201" t="s">
        <v>302</v>
      </c>
      <c r="I79" s="709"/>
      <c r="R79" s="97"/>
      <c r="S79" s="97"/>
      <c r="T79" s="97"/>
      <c r="U79" s="97"/>
      <c r="V79" s="202" t="s">
        <v>305</v>
      </c>
      <c r="W79" s="97"/>
      <c r="AC79" s="201" t="s">
        <v>1005</v>
      </c>
      <c r="AD79" s="201" t="s">
        <v>1006</v>
      </c>
      <c r="AE79" s="201" t="s">
        <v>1007</v>
      </c>
      <c r="AF79" s="201" t="s">
        <v>590</v>
      </c>
      <c r="AG79" s="201" t="s">
        <v>1008</v>
      </c>
      <c r="AH79" s="201" t="s">
        <v>1265</v>
      </c>
      <c r="AI79" s="201" t="s">
        <v>1266</v>
      </c>
      <c r="AJ79" s="201" t="s">
        <v>1267</v>
      </c>
      <c r="AK79" s="201" t="s">
        <v>599</v>
      </c>
      <c r="AL79" s="201" t="s">
        <v>1268</v>
      </c>
      <c r="AM79" s="202" t="s">
        <v>1269</v>
      </c>
    </row>
    <row r="80" spans="1:40" ht="13.5" thickBot="1" x14ac:dyDescent="0.25">
      <c r="B80" s="198"/>
      <c r="C80" s="204" t="s">
        <v>242</v>
      </c>
      <c r="D80" s="204"/>
      <c r="E80" s="278" t="s">
        <v>243</v>
      </c>
      <c r="F80" s="278" t="s">
        <v>243</v>
      </c>
      <c r="G80" s="97"/>
      <c r="H80" s="278" t="s">
        <v>243</v>
      </c>
      <c r="I80" s="711"/>
      <c r="R80" s="97"/>
      <c r="S80" s="97"/>
      <c r="T80" s="97"/>
      <c r="U80" s="97"/>
      <c r="V80" s="294" t="s">
        <v>243</v>
      </c>
      <c r="W80" s="97"/>
      <c r="AC80" s="278" t="s">
        <v>243</v>
      </c>
      <c r="AD80" s="278" t="s">
        <v>243</v>
      </c>
      <c r="AE80" s="278" t="s">
        <v>243</v>
      </c>
      <c r="AF80" s="278" t="s">
        <v>243</v>
      </c>
      <c r="AG80" s="278" t="s">
        <v>243</v>
      </c>
      <c r="AH80" s="278" t="s">
        <v>243</v>
      </c>
      <c r="AI80" s="278" t="s">
        <v>243</v>
      </c>
      <c r="AJ80" s="278" t="s">
        <v>243</v>
      </c>
      <c r="AK80" s="278" t="s">
        <v>243</v>
      </c>
      <c r="AL80" s="278" t="s">
        <v>243</v>
      </c>
      <c r="AM80" s="202" t="s">
        <v>243</v>
      </c>
    </row>
    <row r="81" spans="1:39" ht="21.95" customHeight="1" x14ac:dyDescent="0.2">
      <c r="B81" s="314" t="s">
        <v>1248</v>
      </c>
      <c r="C81" s="735"/>
      <c r="D81" s="735"/>
      <c r="E81" s="317"/>
      <c r="F81" s="317"/>
      <c r="H81" s="317"/>
      <c r="I81" s="317"/>
      <c r="V81" s="614"/>
      <c r="AC81" s="947"/>
      <c r="AD81" s="947"/>
      <c r="AE81" s="317"/>
      <c r="AF81" s="317"/>
      <c r="AG81" s="317"/>
      <c r="AH81" s="317"/>
      <c r="AI81" s="317"/>
      <c r="AJ81" s="317"/>
      <c r="AK81" s="317"/>
      <c r="AL81" s="317"/>
      <c r="AM81" s="318"/>
    </row>
    <row r="82" spans="1:39" ht="21.95" customHeight="1" x14ac:dyDescent="0.2">
      <c r="B82" s="188" t="s">
        <v>1483</v>
      </c>
      <c r="C82" s="251">
        <v>500</v>
      </c>
      <c r="D82" s="250" t="s">
        <v>248</v>
      </c>
      <c r="E82" s="306">
        <f>('1415TRU16_AST_P13'!E138*-1)</f>
        <v>0</v>
      </c>
      <c r="F82" s="306">
        <f>('1415TRU16_AST_P13'!F138*-1)</f>
        <v>0</v>
      </c>
      <c r="H82" s="622"/>
      <c r="I82" s="321"/>
      <c r="V82" s="1234"/>
      <c r="AC82" s="896"/>
      <c r="AD82" s="896"/>
      <c r="AE82" s="321"/>
      <c r="AF82" s="321"/>
      <c r="AG82" s="321"/>
      <c r="AH82" s="321"/>
      <c r="AI82" s="321"/>
      <c r="AJ82" s="321"/>
      <c r="AK82" s="321"/>
      <c r="AL82" s="321"/>
      <c r="AM82" s="578"/>
    </row>
    <row r="83" spans="1:39" ht="21.95" customHeight="1" x14ac:dyDescent="0.2">
      <c r="B83" s="213" t="s">
        <v>1484</v>
      </c>
      <c r="C83" s="218">
        <v>510</v>
      </c>
      <c r="D83" s="217" t="s">
        <v>248</v>
      </c>
      <c r="E83" s="300">
        <f>('1415TRU16_AST_P13'!E139*-1)</f>
        <v>0</v>
      </c>
      <c r="F83" s="300">
        <f>('1415TRU16_AST_P13'!F139*-1)</f>
        <v>0</v>
      </c>
      <c r="H83" s="334"/>
      <c r="I83" s="324"/>
      <c r="V83" s="395"/>
      <c r="AC83" s="897"/>
      <c r="AD83" s="897"/>
      <c r="AE83" s="324"/>
      <c r="AF83" s="324"/>
      <c r="AG83" s="324"/>
      <c r="AH83" s="324"/>
      <c r="AI83" s="324"/>
      <c r="AJ83" s="324"/>
      <c r="AK83" s="324"/>
      <c r="AL83" s="324"/>
      <c r="AM83" s="331"/>
    </row>
    <row r="84" spans="1:39" ht="21.95" customHeight="1" x14ac:dyDescent="0.2">
      <c r="A84" s="186"/>
      <c r="B84" s="213" t="s">
        <v>1485</v>
      </c>
      <c r="C84" s="218">
        <v>520</v>
      </c>
      <c r="D84" s="217" t="s">
        <v>248</v>
      </c>
      <c r="E84" s="220">
        <v>0</v>
      </c>
      <c r="F84" s="220">
        <f>F129</f>
        <v>0</v>
      </c>
      <c r="H84" s="220">
        <f>F84-V84</f>
        <v>0</v>
      </c>
      <c r="I84" s="324"/>
      <c r="V84" s="1236"/>
      <c r="AC84" s="334"/>
      <c r="AD84" s="334"/>
      <c r="AE84" s="334"/>
      <c r="AF84" s="334"/>
      <c r="AG84" s="324"/>
      <c r="AH84" s="324"/>
      <c r="AI84" s="324"/>
      <c r="AJ84" s="324"/>
      <c r="AK84" s="324"/>
      <c r="AL84" s="324"/>
      <c r="AM84" s="331"/>
    </row>
    <row r="85" spans="1:39" ht="21.95" customHeight="1" x14ac:dyDescent="0.2">
      <c r="A85" s="186"/>
      <c r="B85" s="213" t="s">
        <v>1486</v>
      </c>
      <c r="C85" s="218">
        <v>530</v>
      </c>
      <c r="D85" s="217" t="s">
        <v>248</v>
      </c>
      <c r="E85" s="228"/>
      <c r="F85" s="228"/>
      <c r="H85" s="220">
        <f>F85-V85</f>
        <v>0</v>
      </c>
      <c r="I85" s="324"/>
      <c r="V85" s="305"/>
      <c r="AC85" s="334"/>
      <c r="AD85" s="334"/>
      <c r="AE85" s="334"/>
      <c r="AF85" s="334"/>
      <c r="AG85" s="324"/>
      <c r="AH85" s="324"/>
      <c r="AI85" s="324"/>
      <c r="AJ85" s="324"/>
      <c r="AK85" s="324"/>
      <c r="AL85" s="324"/>
      <c r="AM85" s="331"/>
    </row>
    <row r="86" spans="1:39" ht="21.95" customHeight="1" x14ac:dyDescent="0.2">
      <c r="B86" s="213" t="s">
        <v>1487</v>
      </c>
      <c r="C86" s="218">
        <v>540</v>
      </c>
      <c r="D86" s="217" t="s">
        <v>248</v>
      </c>
      <c r="E86" s="228"/>
      <c r="F86" s="228"/>
      <c r="H86" s="324"/>
      <c r="I86" s="324"/>
      <c r="V86" s="335"/>
      <c r="AC86" s="897"/>
      <c r="AD86" s="897"/>
      <c r="AE86" s="324"/>
      <c r="AF86" s="324"/>
      <c r="AG86" s="324"/>
      <c r="AH86" s="324"/>
      <c r="AI86" s="324"/>
      <c r="AJ86" s="324"/>
      <c r="AK86" s="324"/>
      <c r="AL86" s="324"/>
      <c r="AM86" s="331"/>
    </row>
    <row r="87" spans="1:39" ht="27" customHeight="1" x14ac:dyDescent="0.2">
      <c r="B87" s="266" t="s">
        <v>1488</v>
      </c>
      <c r="C87" s="218">
        <v>550</v>
      </c>
      <c r="D87" s="219" t="s">
        <v>248</v>
      </c>
      <c r="E87" s="228"/>
      <c r="F87" s="228"/>
      <c r="H87" s="324"/>
      <c r="I87" s="324"/>
      <c r="V87" s="395"/>
      <c r="AC87" s="897"/>
      <c r="AD87" s="897"/>
      <c r="AE87" s="324"/>
      <c r="AF87" s="324"/>
      <c r="AG87" s="324"/>
      <c r="AH87" s="324"/>
      <c r="AI87" s="324"/>
      <c r="AJ87" s="324"/>
      <c r="AK87" s="324"/>
      <c r="AL87" s="324"/>
      <c r="AM87" s="331"/>
    </row>
    <row r="88" spans="1:39" ht="21.95" customHeight="1" x14ac:dyDescent="0.2">
      <c r="B88" s="213" t="s">
        <v>1489</v>
      </c>
      <c r="C88" s="218">
        <v>560</v>
      </c>
      <c r="D88" s="217" t="s">
        <v>248</v>
      </c>
      <c r="E88" s="228"/>
      <c r="F88" s="228"/>
      <c r="H88" s="324"/>
      <c r="I88" s="324"/>
      <c r="V88" s="335"/>
      <c r="AC88" s="897"/>
      <c r="AD88" s="897"/>
      <c r="AE88" s="324"/>
      <c r="AF88" s="324"/>
      <c r="AG88" s="324"/>
      <c r="AH88" s="324"/>
      <c r="AI88" s="324"/>
      <c r="AJ88" s="324"/>
      <c r="AK88" s="324"/>
      <c r="AL88" s="324"/>
      <c r="AM88" s="331"/>
    </row>
    <row r="89" spans="1:39" ht="27" customHeight="1" x14ac:dyDescent="0.2">
      <c r="B89" s="266" t="s">
        <v>1490</v>
      </c>
      <c r="C89" s="218">
        <v>570</v>
      </c>
      <c r="D89" s="219" t="s">
        <v>248</v>
      </c>
      <c r="E89" s="228"/>
      <c r="F89" s="228"/>
      <c r="H89" s="324"/>
      <c r="I89" s="324"/>
      <c r="V89" s="395"/>
      <c r="AC89" s="897"/>
      <c r="AD89" s="897"/>
      <c r="AE89" s="324"/>
      <c r="AF89" s="324"/>
      <c r="AG89" s="324"/>
      <c r="AH89" s="324"/>
      <c r="AI89" s="324"/>
      <c r="AJ89" s="324"/>
      <c r="AK89" s="324"/>
      <c r="AL89" s="324"/>
      <c r="AM89" s="331"/>
    </row>
    <row r="90" spans="1:39" ht="21.95" customHeight="1" x14ac:dyDescent="0.2">
      <c r="B90" s="213" t="s">
        <v>1491</v>
      </c>
      <c r="C90" s="218">
        <v>580</v>
      </c>
      <c r="D90" s="217" t="s">
        <v>248</v>
      </c>
      <c r="E90" s="300">
        <v>0</v>
      </c>
      <c r="F90" s="228"/>
      <c r="H90" s="220">
        <f>F90-V90</f>
        <v>0</v>
      </c>
      <c r="I90" s="324"/>
      <c r="V90" s="305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97"/>
    </row>
    <row r="91" spans="1:39" ht="21.95" customHeight="1" x14ac:dyDescent="0.2">
      <c r="B91" s="213" t="s">
        <v>1463</v>
      </c>
      <c r="C91" s="218">
        <v>590</v>
      </c>
      <c r="D91" s="217" t="s">
        <v>248</v>
      </c>
      <c r="E91" s="228"/>
      <c r="F91" s="228"/>
      <c r="H91" s="324"/>
      <c r="I91" s="324"/>
      <c r="V91" s="395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97"/>
    </row>
    <row r="92" spans="1:39" ht="21.95" customHeight="1" x14ac:dyDescent="0.2">
      <c r="B92" s="226" t="s">
        <v>1492</v>
      </c>
      <c r="C92" s="218">
        <v>600</v>
      </c>
      <c r="D92" s="217" t="s">
        <v>248</v>
      </c>
      <c r="E92" s="224">
        <f>SUM(E82:E91)</f>
        <v>0</v>
      </c>
      <c r="F92" s="224">
        <f>SUM(F82:F91)</f>
        <v>0</v>
      </c>
      <c r="H92" s="224">
        <f>SUM(F82:F91)-V92</f>
        <v>0</v>
      </c>
      <c r="I92" s="324"/>
      <c r="V92" s="1011">
        <f>SUM(V82:V91)</f>
        <v>0</v>
      </c>
      <c r="W92" s="97"/>
      <c r="AC92" s="224">
        <f t="shared" ref="AC92:AM92" si="10">SUM(AC82:AC91)</f>
        <v>0</v>
      </c>
      <c r="AD92" s="224">
        <f t="shared" si="10"/>
        <v>0</v>
      </c>
      <c r="AE92" s="224">
        <f t="shared" si="10"/>
        <v>0</v>
      </c>
      <c r="AF92" s="224">
        <f t="shared" si="10"/>
        <v>0</v>
      </c>
      <c r="AG92" s="224">
        <f t="shared" si="10"/>
        <v>0</v>
      </c>
      <c r="AH92" s="224">
        <f t="shared" si="10"/>
        <v>0</v>
      </c>
      <c r="AI92" s="224">
        <f t="shared" si="10"/>
        <v>0</v>
      </c>
      <c r="AJ92" s="224">
        <f t="shared" si="10"/>
        <v>0</v>
      </c>
      <c r="AK92" s="224">
        <f t="shared" si="10"/>
        <v>0</v>
      </c>
      <c r="AL92" s="224">
        <f t="shared" si="10"/>
        <v>0</v>
      </c>
      <c r="AM92" s="227">
        <f t="shared" si="10"/>
        <v>0</v>
      </c>
    </row>
    <row r="93" spans="1:39" ht="21.95" customHeight="1" x14ac:dyDescent="0.2">
      <c r="B93" s="226" t="s">
        <v>1493</v>
      </c>
      <c r="C93" s="446"/>
      <c r="D93" s="579"/>
      <c r="E93" s="258"/>
      <c r="F93" s="258"/>
      <c r="H93" s="258"/>
      <c r="I93" s="258"/>
      <c r="V93" s="331"/>
      <c r="AC93" s="901"/>
      <c r="AD93" s="901"/>
      <c r="AE93" s="258"/>
      <c r="AF93" s="258"/>
      <c r="AG93" s="258"/>
      <c r="AH93" s="258"/>
      <c r="AI93" s="258"/>
      <c r="AJ93" s="258"/>
      <c r="AK93" s="258"/>
      <c r="AL93" s="258"/>
      <c r="AM93" s="331"/>
    </row>
    <row r="94" spans="1:39" ht="21.95" customHeight="1" x14ac:dyDescent="0.2">
      <c r="A94" s="186"/>
      <c r="B94" s="188" t="s">
        <v>1485</v>
      </c>
      <c r="C94" s="251">
        <v>610</v>
      </c>
      <c r="D94" s="250" t="s">
        <v>248</v>
      </c>
      <c r="E94" s="253">
        <v>0</v>
      </c>
      <c r="F94" s="253">
        <f>F133</f>
        <v>0</v>
      </c>
      <c r="H94" s="253">
        <f>F94-V94</f>
        <v>0</v>
      </c>
      <c r="I94" s="321"/>
      <c r="V94" s="802"/>
      <c r="AC94" s="622"/>
      <c r="AD94" s="622"/>
      <c r="AE94" s="622"/>
      <c r="AF94" s="622"/>
      <c r="AG94" s="321"/>
      <c r="AH94" s="321"/>
      <c r="AI94" s="321"/>
      <c r="AJ94" s="321"/>
      <c r="AK94" s="321"/>
      <c r="AL94" s="321"/>
      <c r="AM94" s="578"/>
    </row>
    <row r="95" spans="1:39" ht="21.95" customHeight="1" x14ac:dyDescent="0.2">
      <c r="A95" s="186"/>
      <c r="B95" s="213" t="s">
        <v>1486</v>
      </c>
      <c r="C95" s="218">
        <v>620</v>
      </c>
      <c r="D95" s="217" t="s">
        <v>248</v>
      </c>
      <c r="E95" s="228"/>
      <c r="F95" s="228"/>
      <c r="H95" s="220">
        <f>F95-V95</f>
        <v>0</v>
      </c>
      <c r="I95" s="324"/>
      <c r="V95" s="305"/>
      <c r="AC95" s="334"/>
      <c r="AD95" s="334"/>
      <c r="AE95" s="334"/>
      <c r="AF95" s="334"/>
      <c r="AG95" s="324"/>
      <c r="AH95" s="324"/>
      <c r="AI95" s="324"/>
      <c r="AJ95" s="324"/>
      <c r="AK95" s="324"/>
      <c r="AL95" s="324"/>
      <c r="AM95" s="331"/>
    </row>
    <row r="96" spans="1:39" ht="21.95" customHeight="1" x14ac:dyDescent="0.2">
      <c r="B96" s="213" t="s">
        <v>1487</v>
      </c>
      <c r="C96" s="218">
        <v>630</v>
      </c>
      <c r="D96" s="217" t="s">
        <v>248</v>
      </c>
      <c r="E96" s="228"/>
      <c r="F96" s="228"/>
      <c r="H96" s="324"/>
      <c r="I96" s="324"/>
      <c r="V96" s="335"/>
      <c r="AC96" s="897"/>
      <c r="AD96" s="897"/>
      <c r="AE96" s="324"/>
      <c r="AF96" s="324"/>
      <c r="AG96" s="324"/>
      <c r="AH96" s="324"/>
      <c r="AI96" s="324"/>
      <c r="AJ96" s="324"/>
      <c r="AK96" s="324"/>
      <c r="AL96" s="324"/>
      <c r="AM96" s="331"/>
    </row>
    <row r="97" spans="2:39" ht="27" customHeight="1" x14ac:dyDescent="0.2">
      <c r="B97" s="266" t="s">
        <v>1488</v>
      </c>
      <c r="C97" s="218">
        <v>640</v>
      </c>
      <c r="D97" s="219" t="s">
        <v>248</v>
      </c>
      <c r="E97" s="228"/>
      <c r="F97" s="228"/>
      <c r="H97" s="324"/>
      <c r="I97" s="324"/>
      <c r="V97" s="395"/>
      <c r="AC97" s="897"/>
      <c r="AD97" s="897"/>
      <c r="AE97" s="324"/>
      <c r="AF97" s="324"/>
      <c r="AG97" s="324"/>
      <c r="AH97" s="324"/>
      <c r="AI97" s="324"/>
      <c r="AJ97" s="324"/>
      <c r="AK97" s="324"/>
      <c r="AL97" s="324"/>
      <c r="AM97" s="331"/>
    </row>
    <row r="98" spans="2:39" ht="21.95" customHeight="1" x14ac:dyDescent="0.2">
      <c r="B98" s="213" t="s">
        <v>1489</v>
      </c>
      <c r="C98" s="218">
        <v>650</v>
      </c>
      <c r="D98" s="217" t="s">
        <v>248</v>
      </c>
      <c r="E98" s="228"/>
      <c r="F98" s="228"/>
      <c r="H98" s="324"/>
      <c r="I98" s="324"/>
      <c r="V98" s="335"/>
      <c r="AC98" s="897"/>
      <c r="AD98" s="897"/>
      <c r="AE98" s="324"/>
      <c r="AF98" s="324"/>
      <c r="AG98" s="324"/>
      <c r="AH98" s="324"/>
      <c r="AI98" s="324"/>
      <c r="AJ98" s="324"/>
      <c r="AK98" s="324"/>
      <c r="AL98" s="324"/>
      <c r="AM98" s="331"/>
    </row>
    <row r="99" spans="2:39" ht="27" customHeight="1" x14ac:dyDescent="0.2">
      <c r="B99" s="266" t="s">
        <v>1490</v>
      </c>
      <c r="C99" s="218">
        <v>660</v>
      </c>
      <c r="D99" s="219" t="s">
        <v>248</v>
      </c>
      <c r="E99" s="228"/>
      <c r="F99" s="228"/>
      <c r="H99" s="324"/>
      <c r="I99" s="324"/>
      <c r="V99" s="395"/>
      <c r="AC99" s="897"/>
      <c r="AD99" s="897"/>
      <c r="AE99" s="324"/>
      <c r="AF99" s="324"/>
      <c r="AG99" s="324"/>
      <c r="AH99" s="324"/>
      <c r="AI99" s="324"/>
      <c r="AJ99" s="324"/>
      <c r="AK99" s="324"/>
      <c r="AL99" s="324"/>
      <c r="AM99" s="331"/>
    </row>
    <row r="100" spans="2:39" ht="21.95" customHeight="1" x14ac:dyDescent="0.2">
      <c r="B100" s="213" t="s">
        <v>1491</v>
      </c>
      <c r="C100" s="218">
        <v>670</v>
      </c>
      <c r="D100" s="217" t="s">
        <v>248</v>
      </c>
      <c r="E100" s="300">
        <v>0</v>
      </c>
      <c r="F100" s="228"/>
      <c r="H100" s="220">
        <f>F100-V100</f>
        <v>0</v>
      </c>
      <c r="I100" s="324"/>
      <c r="V100" s="305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97"/>
    </row>
    <row r="101" spans="2:39" ht="21.95" customHeight="1" x14ac:dyDescent="0.2">
      <c r="B101" s="213" t="s">
        <v>1463</v>
      </c>
      <c r="C101" s="218">
        <v>680</v>
      </c>
      <c r="D101" s="217" t="s">
        <v>248</v>
      </c>
      <c r="E101" s="228"/>
      <c r="F101" s="228"/>
      <c r="H101" s="324"/>
      <c r="I101" s="324"/>
      <c r="V101" s="395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97"/>
    </row>
    <row r="102" spans="2:39" ht="21.95" customHeight="1" x14ac:dyDescent="0.2">
      <c r="B102" s="226" t="s">
        <v>1494</v>
      </c>
      <c r="C102" s="234">
        <v>690</v>
      </c>
      <c r="D102" s="237" t="s">
        <v>248</v>
      </c>
      <c r="E102" s="239">
        <f>SUM(E94:E101)</f>
        <v>0</v>
      </c>
      <c r="F102" s="239">
        <f>SUM(F94:F101)</f>
        <v>0</v>
      </c>
      <c r="H102" s="239">
        <f>SUM(F94:F101)-V102</f>
        <v>0</v>
      </c>
      <c r="I102" s="258"/>
      <c r="V102" s="299">
        <f>SUM(V94:V101)</f>
        <v>0</v>
      </c>
      <c r="W102" s="97"/>
      <c r="AC102" s="239">
        <f t="shared" ref="AC102:AM102" si="11">SUM(AC94:AC101)</f>
        <v>0</v>
      </c>
      <c r="AD102" s="239">
        <f t="shared" si="11"/>
        <v>0</v>
      </c>
      <c r="AE102" s="239">
        <f t="shared" si="11"/>
        <v>0</v>
      </c>
      <c r="AF102" s="239">
        <f t="shared" si="11"/>
        <v>0</v>
      </c>
      <c r="AG102" s="239">
        <f t="shared" si="11"/>
        <v>0</v>
      </c>
      <c r="AH102" s="239">
        <f t="shared" si="11"/>
        <v>0</v>
      </c>
      <c r="AI102" s="239">
        <f t="shared" si="11"/>
        <v>0</v>
      </c>
      <c r="AJ102" s="239">
        <f t="shared" si="11"/>
        <v>0</v>
      </c>
      <c r="AK102" s="239">
        <f t="shared" si="11"/>
        <v>0</v>
      </c>
      <c r="AL102" s="239">
        <f t="shared" si="11"/>
        <v>0</v>
      </c>
      <c r="AM102" s="227">
        <f t="shared" si="11"/>
        <v>0</v>
      </c>
    </row>
    <row r="103" spans="2:39" ht="21.95" customHeight="1" thickBot="1" x14ac:dyDescent="0.25">
      <c r="B103" s="233" t="s">
        <v>1495</v>
      </c>
      <c r="C103" s="236">
        <v>700</v>
      </c>
      <c r="D103" s="235" t="s">
        <v>248</v>
      </c>
      <c r="E103" s="240">
        <f>E92+E102</f>
        <v>0</v>
      </c>
      <c r="F103" s="240">
        <f>F92+F102</f>
        <v>0</v>
      </c>
      <c r="H103" s="240">
        <f>H92+H102</f>
        <v>0</v>
      </c>
      <c r="I103" s="340"/>
      <c r="V103" s="301">
        <f>V92+V102</f>
        <v>0</v>
      </c>
      <c r="W103" s="97"/>
      <c r="AC103" s="240">
        <f t="shared" ref="AC103:AM103" si="12">AC92+AC102</f>
        <v>0</v>
      </c>
      <c r="AD103" s="240">
        <f t="shared" si="12"/>
        <v>0</v>
      </c>
      <c r="AE103" s="240">
        <f t="shared" si="12"/>
        <v>0</v>
      </c>
      <c r="AF103" s="240">
        <f t="shared" si="12"/>
        <v>0</v>
      </c>
      <c r="AG103" s="240">
        <f t="shared" si="12"/>
        <v>0</v>
      </c>
      <c r="AH103" s="240">
        <f t="shared" si="12"/>
        <v>0</v>
      </c>
      <c r="AI103" s="240">
        <f t="shared" si="12"/>
        <v>0</v>
      </c>
      <c r="AJ103" s="240">
        <f t="shared" si="12"/>
        <v>0</v>
      </c>
      <c r="AK103" s="240">
        <f t="shared" si="12"/>
        <v>0</v>
      </c>
      <c r="AL103" s="240">
        <f t="shared" si="12"/>
        <v>0</v>
      </c>
      <c r="AM103" s="241">
        <f t="shared" si="12"/>
        <v>0</v>
      </c>
    </row>
    <row r="104" spans="2:39" ht="13.5" thickTop="1" x14ac:dyDescent="0.2">
      <c r="C104" s="157"/>
      <c r="D104" s="157"/>
    </row>
    <row r="105" spans="2:39" x14ac:dyDescent="0.2">
      <c r="C105" s="157"/>
      <c r="D105" s="157"/>
    </row>
    <row r="106" spans="2:39" ht="13.5" thickBot="1" x14ac:dyDescent="0.25">
      <c r="C106" s="157"/>
      <c r="D106" s="157"/>
    </row>
    <row r="107" spans="2:39" ht="13.5" thickTop="1" x14ac:dyDescent="0.2">
      <c r="B107" s="242" t="s">
        <v>1496</v>
      </c>
      <c r="C107" s="195"/>
      <c r="D107" s="195"/>
      <c r="E107" s="353" t="s">
        <v>1497</v>
      </c>
      <c r="F107" s="353" t="s">
        <v>352</v>
      </c>
      <c r="H107" s="293" t="s">
        <v>340</v>
      </c>
      <c r="V107" s="469"/>
      <c r="W107" s="97"/>
    </row>
    <row r="108" spans="2:39" ht="13.5" thickBot="1" x14ac:dyDescent="0.25">
      <c r="B108" s="198"/>
      <c r="C108" s="204"/>
      <c r="D108" s="204"/>
      <c r="E108" s="278" t="s">
        <v>243</v>
      </c>
      <c r="F108" s="278" t="s">
        <v>243</v>
      </c>
      <c r="H108" s="202" t="s">
        <v>243</v>
      </c>
      <c r="V108" s="469"/>
      <c r="W108" s="97"/>
    </row>
    <row r="109" spans="2:39" ht="21.95" customHeight="1" x14ac:dyDescent="0.2">
      <c r="B109" s="189" t="s">
        <v>1498</v>
      </c>
      <c r="C109" s="207">
        <v>710</v>
      </c>
      <c r="D109" s="206" t="s">
        <v>248</v>
      </c>
      <c r="E109" s="209">
        <v>0</v>
      </c>
      <c r="F109" s="356"/>
      <c r="H109" s="808">
        <f>SUM(E109:F109)</f>
        <v>0</v>
      </c>
      <c r="V109" s="104"/>
      <c r="W109" s="806">
        <f>SUM(E109:V110)</f>
        <v>0</v>
      </c>
    </row>
    <row r="110" spans="2:39" ht="21.95" customHeight="1" x14ac:dyDescent="0.2">
      <c r="B110" s="213" t="s">
        <v>1499</v>
      </c>
      <c r="C110" s="218">
        <v>720</v>
      </c>
      <c r="D110" s="217" t="s">
        <v>248</v>
      </c>
      <c r="E110" s="228"/>
      <c r="F110" s="228"/>
      <c r="H110" s="227">
        <f>SUM(E110:F110)</f>
        <v>0</v>
      </c>
      <c r="V110" s="104"/>
      <c r="W110" s="806">
        <f>SUM(E110:V111)</f>
        <v>0</v>
      </c>
    </row>
    <row r="111" spans="2:39" ht="21.95" customHeight="1" x14ac:dyDescent="0.2">
      <c r="B111" s="213" t="s">
        <v>1500</v>
      </c>
      <c r="C111" s="218">
        <v>730</v>
      </c>
      <c r="D111" s="217" t="s">
        <v>248</v>
      </c>
      <c r="E111" s="228"/>
      <c r="F111" s="228"/>
      <c r="H111" s="227">
        <f>SUM(E111:F111)</f>
        <v>0</v>
      </c>
      <c r="V111" s="104"/>
      <c r="W111" s="108"/>
    </row>
    <row r="112" spans="2:39" ht="21.95" customHeight="1" x14ac:dyDescent="0.2">
      <c r="B112" s="213" t="s">
        <v>1501</v>
      </c>
      <c r="C112" s="234">
        <v>740</v>
      </c>
      <c r="D112" s="237" t="s">
        <v>248</v>
      </c>
      <c r="E112" s="396"/>
      <c r="F112" s="396"/>
      <c r="H112" s="227">
        <f>SUM(E112:F112)</f>
        <v>0</v>
      </c>
      <c r="V112" s="104"/>
      <c r="W112" s="108"/>
    </row>
    <row r="113" spans="1:40" ht="21.95" customHeight="1" thickBot="1" x14ac:dyDescent="0.25">
      <c r="B113" s="233" t="s">
        <v>358</v>
      </c>
      <c r="C113" s="236">
        <v>750</v>
      </c>
      <c r="D113" s="235" t="s">
        <v>248</v>
      </c>
      <c r="E113" s="240">
        <f>SUM(E109:E112)</f>
        <v>0</v>
      </c>
      <c r="F113" s="240">
        <f>SUM(F109:F112)</f>
        <v>0</v>
      </c>
      <c r="G113" s="97"/>
      <c r="H113" s="241">
        <f>SUM(H109:H112)</f>
        <v>0</v>
      </c>
      <c r="V113" s="713"/>
      <c r="W113" s="108"/>
    </row>
    <row r="114" spans="1:40" ht="14.25" hidden="1" thickTop="1" thickBot="1" x14ac:dyDescent="0.25">
      <c r="A114" s="157"/>
    </row>
    <row r="115" spans="1:40" ht="14.25" hidden="1" thickTop="1" thickBot="1" x14ac:dyDescent="0.25">
      <c r="A115" s="157"/>
    </row>
    <row r="116" spans="1:40" ht="14.25" hidden="1" thickTop="1" thickBot="1" x14ac:dyDescent="0.25">
      <c r="A116" s="157"/>
    </row>
    <row r="117" spans="1:40" ht="83.1" customHeight="1" thickTop="1" thickBot="1" x14ac:dyDescent="0.25">
      <c r="A117" s="99"/>
      <c r="B117" s="264" t="s">
        <v>1470</v>
      </c>
      <c r="C117" s="146"/>
      <c r="D117" s="146"/>
      <c r="E117" s="945"/>
      <c r="F117" s="945"/>
      <c r="G117" s="108"/>
      <c r="H117" s="945"/>
      <c r="I117" s="293" t="s">
        <v>1352</v>
      </c>
      <c r="V117" s="102"/>
      <c r="W117" s="97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</row>
    <row r="118" spans="1:40" ht="21.95" customHeight="1" x14ac:dyDescent="0.2">
      <c r="A118" s="99"/>
      <c r="B118" s="761" t="s">
        <v>1502</v>
      </c>
      <c r="C118" s="207">
        <v>754</v>
      </c>
      <c r="D118" s="208" t="s">
        <v>251</v>
      </c>
      <c r="E118" s="849"/>
      <c r="F118" s="849"/>
      <c r="H118" s="849"/>
      <c r="I118" s="883"/>
      <c r="V118" s="102"/>
      <c r="W118" s="97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</row>
    <row r="119" spans="1:40" ht="21.95" customHeight="1" x14ac:dyDescent="0.2">
      <c r="A119" s="99"/>
      <c r="B119" s="231" t="s">
        <v>1503</v>
      </c>
      <c r="C119" s="234">
        <v>756</v>
      </c>
      <c r="D119" s="267" t="s">
        <v>251</v>
      </c>
      <c r="E119" s="671"/>
      <c r="F119" s="671"/>
      <c r="H119" s="671"/>
      <c r="I119" s="777"/>
      <c r="V119" s="102"/>
      <c r="W119" s="97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</row>
    <row r="120" spans="1:40" ht="21.95" customHeight="1" thickBot="1" x14ac:dyDescent="0.25">
      <c r="A120" s="99"/>
      <c r="B120" s="497" t="s">
        <v>1495</v>
      </c>
      <c r="C120" s="236">
        <v>758</v>
      </c>
      <c r="D120" s="238" t="s">
        <v>251</v>
      </c>
      <c r="E120" s="884"/>
      <c r="F120" s="884"/>
      <c r="H120" s="884"/>
      <c r="I120" s="503">
        <f>SUM(I118:I119)</f>
        <v>0</v>
      </c>
      <c r="V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</row>
    <row r="121" spans="1:40" ht="14.25" thickTop="1" thickBot="1" x14ac:dyDescent="0.25">
      <c r="A121" s="157"/>
      <c r="C121" s="97"/>
    </row>
    <row r="122" spans="1:40" ht="14.25" thickTop="1" thickBot="1" x14ac:dyDescent="0.25">
      <c r="A122" s="157"/>
      <c r="B122" s="97"/>
      <c r="C122" s="97"/>
      <c r="E122" s="376" t="s">
        <v>1320</v>
      </c>
      <c r="F122" s="377"/>
      <c r="H122" s="377"/>
      <c r="I122" s="634"/>
      <c r="R122" s="97"/>
      <c r="V122" s="382"/>
      <c r="W122" s="97"/>
      <c r="AE122" s="97"/>
    </row>
    <row r="123" spans="1:40" ht="13.5" thickTop="1" x14ac:dyDescent="0.2">
      <c r="A123" s="157"/>
      <c r="B123" s="261"/>
      <c r="C123" s="195"/>
      <c r="D123" s="195" t="s">
        <v>25</v>
      </c>
      <c r="E123" s="353" t="s">
        <v>235</v>
      </c>
      <c r="F123" s="353" t="s">
        <v>236</v>
      </c>
      <c r="G123" s="97"/>
      <c r="H123" s="353" t="s">
        <v>294</v>
      </c>
      <c r="I123" s="707"/>
      <c r="R123" s="97"/>
      <c r="S123" s="97"/>
      <c r="T123" s="97"/>
      <c r="U123" s="97"/>
      <c r="V123" s="293" t="s">
        <v>580</v>
      </c>
      <c r="AE123" s="469"/>
      <c r="AF123" s="469"/>
      <c r="AG123" s="469"/>
      <c r="AH123" s="469"/>
      <c r="AI123" s="469"/>
      <c r="AJ123" s="469"/>
      <c r="AK123" s="469"/>
      <c r="AL123" s="469"/>
      <c r="AM123" s="469"/>
    </row>
    <row r="124" spans="1:40" ht="63.75" x14ac:dyDescent="0.2">
      <c r="A124" s="157"/>
      <c r="B124" s="264" t="s">
        <v>1504</v>
      </c>
      <c r="C124" s="199" t="s">
        <v>238</v>
      </c>
      <c r="D124" s="199"/>
      <c r="E124" s="201" t="s">
        <v>239</v>
      </c>
      <c r="F124" s="201" t="s">
        <v>1328</v>
      </c>
      <c r="G124" s="97"/>
      <c r="H124" s="201" t="s">
        <v>302</v>
      </c>
      <c r="I124" s="709"/>
      <c r="R124" s="97"/>
      <c r="S124" s="97"/>
      <c r="T124" s="97"/>
      <c r="U124" s="97"/>
      <c r="V124" s="202" t="s">
        <v>305</v>
      </c>
      <c r="AE124" s="469"/>
      <c r="AF124" s="469"/>
      <c r="AG124" s="469"/>
      <c r="AH124" s="469"/>
      <c r="AI124" s="469"/>
      <c r="AJ124" s="469"/>
      <c r="AK124" s="469"/>
      <c r="AL124" s="469"/>
      <c r="AM124" s="469"/>
    </row>
    <row r="125" spans="1:40" ht="13.5" thickBot="1" x14ac:dyDescent="0.25">
      <c r="A125" s="157"/>
      <c r="B125" s="265"/>
      <c r="C125" s="204" t="s">
        <v>242</v>
      </c>
      <c r="D125" s="204"/>
      <c r="E125" s="278" t="s">
        <v>243</v>
      </c>
      <c r="F125" s="278" t="s">
        <v>243</v>
      </c>
      <c r="G125" s="97"/>
      <c r="H125" s="278" t="s">
        <v>243</v>
      </c>
      <c r="I125" s="711"/>
      <c r="R125" s="97"/>
      <c r="S125" s="97"/>
      <c r="T125" s="97"/>
      <c r="U125" s="97"/>
      <c r="V125" s="294" t="s">
        <v>243</v>
      </c>
      <c r="W125" s="97"/>
      <c r="AE125" s="469"/>
      <c r="AF125" s="469"/>
      <c r="AG125" s="469"/>
      <c r="AH125" s="469"/>
      <c r="AI125" s="469"/>
      <c r="AJ125" s="469"/>
      <c r="AK125" s="469"/>
      <c r="AL125" s="469"/>
      <c r="AM125" s="469"/>
    </row>
    <row r="126" spans="1:40" hidden="1" x14ac:dyDescent="0.2">
      <c r="A126" s="99"/>
      <c r="B126" s="100" t="s">
        <v>1505</v>
      </c>
      <c r="C126" s="102">
        <v>760</v>
      </c>
      <c r="D126" s="99" t="s">
        <v>248</v>
      </c>
      <c r="E126" s="100"/>
      <c r="F126" s="99"/>
      <c r="H126" s="99"/>
      <c r="I126" s="99"/>
      <c r="V126" s="99"/>
      <c r="W126" s="97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</row>
    <row r="127" spans="1:40" ht="21.95" customHeight="1" x14ac:dyDescent="0.2">
      <c r="B127" s="254" t="s">
        <v>1506</v>
      </c>
      <c r="C127" s="251">
        <v>765</v>
      </c>
      <c r="D127" s="252" t="s">
        <v>248</v>
      </c>
      <c r="E127" s="1192">
        <v>0</v>
      </c>
      <c r="F127" s="422"/>
      <c r="H127" s="337">
        <f>F127-V127</f>
        <v>0</v>
      </c>
      <c r="I127" s="321"/>
      <c r="V127" s="307"/>
    </row>
    <row r="128" spans="1:40" ht="21.95" customHeight="1" x14ac:dyDescent="0.2">
      <c r="A128" s="157"/>
      <c r="B128" s="657" t="s">
        <v>1507</v>
      </c>
      <c r="C128" s="218">
        <v>770</v>
      </c>
      <c r="D128" s="217" t="s">
        <v>248</v>
      </c>
      <c r="E128" s="1182">
        <v>0</v>
      </c>
      <c r="F128" s="228"/>
      <c r="H128" s="338">
        <f>F128-V128</f>
        <v>0</v>
      </c>
      <c r="I128" s="324"/>
      <c r="V128" s="298"/>
    </row>
    <row r="129" spans="1:40" ht="21.95" customHeight="1" x14ac:dyDescent="0.2">
      <c r="A129" s="157"/>
      <c r="B129" s="223" t="s">
        <v>1508</v>
      </c>
      <c r="C129" s="218">
        <v>780</v>
      </c>
      <c r="D129" s="217" t="s">
        <v>248</v>
      </c>
      <c r="E129" s="224">
        <f>SUM(E127:E128)</f>
        <v>0</v>
      </c>
      <c r="F129" s="224">
        <f>SUM(F127:F128)</f>
        <v>0</v>
      </c>
      <c r="H129" s="224">
        <f>SUM(H127:H128)</f>
        <v>0</v>
      </c>
      <c r="I129" s="324"/>
      <c r="V129" s="305"/>
    </row>
    <row r="130" spans="1:40" hidden="1" x14ac:dyDescent="0.2">
      <c r="A130" s="99"/>
      <c r="B130" s="100" t="s">
        <v>1505</v>
      </c>
      <c r="C130" s="102">
        <v>790</v>
      </c>
      <c r="D130" s="99" t="s">
        <v>248</v>
      </c>
      <c r="E130" s="99"/>
      <c r="F130" s="99"/>
      <c r="H130" s="99"/>
      <c r="I130" s="99"/>
      <c r="V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</row>
    <row r="131" spans="1:40" ht="21.95" customHeight="1" x14ac:dyDescent="0.2">
      <c r="B131" s="254" t="s">
        <v>1509</v>
      </c>
      <c r="C131" s="251">
        <v>795</v>
      </c>
      <c r="D131" s="252" t="s">
        <v>248</v>
      </c>
      <c r="E131" s="1192">
        <v>0</v>
      </c>
      <c r="F131" s="422"/>
      <c r="H131" s="337">
        <f>F131-V131</f>
        <v>0</v>
      </c>
      <c r="I131" s="321"/>
      <c r="V131" s="307"/>
    </row>
    <row r="132" spans="1:40" ht="21.95" customHeight="1" x14ac:dyDescent="0.2">
      <c r="B132" s="657" t="s">
        <v>1510</v>
      </c>
      <c r="C132" s="218">
        <v>800</v>
      </c>
      <c r="D132" s="217" t="s">
        <v>248</v>
      </c>
      <c r="E132" s="1182">
        <v>0</v>
      </c>
      <c r="F132" s="228"/>
      <c r="H132" s="338">
        <f>F132-V132</f>
        <v>0</v>
      </c>
      <c r="I132" s="324"/>
      <c r="V132" s="298"/>
    </row>
    <row r="133" spans="1:40" ht="21.95" customHeight="1" x14ac:dyDescent="0.2">
      <c r="B133" s="226" t="s">
        <v>1511</v>
      </c>
      <c r="C133" s="234">
        <v>810</v>
      </c>
      <c r="D133" s="237" t="s">
        <v>248</v>
      </c>
      <c r="E133" s="679">
        <f>SUM(E131:E132)</f>
        <v>0</v>
      </c>
      <c r="F133" s="239">
        <f>SUM(F131:F132)</f>
        <v>0</v>
      </c>
      <c r="H133" s="239">
        <f>SUM(H131:H132)</f>
        <v>0</v>
      </c>
      <c r="I133" s="258"/>
      <c r="V133" s="298"/>
    </row>
    <row r="134" spans="1:40" ht="21.95" customHeight="1" thickBot="1" x14ac:dyDescent="0.25">
      <c r="B134" s="233" t="s">
        <v>1512</v>
      </c>
      <c r="C134" s="236">
        <v>820</v>
      </c>
      <c r="D134" s="235" t="s">
        <v>248</v>
      </c>
      <c r="E134" s="502">
        <f>E129+E133</f>
        <v>0</v>
      </c>
      <c r="F134" s="240">
        <f>F129+F133</f>
        <v>0</v>
      </c>
      <c r="H134" s="240">
        <f>H129+H133</f>
        <v>0</v>
      </c>
      <c r="I134" s="340"/>
      <c r="V134" s="301">
        <f>V129+V133</f>
        <v>0</v>
      </c>
    </row>
    <row r="135" spans="1:40" ht="14.25" thickTop="1" thickBot="1" x14ac:dyDescent="0.25">
      <c r="B135" s="108"/>
    </row>
    <row r="136" spans="1:40" ht="14.25" thickTop="1" thickBot="1" x14ac:dyDescent="0.25">
      <c r="E136" s="376" t="s">
        <v>1320</v>
      </c>
      <c r="F136" s="377"/>
      <c r="H136" s="377"/>
      <c r="I136" s="634"/>
      <c r="R136" s="97"/>
      <c r="V136" s="377"/>
      <c r="AC136" s="376" t="s">
        <v>1322</v>
      </c>
      <c r="AD136" s="634"/>
      <c r="AE136" s="634"/>
      <c r="AF136" s="377"/>
      <c r="AG136" s="377"/>
      <c r="AH136" s="377"/>
      <c r="AI136" s="377"/>
      <c r="AJ136" s="377"/>
      <c r="AK136" s="377"/>
      <c r="AL136" s="377"/>
      <c r="AM136" s="381"/>
    </row>
    <row r="137" spans="1:40" ht="13.5" thickTop="1" x14ac:dyDescent="0.2">
      <c r="B137" s="242"/>
      <c r="C137" s="195"/>
      <c r="D137" s="195" t="s">
        <v>25</v>
      </c>
      <c r="E137" s="353" t="s">
        <v>235</v>
      </c>
      <c r="F137" s="353" t="s">
        <v>236</v>
      </c>
      <c r="G137" s="97"/>
      <c r="H137" s="353" t="s">
        <v>294</v>
      </c>
      <c r="I137" s="353" t="s">
        <v>298</v>
      </c>
      <c r="R137" s="97"/>
      <c r="S137" s="97"/>
      <c r="T137" s="97"/>
      <c r="U137" s="97"/>
      <c r="V137" s="293" t="s">
        <v>580</v>
      </c>
      <c r="W137" s="97"/>
      <c r="AC137" s="353" t="s">
        <v>823</v>
      </c>
      <c r="AD137" s="353" t="s">
        <v>824</v>
      </c>
      <c r="AE137" s="353" t="s">
        <v>825</v>
      </c>
      <c r="AF137" s="353" t="s">
        <v>826</v>
      </c>
      <c r="AG137" s="353" t="s">
        <v>827</v>
      </c>
      <c r="AH137" s="353" t="s">
        <v>828</v>
      </c>
      <c r="AI137" s="353" t="s">
        <v>829</v>
      </c>
      <c r="AJ137" s="353" t="s">
        <v>830</v>
      </c>
      <c r="AK137" s="353" t="s">
        <v>831</v>
      </c>
      <c r="AL137" s="353" t="s">
        <v>1323</v>
      </c>
      <c r="AM137" s="293" t="s">
        <v>1324</v>
      </c>
    </row>
    <row r="138" spans="1:40" ht="63.75" x14ac:dyDescent="0.2">
      <c r="B138" s="198" t="s">
        <v>1513</v>
      </c>
      <c r="C138" s="199" t="s">
        <v>238</v>
      </c>
      <c r="D138" s="199"/>
      <c r="E138" s="201" t="s">
        <v>239</v>
      </c>
      <c r="F138" s="201" t="s">
        <v>1328</v>
      </c>
      <c r="G138" s="97"/>
      <c r="H138" s="201" t="s">
        <v>302</v>
      </c>
      <c r="I138" s="201"/>
      <c r="R138" s="97"/>
      <c r="S138" s="97"/>
      <c r="T138" s="97"/>
      <c r="U138" s="97"/>
      <c r="V138" s="202" t="s">
        <v>305</v>
      </c>
      <c r="W138" s="97"/>
      <c r="AC138" s="201" t="s">
        <v>1005</v>
      </c>
      <c r="AD138" s="201" t="s">
        <v>1006</v>
      </c>
      <c r="AE138" s="201" t="s">
        <v>1007</v>
      </c>
      <c r="AF138" s="201" t="s">
        <v>590</v>
      </c>
      <c r="AG138" s="201" t="s">
        <v>1008</v>
      </c>
      <c r="AH138" s="201" t="s">
        <v>1265</v>
      </c>
      <c r="AI138" s="201" t="s">
        <v>1266</v>
      </c>
      <c r="AJ138" s="201" t="s">
        <v>1267</v>
      </c>
      <c r="AK138" s="201" t="s">
        <v>599</v>
      </c>
      <c r="AL138" s="201" t="s">
        <v>1268</v>
      </c>
      <c r="AM138" s="202" t="s">
        <v>1269</v>
      </c>
    </row>
    <row r="139" spans="1:40" ht="13.5" thickBot="1" x14ac:dyDescent="0.25">
      <c r="B139" s="198"/>
      <c r="C139" s="204" t="s">
        <v>242</v>
      </c>
      <c r="D139" s="204"/>
      <c r="E139" s="278" t="s">
        <v>243</v>
      </c>
      <c r="F139" s="278" t="s">
        <v>243</v>
      </c>
      <c r="G139" s="97"/>
      <c r="H139" s="278" t="s">
        <v>243</v>
      </c>
      <c r="I139" s="278" t="s">
        <v>243</v>
      </c>
      <c r="R139" s="97"/>
      <c r="S139" s="97"/>
      <c r="T139" s="97"/>
      <c r="U139" s="97"/>
      <c r="V139" s="294" t="s">
        <v>243</v>
      </c>
      <c r="W139" s="97"/>
      <c r="AC139" s="278" t="s">
        <v>243</v>
      </c>
      <c r="AD139" s="278" t="s">
        <v>243</v>
      </c>
      <c r="AE139" s="278" t="s">
        <v>243</v>
      </c>
      <c r="AF139" s="278" t="s">
        <v>243</v>
      </c>
      <c r="AG139" s="278" t="s">
        <v>243</v>
      </c>
      <c r="AH139" s="278" t="s">
        <v>243</v>
      </c>
      <c r="AI139" s="278" t="s">
        <v>243</v>
      </c>
      <c r="AJ139" s="278" t="s">
        <v>243</v>
      </c>
      <c r="AK139" s="278" t="s">
        <v>243</v>
      </c>
      <c r="AL139" s="278" t="s">
        <v>243</v>
      </c>
      <c r="AM139" s="202" t="s">
        <v>243</v>
      </c>
    </row>
    <row r="140" spans="1:40" ht="21.95" customHeight="1" x14ac:dyDescent="0.2">
      <c r="B140" s="314" t="s">
        <v>1248</v>
      </c>
      <c r="C140" s="735"/>
      <c r="D140" s="735"/>
      <c r="E140" s="317"/>
      <c r="F140" s="317"/>
      <c r="H140" s="317"/>
      <c r="I140" s="317"/>
      <c r="V140" s="318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8"/>
    </row>
    <row r="141" spans="1:40" ht="21.95" customHeight="1" x14ac:dyDescent="0.2">
      <c r="B141" s="188" t="s">
        <v>1514</v>
      </c>
      <c r="C141" s="251">
        <v>850</v>
      </c>
      <c r="D141" s="250" t="s">
        <v>248</v>
      </c>
      <c r="E141" s="422"/>
      <c r="F141" s="422"/>
      <c r="H141" s="321"/>
      <c r="I141" s="321"/>
      <c r="V141" s="1213"/>
      <c r="AC141" s="422"/>
      <c r="AD141" s="422"/>
      <c r="AE141" s="422"/>
      <c r="AF141" s="422"/>
      <c r="AG141" s="422"/>
      <c r="AH141" s="422"/>
      <c r="AI141" s="422"/>
      <c r="AJ141" s="422"/>
      <c r="AK141" s="422"/>
      <c r="AL141" s="422"/>
      <c r="AM141" s="694"/>
    </row>
    <row r="142" spans="1:40" ht="27" customHeight="1" x14ac:dyDescent="0.2">
      <c r="B142" s="245" t="s">
        <v>1515</v>
      </c>
      <c r="C142" s="218">
        <v>860</v>
      </c>
      <c r="D142" s="217" t="s">
        <v>248</v>
      </c>
      <c r="E142" s="228"/>
      <c r="F142" s="228"/>
      <c r="H142" s="324"/>
      <c r="I142" s="324"/>
      <c r="V142" s="395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97"/>
    </row>
    <row r="143" spans="1:40" ht="21.95" customHeight="1" x14ac:dyDescent="0.2">
      <c r="B143" s="213" t="s">
        <v>1516</v>
      </c>
      <c r="C143" s="218">
        <v>870</v>
      </c>
      <c r="D143" s="217" t="s">
        <v>248</v>
      </c>
      <c r="E143" s="228"/>
      <c r="F143" s="228"/>
      <c r="H143" s="324"/>
      <c r="I143" s="324"/>
      <c r="V143" s="395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97"/>
    </row>
    <row r="144" spans="1:40" ht="21.95" customHeight="1" x14ac:dyDescent="0.2">
      <c r="B144" s="226" t="s">
        <v>1517</v>
      </c>
      <c r="C144" s="218">
        <v>880</v>
      </c>
      <c r="D144" s="217" t="s">
        <v>248</v>
      </c>
      <c r="E144" s="224">
        <f>SUM(E141:E143)</f>
        <v>0</v>
      </c>
      <c r="F144" s="224">
        <f>SUM(F141:F143)</f>
        <v>0</v>
      </c>
      <c r="H144" s="224">
        <f>SUM(F141:F143)-V144</f>
        <v>0</v>
      </c>
      <c r="I144" s="324"/>
      <c r="V144" s="1011"/>
      <c r="W144" s="97"/>
      <c r="AC144" s="224">
        <f t="shared" ref="AC144:AM144" si="13">SUM(AC141:AC143)</f>
        <v>0</v>
      </c>
      <c r="AD144" s="224">
        <f t="shared" si="13"/>
        <v>0</v>
      </c>
      <c r="AE144" s="224">
        <f t="shared" si="13"/>
        <v>0</v>
      </c>
      <c r="AF144" s="224">
        <f t="shared" si="13"/>
        <v>0</v>
      </c>
      <c r="AG144" s="224">
        <f t="shared" si="13"/>
        <v>0</v>
      </c>
      <c r="AH144" s="224">
        <f t="shared" si="13"/>
        <v>0</v>
      </c>
      <c r="AI144" s="224">
        <f t="shared" si="13"/>
        <v>0</v>
      </c>
      <c r="AJ144" s="224">
        <f t="shared" si="13"/>
        <v>0</v>
      </c>
      <c r="AK144" s="224">
        <f t="shared" si="13"/>
        <v>0</v>
      </c>
      <c r="AL144" s="224">
        <f t="shared" si="13"/>
        <v>0</v>
      </c>
      <c r="AM144" s="227">
        <f t="shared" si="13"/>
        <v>0</v>
      </c>
    </row>
    <row r="145" spans="1:40" ht="21.95" customHeight="1" x14ac:dyDescent="0.2">
      <c r="B145" s="226" t="s">
        <v>1440</v>
      </c>
      <c r="C145" s="446"/>
      <c r="D145" s="579"/>
      <c r="E145" s="258"/>
      <c r="F145" s="258"/>
      <c r="H145" s="258"/>
      <c r="I145" s="258"/>
      <c r="V145" s="331"/>
      <c r="AC145" s="258"/>
      <c r="AD145" s="258"/>
      <c r="AE145" s="258"/>
      <c r="AF145" s="258"/>
      <c r="AG145" s="258"/>
      <c r="AH145" s="258"/>
      <c r="AI145" s="258"/>
      <c r="AJ145" s="258"/>
      <c r="AK145" s="258"/>
      <c r="AL145" s="258"/>
      <c r="AM145" s="331"/>
    </row>
    <row r="146" spans="1:40" ht="21.95" customHeight="1" x14ac:dyDescent="0.2">
      <c r="B146" s="188" t="s">
        <v>1514</v>
      </c>
      <c r="C146" s="251">
        <v>890</v>
      </c>
      <c r="D146" s="250" t="s">
        <v>248</v>
      </c>
      <c r="E146" s="422"/>
      <c r="F146" s="422"/>
      <c r="H146" s="321"/>
      <c r="I146" s="321"/>
      <c r="V146" s="1213"/>
      <c r="AC146" s="422"/>
      <c r="AD146" s="422"/>
      <c r="AE146" s="422"/>
      <c r="AF146" s="422"/>
      <c r="AG146" s="422"/>
      <c r="AH146" s="422"/>
      <c r="AI146" s="422"/>
      <c r="AJ146" s="422"/>
      <c r="AK146" s="422"/>
      <c r="AL146" s="422"/>
      <c r="AM146" s="694"/>
    </row>
    <row r="147" spans="1:40" ht="27" customHeight="1" x14ac:dyDescent="0.2">
      <c r="B147" s="245" t="s">
        <v>1515</v>
      </c>
      <c r="C147" s="218">
        <v>900</v>
      </c>
      <c r="D147" s="217" t="s">
        <v>248</v>
      </c>
      <c r="E147" s="228"/>
      <c r="F147" s="228"/>
      <c r="H147" s="324"/>
      <c r="I147" s="324"/>
      <c r="V147" s="395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97"/>
    </row>
    <row r="148" spans="1:40" ht="21.95" customHeight="1" x14ac:dyDescent="0.2">
      <c r="B148" s="213" t="s">
        <v>1516</v>
      </c>
      <c r="C148" s="218">
        <v>910</v>
      </c>
      <c r="D148" s="217" t="s">
        <v>248</v>
      </c>
      <c r="E148" s="228"/>
      <c r="F148" s="228"/>
      <c r="H148" s="324"/>
      <c r="I148" s="324"/>
      <c r="V148" s="395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97"/>
    </row>
    <row r="149" spans="1:40" ht="21.95" customHeight="1" x14ac:dyDescent="0.2">
      <c r="B149" s="226" t="s">
        <v>1518</v>
      </c>
      <c r="C149" s="234">
        <v>920</v>
      </c>
      <c r="D149" s="237" t="s">
        <v>248</v>
      </c>
      <c r="E149" s="239">
        <f>SUM(E146:E148)</f>
        <v>0</v>
      </c>
      <c r="F149" s="239">
        <f>SUM(F146:F148)</f>
        <v>0</v>
      </c>
      <c r="H149" s="256"/>
      <c r="I149" s="258"/>
      <c r="V149" s="259"/>
      <c r="W149" s="97"/>
      <c r="AC149" s="239">
        <f t="shared" ref="AC149:AM149" si="14">SUM(AC146:AC148)</f>
        <v>0</v>
      </c>
      <c r="AD149" s="239">
        <f t="shared" si="14"/>
        <v>0</v>
      </c>
      <c r="AE149" s="239">
        <f t="shared" si="14"/>
        <v>0</v>
      </c>
      <c r="AF149" s="239">
        <f t="shared" si="14"/>
        <v>0</v>
      </c>
      <c r="AG149" s="239">
        <f t="shared" si="14"/>
        <v>0</v>
      </c>
      <c r="AH149" s="239">
        <f t="shared" si="14"/>
        <v>0</v>
      </c>
      <c r="AI149" s="239">
        <f t="shared" si="14"/>
        <v>0</v>
      </c>
      <c r="AJ149" s="239">
        <f t="shared" si="14"/>
        <v>0</v>
      </c>
      <c r="AK149" s="239">
        <f t="shared" si="14"/>
        <v>0</v>
      </c>
      <c r="AL149" s="239">
        <f t="shared" si="14"/>
        <v>0</v>
      </c>
      <c r="AM149" s="227">
        <f t="shared" si="14"/>
        <v>0</v>
      </c>
    </row>
    <row r="150" spans="1:40" ht="30" customHeight="1" thickBot="1" x14ac:dyDescent="0.25">
      <c r="B150" s="1096" t="s">
        <v>1519</v>
      </c>
      <c r="C150" s="236">
        <v>930</v>
      </c>
      <c r="D150" s="235" t="s">
        <v>248</v>
      </c>
      <c r="E150" s="240">
        <f>E144+E149</f>
        <v>0</v>
      </c>
      <c r="F150" s="240">
        <f>F144+F149</f>
        <v>0</v>
      </c>
      <c r="H150" s="240">
        <f>H144+H149</f>
        <v>0</v>
      </c>
      <c r="I150" s="340"/>
      <c r="V150" s="301"/>
      <c r="W150" s="97"/>
      <c r="AC150" s="240">
        <f t="shared" ref="AC150:AM150" si="15">AC144+AC149</f>
        <v>0</v>
      </c>
      <c r="AD150" s="240">
        <f t="shared" si="15"/>
        <v>0</v>
      </c>
      <c r="AE150" s="240">
        <f t="shared" si="15"/>
        <v>0</v>
      </c>
      <c r="AF150" s="240">
        <f t="shared" si="15"/>
        <v>0</v>
      </c>
      <c r="AG150" s="240">
        <f t="shared" si="15"/>
        <v>0</v>
      </c>
      <c r="AH150" s="240">
        <f t="shared" si="15"/>
        <v>0</v>
      </c>
      <c r="AI150" s="240">
        <f t="shared" si="15"/>
        <v>0</v>
      </c>
      <c r="AJ150" s="240">
        <f t="shared" si="15"/>
        <v>0</v>
      </c>
      <c r="AK150" s="240">
        <f t="shared" si="15"/>
        <v>0</v>
      </c>
      <c r="AL150" s="240">
        <f t="shared" si="15"/>
        <v>0</v>
      </c>
      <c r="AM150" s="241">
        <f t="shared" si="15"/>
        <v>0</v>
      </c>
    </row>
    <row r="151" spans="1:40" ht="13.5" hidden="1" thickTop="1" x14ac:dyDescent="0.2">
      <c r="A151" s="157"/>
    </row>
    <row r="152" spans="1:40" ht="13.5" hidden="1" thickTop="1" x14ac:dyDescent="0.2">
      <c r="A152" s="157"/>
    </row>
    <row r="153" spans="1:40" ht="13.5" hidden="1" thickTop="1" x14ac:dyDescent="0.2">
      <c r="A153" s="157"/>
    </row>
    <row r="154" spans="1:40" ht="65.25" thickTop="1" thickBot="1" x14ac:dyDescent="0.25">
      <c r="A154" s="99"/>
      <c r="B154" s="264" t="s">
        <v>1470</v>
      </c>
      <c r="C154" s="146"/>
      <c r="D154" s="146"/>
      <c r="E154" s="945"/>
      <c r="F154" s="945"/>
      <c r="G154" s="108"/>
      <c r="H154" s="945"/>
      <c r="I154" s="202" t="s">
        <v>1352</v>
      </c>
      <c r="V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</row>
    <row r="155" spans="1:40" ht="21.95" customHeight="1" x14ac:dyDescent="0.2">
      <c r="A155" s="99"/>
      <c r="B155" s="761" t="s">
        <v>1520</v>
      </c>
      <c r="C155" s="207">
        <v>935</v>
      </c>
      <c r="D155" s="208" t="s">
        <v>251</v>
      </c>
      <c r="E155" s="849"/>
      <c r="F155" s="849"/>
      <c r="H155" s="849"/>
      <c r="I155" s="883"/>
      <c r="V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</row>
    <row r="156" spans="1:40" ht="21.95" customHeight="1" x14ac:dyDescent="0.2">
      <c r="A156" s="99"/>
      <c r="B156" s="231" t="s">
        <v>1521</v>
      </c>
      <c r="C156" s="234">
        <v>940</v>
      </c>
      <c r="D156" s="267" t="s">
        <v>251</v>
      </c>
      <c r="E156" s="671"/>
      <c r="F156" s="671"/>
      <c r="H156" s="671"/>
      <c r="I156" s="777"/>
      <c r="V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</row>
    <row r="157" spans="1:40" ht="21.95" customHeight="1" thickBot="1" x14ac:dyDescent="0.25">
      <c r="A157" s="99"/>
      <c r="B157" s="497" t="s">
        <v>1522</v>
      </c>
      <c r="C157" s="236">
        <v>945</v>
      </c>
      <c r="D157" s="238" t="s">
        <v>251</v>
      </c>
      <c r="E157" s="884"/>
      <c r="F157" s="884"/>
      <c r="H157" s="884"/>
      <c r="I157" s="503">
        <f>SUM(I155:I156)</f>
        <v>0</v>
      </c>
      <c r="V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</row>
    <row r="158" spans="1:40" ht="13.5" thickTop="1" x14ac:dyDescent="0.2"/>
    <row r="160" spans="1:40" ht="13.5" thickBot="1" x14ac:dyDescent="0.25"/>
    <row r="161" spans="2:7" ht="13.5" thickTop="1" x14ac:dyDescent="0.2">
      <c r="B161" s="242"/>
      <c r="C161" s="195"/>
      <c r="D161" s="195" t="s">
        <v>25</v>
      </c>
      <c r="E161" s="353" t="s">
        <v>235</v>
      </c>
      <c r="F161" s="293" t="s">
        <v>236</v>
      </c>
      <c r="G161" s="97"/>
    </row>
    <row r="162" spans="2:7" x14ac:dyDescent="0.2">
      <c r="B162" s="198"/>
      <c r="C162" s="199" t="s">
        <v>238</v>
      </c>
      <c r="D162" s="199"/>
      <c r="E162" s="201" t="s">
        <v>239</v>
      </c>
      <c r="F162" s="202" t="s">
        <v>240</v>
      </c>
      <c r="G162" s="97"/>
    </row>
    <row r="163" spans="2:7" ht="13.5" thickBot="1" x14ac:dyDescent="0.25">
      <c r="B163" s="198" t="s">
        <v>1523</v>
      </c>
      <c r="C163" s="204" t="s">
        <v>242</v>
      </c>
      <c r="D163" s="204"/>
      <c r="E163" s="278" t="s">
        <v>243</v>
      </c>
      <c r="F163" s="202" t="s">
        <v>243</v>
      </c>
      <c r="G163" s="97"/>
    </row>
    <row r="164" spans="2:7" ht="21.95" customHeight="1" x14ac:dyDescent="0.2">
      <c r="B164" s="314" t="s">
        <v>1248</v>
      </c>
      <c r="C164" s="763"/>
      <c r="D164" s="735"/>
      <c r="E164" s="317"/>
      <c r="F164" s="318"/>
    </row>
    <row r="165" spans="2:7" ht="21.95" customHeight="1" x14ac:dyDescent="0.2">
      <c r="B165" s="198" t="s">
        <v>1524</v>
      </c>
      <c r="C165" s="251">
        <v>950</v>
      </c>
      <c r="D165" s="250" t="s">
        <v>248</v>
      </c>
      <c r="E165" s="628">
        <f>F168</f>
        <v>0</v>
      </c>
      <c r="F165" s="801"/>
      <c r="G165" s="97"/>
    </row>
    <row r="166" spans="2:7" ht="21.95" customHeight="1" x14ac:dyDescent="0.2">
      <c r="B166" s="213" t="s">
        <v>1525</v>
      </c>
      <c r="C166" s="218">
        <v>960</v>
      </c>
      <c r="D166" s="217" t="s">
        <v>248</v>
      </c>
      <c r="E166" s="228"/>
      <c r="F166" s="298"/>
    </row>
    <row r="167" spans="2:7" ht="21.95" customHeight="1" x14ac:dyDescent="0.2">
      <c r="B167" s="213" t="s">
        <v>1526</v>
      </c>
      <c r="C167" s="218">
        <v>970</v>
      </c>
      <c r="D167" s="217" t="s">
        <v>251</v>
      </c>
      <c r="E167" s="228"/>
      <c r="F167" s="298"/>
    </row>
    <row r="168" spans="2:7" ht="21.95" customHeight="1" x14ac:dyDescent="0.2">
      <c r="B168" s="226" t="s">
        <v>1527</v>
      </c>
      <c r="C168" s="218">
        <v>980</v>
      </c>
      <c r="D168" s="217" t="s">
        <v>248</v>
      </c>
      <c r="E168" s="224">
        <f>SUM(E165:E167)</f>
        <v>0</v>
      </c>
      <c r="F168" s="299"/>
      <c r="G168" s="97"/>
    </row>
    <row r="169" spans="2:7" ht="21.95" customHeight="1" x14ac:dyDescent="0.2">
      <c r="B169" s="226" t="s">
        <v>1440</v>
      </c>
      <c r="C169" s="446"/>
      <c r="D169" s="579"/>
      <c r="E169" s="258"/>
      <c r="F169" s="331"/>
    </row>
    <row r="170" spans="2:7" ht="21.95" customHeight="1" x14ac:dyDescent="0.2">
      <c r="B170" s="198" t="s">
        <v>1528</v>
      </c>
      <c r="C170" s="251">
        <v>990</v>
      </c>
      <c r="D170" s="250" t="s">
        <v>248</v>
      </c>
      <c r="E170" s="628">
        <f>F173</f>
        <v>0</v>
      </c>
      <c r="F170" s="801"/>
      <c r="G170" s="97"/>
    </row>
    <row r="171" spans="2:7" ht="21.95" customHeight="1" x14ac:dyDescent="0.2">
      <c r="B171" s="213" t="s">
        <v>1525</v>
      </c>
      <c r="C171" s="218">
        <v>1000</v>
      </c>
      <c r="D171" s="217" t="s">
        <v>248</v>
      </c>
      <c r="E171" s="228"/>
      <c r="F171" s="298"/>
    </row>
    <row r="172" spans="2:7" ht="21.95" customHeight="1" x14ac:dyDescent="0.2">
      <c r="B172" s="213" t="s">
        <v>1526</v>
      </c>
      <c r="C172" s="218">
        <v>1010</v>
      </c>
      <c r="D172" s="217" t="s">
        <v>251</v>
      </c>
      <c r="E172" s="228"/>
      <c r="F172" s="298"/>
    </row>
    <row r="173" spans="2:7" ht="21.95" customHeight="1" x14ac:dyDescent="0.2">
      <c r="B173" s="226" t="s">
        <v>1529</v>
      </c>
      <c r="C173" s="234">
        <v>1020</v>
      </c>
      <c r="D173" s="237" t="s">
        <v>248</v>
      </c>
      <c r="E173" s="239">
        <f>SUM(E170:E172)</f>
        <v>0</v>
      </c>
      <c r="F173" s="298"/>
      <c r="G173" s="97"/>
    </row>
    <row r="174" spans="2:7" ht="21.95" customHeight="1" thickBot="1" x14ac:dyDescent="0.25">
      <c r="B174" s="233" t="s">
        <v>1530</v>
      </c>
      <c r="C174" s="236">
        <v>1030</v>
      </c>
      <c r="D174" s="235" t="s">
        <v>248</v>
      </c>
      <c r="E174" s="240">
        <f>E168+E173</f>
        <v>0</v>
      </c>
      <c r="F174" s="301"/>
      <c r="G174" s="97"/>
    </row>
    <row r="175" spans="2:7" ht="13.5" thickTop="1" x14ac:dyDescent="0.2">
      <c r="C175" s="157"/>
      <c r="D175" s="157"/>
    </row>
    <row r="176" spans="2:7" x14ac:dyDescent="0.2">
      <c r="C176" s="157"/>
      <c r="D176" s="157"/>
    </row>
    <row r="177" spans="2:8" ht="13.5" thickBot="1" x14ac:dyDescent="0.25">
      <c r="C177" s="157"/>
      <c r="D177" s="157"/>
    </row>
    <row r="178" spans="2:8" ht="13.5" thickTop="1" x14ac:dyDescent="0.2">
      <c r="B178" s="242" t="s">
        <v>1531</v>
      </c>
      <c r="C178" s="948"/>
      <c r="D178" s="948"/>
      <c r="E178" s="948"/>
      <c r="F178" s="949"/>
      <c r="H178" s="952"/>
    </row>
    <row r="179" spans="2:8" ht="21.95" customHeight="1" x14ac:dyDescent="0.2">
      <c r="B179" s="213"/>
      <c r="C179" s="218">
        <v>1050</v>
      </c>
      <c r="D179" s="217" t="s">
        <v>1532</v>
      </c>
      <c r="E179" s="950"/>
      <c r="F179" s="951"/>
      <c r="H179" s="953"/>
    </row>
    <row r="180" spans="2:8" ht="21.95" customHeight="1" x14ac:dyDescent="0.2">
      <c r="B180" s="213"/>
      <c r="C180" s="218">
        <v>1060</v>
      </c>
      <c r="D180" s="217" t="s">
        <v>1532</v>
      </c>
      <c r="E180" s="950"/>
      <c r="F180" s="951"/>
      <c r="H180" s="953"/>
    </row>
    <row r="181" spans="2:8" ht="21.95" customHeight="1" x14ac:dyDescent="0.2">
      <c r="B181" s="213"/>
      <c r="C181" s="234">
        <v>1070</v>
      </c>
      <c r="D181" s="237" t="s">
        <v>1532</v>
      </c>
      <c r="E181" s="954"/>
      <c r="F181" s="956"/>
      <c r="H181" s="953"/>
    </row>
    <row r="182" spans="2:8" ht="21.95" customHeight="1" thickBot="1" x14ac:dyDescent="0.25">
      <c r="B182" s="232"/>
      <c r="C182" s="236">
        <v>1080</v>
      </c>
      <c r="D182" s="235" t="s">
        <v>1532</v>
      </c>
      <c r="E182" s="955"/>
      <c r="F182" s="957"/>
      <c r="H182" s="958"/>
    </row>
    <row r="183" spans="2:8" ht="13.5" thickTop="1" x14ac:dyDescent="0.2"/>
    <row r="185" spans="2:8" ht="13.5" hidden="1" thickBot="1" x14ac:dyDescent="0.25"/>
    <row r="186" spans="2:8" ht="13.5" hidden="1" thickBot="1" x14ac:dyDescent="0.25"/>
    <row r="187" spans="2:8" ht="13.5" hidden="1" thickBot="1" x14ac:dyDescent="0.25"/>
    <row r="188" spans="2:8" ht="13.5" hidden="1" thickBot="1" x14ac:dyDescent="0.25"/>
    <row r="189" spans="2:8" ht="13.5" hidden="1" thickBot="1" x14ac:dyDescent="0.25"/>
    <row r="190" spans="2:8" ht="13.5" hidden="1" thickBot="1" x14ac:dyDescent="0.25"/>
    <row r="191" spans="2:8" ht="13.5" hidden="1" thickBot="1" x14ac:dyDescent="0.25"/>
    <row r="192" spans="2:8" ht="13.5" hidden="1" thickBot="1" x14ac:dyDescent="0.25"/>
    <row r="193" spans="2:39" ht="13.5" hidden="1" thickBot="1" x14ac:dyDescent="0.25"/>
    <row r="194" spans="2:39" ht="13.5" hidden="1" thickBot="1" x14ac:dyDescent="0.25"/>
    <row r="195" spans="2:39" ht="13.5" hidden="1" thickBot="1" x14ac:dyDescent="0.25"/>
    <row r="196" spans="2:39" ht="13.5" hidden="1" thickBot="1" x14ac:dyDescent="0.25"/>
    <row r="197" spans="2:39" ht="13.5" hidden="1" thickBot="1" x14ac:dyDescent="0.25"/>
    <row r="198" spans="2:39" ht="13.5" hidden="1" thickBot="1" x14ac:dyDescent="0.25"/>
    <row r="199" spans="2:39" ht="13.5" hidden="1" thickBot="1" x14ac:dyDescent="0.25"/>
    <row r="200" spans="2:39" ht="13.5" hidden="1" thickBot="1" x14ac:dyDescent="0.25"/>
    <row r="201" spans="2:39" ht="13.5" hidden="1" thickBot="1" x14ac:dyDescent="0.25"/>
    <row r="202" spans="2:39" ht="13.5" hidden="1" thickBot="1" x14ac:dyDescent="0.25"/>
    <row r="203" spans="2:39" ht="13.5" hidden="1" thickBot="1" x14ac:dyDescent="0.25"/>
    <row r="204" spans="2:39" ht="13.5" hidden="1" thickBot="1" x14ac:dyDescent="0.25"/>
    <row r="205" spans="2:39" ht="14.25" hidden="1" thickTop="1" thickBot="1" x14ac:dyDescent="0.25">
      <c r="I205" s="959"/>
      <c r="AC205" s="376" t="s">
        <v>1322</v>
      </c>
      <c r="AD205" s="634"/>
      <c r="AE205" s="634"/>
      <c r="AF205" s="377"/>
      <c r="AG205" s="377"/>
      <c r="AH205" s="377"/>
      <c r="AI205" s="377"/>
      <c r="AJ205" s="377"/>
      <c r="AK205" s="377"/>
      <c r="AL205" s="377"/>
      <c r="AM205" s="381"/>
    </row>
    <row r="206" spans="2:39" ht="13.5" hidden="1" thickTop="1" x14ac:dyDescent="0.2">
      <c r="B206" s="190"/>
      <c r="C206" s="192"/>
      <c r="D206" s="195" t="s">
        <v>25</v>
      </c>
      <c r="E206" s="922"/>
      <c r="F206" s="922"/>
      <c r="H206" s="922"/>
      <c r="I206" s="707"/>
      <c r="V206" s="922"/>
      <c r="AC206" s="353" t="s">
        <v>823</v>
      </c>
      <c r="AD206" s="353" t="s">
        <v>824</v>
      </c>
      <c r="AE206" s="353" t="s">
        <v>825</v>
      </c>
      <c r="AF206" s="353" t="s">
        <v>826</v>
      </c>
      <c r="AG206" s="353" t="s">
        <v>827</v>
      </c>
      <c r="AH206" s="353" t="s">
        <v>828</v>
      </c>
      <c r="AI206" s="353" t="s">
        <v>829</v>
      </c>
      <c r="AJ206" s="353" t="s">
        <v>830</v>
      </c>
      <c r="AK206" s="353" t="s">
        <v>831</v>
      </c>
      <c r="AL206" s="353" t="s">
        <v>1323</v>
      </c>
      <c r="AM206" s="293" t="s">
        <v>1324</v>
      </c>
    </row>
    <row r="207" spans="2:39" ht="38.25" hidden="1" x14ac:dyDescent="0.2">
      <c r="B207" s="198"/>
      <c r="C207" s="199" t="s">
        <v>238</v>
      </c>
      <c r="D207" s="199"/>
      <c r="E207" s="419"/>
      <c r="F207" s="419"/>
      <c r="H207" s="419"/>
      <c r="I207" s="709"/>
      <c r="V207" s="419"/>
      <c r="AC207" s="201" t="s">
        <v>1005</v>
      </c>
      <c r="AD207" s="201" t="s">
        <v>1006</v>
      </c>
      <c r="AE207" s="201" t="s">
        <v>1007</v>
      </c>
      <c r="AF207" s="201" t="s">
        <v>590</v>
      </c>
      <c r="AG207" s="201" t="s">
        <v>1008</v>
      </c>
      <c r="AH207" s="201" t="s">
        <v>1265</v>
      </c>
      <c r="AI207" s="201" t="s">
        <v>1266</v>
      </c>
      <c r="AJ207" s="201" t="s">
        <v>1267</v>
      </c>
      <c r="AK207" s="201" t="s">
        <v>599</v>
      </c>
      <c r="AL207" s="201" t="s">
        <v>1268</v>
      </c>
      <c r="AM207" s="202" t="s">
        <v>1269</v>
      </c>
    </row>
    <row r="208" spans="2:39" ht="13.5" hidden="1" thickBot="1" x14ac:dyDescent="0.25">
      <c r="B208" s="198" t="s">
        <v>1533</v>
      </c>
      <c r="C208" s="204" t="s">
        <v>242</v>
      </c>
      <c r="D208" s="204"/>
      <c r="E208" s="787"/>
      <c r="F208" s="787"/>
      <c r="H208" s="787"/>
      <c r="I208" s="711"/>
      <c r="V208" s="787"/>
      <c r="AC208" s="278" t="s">
        <v>243</v>
      </c>
      <c r="AD208" s="278" t="s">
        <v>243</v>
      </c>
      <c r="AE208" s="278" t="s">
        <v>243</v>
      </c>
      <c r="AF208" s="278" t="s">
        <v>243</v>
      </c>
      <c r="AG208" s="278" t="s">
        <v>243</v>
      </c>
      <c r="AH208" s="278" t="s">
        <v>243</v>
      </c>
      <c r="AI208" s="278" t="s">
        <v>243</v>
      </c>
      <c r="AJ208" s="278" t="s">
        <v>243</v>
      </c>
      <c r="AK208" s="278" t="s">
        <v>243</v>
      </c>
      <c r="AL208" s="278" t="s">
        <v>243</v>
      </c>
      <c r="AM208" s="202" t="s">
        <v>243</v>
      </c>
    </row>
    <row r="209" spans="2:39" ht="21.95" hidden="1" customHeight="1" x14ac:dyDescent="0.2">
      <c r="B209" s="189" t="s">
        <v>1534</v>
      </c>
      <c r="C209" s="366">
        <v>1300</v>
      </c>
      <c r="D209" s="127" t="s">
        <v>248</v>
      </c>
      <c r="E209" s="317"/>
      <c r="F209" s="317"/>
      <c r="H209" s="317"/>
      <c r="I209" s="317"/>
      <c r="V209" s="317"/>
      <c r="AC209" s="368">
        <f t="shared" ref="AC209:AM209" si="16">AC25+AC60+AC92+AC144</f>
        <v>0</v>
      </c>
      <c r="AD209" s="368">
        <f t="shared" si="16"/>
        <v>0</v>
      </c>
      <c r="AE209" s="368">
        <f t="shared" si="16"/>
        <v>0</v>
      </c>
      <c r="AF209" s="368">
        <f t="shared" si="16"/>
        <v>0</v>
      </c>
      <c r="AG209" s="368">
        <f t="shared" si="16"/>
        <v>0</v>
      </c>
      <c r="AH209" s="368">
        <f t="shared" si="16"/>
        <v>0</v>
      </c>
      <c r="AI209" s="368">
        <f t="shared" si="16"/>
        <v>0</v>
      </c>
      <c r="AJ209" s="368">
        <f t="shared" si="16"/>
        <v>0</v>
      </c>
      <c r="AK209" s="368">
        <f t="shared" si="16"/>
        <v>0</v>
      </c>
      <c r="AL209" s="368">
        <f t="shared" si="16"/>
        <v>0</v>
      </c>
      <c r="AM209" s="221">
        <f t="shared" si="16"/>
        <v>0</v>
      </c>
    </row>
    <row r="210" spans="2:39" ht="21.95" hidden="1" customHeight="1" thickBot="1" x14ac:dyDescent="0.25">
      <c r="B210" s="232" t="s">
        <v>1535</v>
      </c>
      <c r="C210" s="236">
        <v>1310</v>
      </c>
      <c r="D210" s="235" t="s">
        <v>248</v>
      </c>
      <c r="E210" s="340"/>
      <c r="F210" s="340"/>
      <c r="H210" s="340"/>
      <c r="I210" s="340"/>
      <c r="V210" s="340"/>
      <c r="AC210" s="367">
        <f t="shared" ref="AC210:AM210" si="17">AC36+AC65+AC102+AC149</f>
        <v>0</v>
      </c>
      <c r="AD210" s="367">
        <f t="shared" si="17"/>
        <v>0</v>
      </c>
      <c r="AE210" s="367">
        <f t="shared" si="17"/>
        <v>0</v>
      </c>
      <c r="AF210" s="367">
        <f t="shared" si="17"/>
        <v>0</v>
      </c>
      <c r="AG210" s="367">
        <f t="shared" si="17"/>
        <v>0</v>
      </c>
      <c r="AH210" s="367">
        <f t="shared" si="17"/>
        <v>0</v>
      </c>
      <c r="AI210" s="367">
        <f t="shared" si="17"/>
        <v>0</v>
      </c>
      <c r="AJ210" s="367">
        <f t="shared" si="17"/>
        <v>0</v>
      </c>
      <c r="AK210" s="367">
        <f t="shared" si="17"/>
        <v>0</v>
      </c>
      <c r="AL210" s="367">
        <f t="shared" si="17"/>
        <v>0</v>
      </c>
      <c r="AM210" s="682">
        <f t="shared" si="17"/>
        <v>0</v>
      </c>
    </row>
    <row r="211" spans="2:39" hidden="1" x14ac:dyDescent="0.2"/>
    <row r="212" spans="2:39" ht="13.5" hidden="1" thickBot="1" x14ac:dyDescent="0.25"/>
    <row r="213" spans="2:39" ht="14.25" hidden="1" thickTop="1" thickBot="1" x14ac:dyDescent="0.25">
      <c r="B213" s="100"/>
      <c r="C213" s="100"/>
      <c r="D213" s="100"/>
      <c r="E213" s="100"/>
      <c r="F213" s="376" t="s">
        <v>1320</v>
      </c>
      <c r="G213" s="97"/>
      <c r="H213" s="378"/>
      <c r="I213" s="378"/>
      <c r="R213" s="97"/>
      <c r="S213" s="108"/>
      <c r="T213" s="108"/>
      <c r="U213" s="108"/>
      <c r="V213" s="634"/>
      <c r="AC213" s="376" t="s">
        <v>1322</v>
      </c>
      <c r="AD213" s="634"/>
      <c r="AE213" s="634"/>
      <c r="AF213" s="634"/>
      <c r="AG213" s="634"/>
      <c r="AH213" s="634"/>
      <c r="AI213" s="634"/>
      <c r="AJ213" s="634"/>
      <c r="AK213" s="634"/>
      <c r="AL213" s="634"/>
      <c r="AM213" s="639"/>
    </row>
    <row r="214" spans="2:39" ht="13.5" hidden="1" thickTop="1" x14ac:dyDescent="0.2">
      <c r="B214" s="261"/>
      <c r="C214" s="262"/>
      <c r="D214" s="353" t="s">
        <v>25</v>
      </c>
      <c r="E214" s="353" t="s">
        <v>235</v>
      </c>
      <c r="F214" s="353" t="s">
        <v>236</v>
      </c>
      <c r="G214" s="97"/>
      <c r="H214" s="353" t="s">
        <v>294</v>
      </c>
      <c r="I214" s="707"/>
      <c r="R214" s="97"/>
      <c r="S214" s="97"/>
      <c r="T214" s="97"/>
      <c r="U214" s="97"/>
      <c r="V214" s="353" t="s">
        <v>580</v>
      </c>
      <c r="AC214" s="353" t="s">
        <v>823</v>
      </c>
      <c r="AD214" s="353" t="s">
        <v>824</v>
      </c>
      <c r="AE214" s="353" t="s">
        <v>825</v>
      </c>
      <c r="AF214" s="353" t="s">
        <v>826</v>
      </c>
      <c r="AG214" s="353" t="s">
        <v>827</v>
      </c>
      <c r="AH214" s="353" t="s">
        <v>828</v>
      </c>
      <c r="AI214" s="353" t="s">
        <v>829</v>
      </c>
      <c r="AJ214" s="353" t="s">
        <v>830</v>
      </c>
      <c r="AK214" s="353" t="s">
        <v>831</v>
      </c>
      <c r="AL214" s="353" t="s">
        <v>1323</v>
      </c>
      <c r="AM214" s="293" t="s">
        <v>1324</v>
      </c>
    </row>
    <row r="215" spans="2:39" ht="63.75" hidden="1" x14ac:dyDescent="0.2">
      <c r="B215" s="264" t="s">
        <v>1536</v>
      </c>
      <c r="C215" s="201" t="s">
        <v>238</v>
      </c>
      <c r="D215" s="201"/>
      <c r="E215" s="201" t="s">
        <v>799</v>
      </c>
      <c r="F215" s="201" t="s">
        <v>1328</v>
      </c>
      <c r="G215" s="97"/>
      <c r="H215" s="201" t="s">
        <v>302</v>
      </c>
      <c r="I215" s="709"/>
      <c r="R215" s="97"/>
      <c r="S215" s="97"/>
      <c r="T215" s="97"/>
      <c r="U215" s="97"/>
      <c r="V215" s="201" t="s">
        <v>305</v>
      </c>
      <c r="AC215" s="201" t="s">
        <v>1005</v>
      </c>
      <c r="AD215" s="201" t="s">
        <v>1006</v>
      </c>
      <c r="AE215" s="201" t="s">
        <v>1007</v>
      </c>
      <c r="AF215" s="201" t="s">
        <v>590</v>
      </c>
      <c r="AG215" s="201" t="s">
        <v>1008</v>
      </c>
      <c r="AH215" s="201" t="s">
        <v>1265</v>
      </c>
      <c r="AI215" s="201" t="s">
        <v>1266</v>
      </c>
      <c r="AJ215" s="201" t="s">
        <v>1267</v>
      </c>
      <c r="AK215" s="201" t="s">
        <v>599</v>
      </c>
      <c r="AL215" s="201" t="s">
        <v>1268</v>
      </c>
      <c r="AM215" s="202" t="s">
        <v>1269</v>
      </c>
    </row>
    <row r="216" spans="2:39" ht="13.5" hidden="1" thickBot="1" x14ac:dyDescent="0.25">
      <c r="B216" s="265"/>
      <c r="C216" s="278" t="s">
        <v>242</v>
      </c>
      <c r="D216" s="278"/>
      <c r="E216" s="278" t="s">
        <v>243</v>
      </c>
      <c r="F216" s="278" t="s">
        <v>243</v>
      </c>
      <c r="G216" s="97"/>
      <c r="H216" s="278" t="s">
        <v>243</v>
      </c>
      <c r="I216" s="711"/>
      <c r="R216" s="97"/>
      <c r="S216" s="97"/>
      <c r="T216" s="97"/>
      <c r="U216" s="97"/>
      <c r="V216" s="278" t="s">
        <v>243</v>
      </c>
      <c r="AC216" s="278" t="s">
        <v>243</v>
      </c>
      <c r="AD216" s="278" t="s">
        <v>243</v>
      </c>
      <c r="AE216" s="278" t="s">
        <v>243</v>
      </c>
      <c r="AF216" s="278" t="s">
        <v>243</v>
      </c>
      <c r="AG216" s="278" t="s">
        <v>243</v>
      </c>
      <c r="AH216" s="278" t="s">
        <v>243</v>
      </c>
      <c r="AI216" s="278" t="s">
        <v>243</v>
      </c>
      <c r="AJ216" s="278" t="s">
        <v>243</v>
      </c>
      <c r="AK216" s="278" t="s">
        <v>243</v>
      </c>
      <c r="AL216" s="278" t="s">
        <v>243</v>
      </c>
      <c r="AM216" s="294" t="s">
        <v>243</v>
      </c>
    </row>
    <row r="217" spans="2:39" hidden="1" x14ac:dyDescent="0.2">
      <c r="B217" s="102"/>
      <c r="C217" s="469"/>
      <c r="D217" s="960"/>
    </row>
    <row r="218" spans="2:39" ht="21.95" hidden="1" customHeight="1" x14ac:dyDescent="0.2">
      <c r="B218" s="188" t="s">
        <v>1537</v>
      </c>
      <c r="C218" s="251">
        <v>1400</v>
      </c>
      <c r="D218" s="250" t="s">
        <v>248</v>
      </c>
      <c r="E218" s="253">
        <f>SUM(AC218:AM218)</f>
        <v>0</v>
      </c>
      <c r="F218" s="422"/>
      <c r="H218" s="321"/>
      <c r="I218" s="321"/>
      <c r="V218" s="321"/>
      <c r="AC218" s="422"/>
      <c r="AD218" s="422"/>
      <c r="AE218" s="422"/>
      <c r="AF218" s="422"/>
      <c r="AG218" s="422"/>
      <c r="AH218" s="422"/>
      <c r="AI218" s="422"/>
      <c r="AJ218" s="422"/>
      <c r="AK218" s="422"/>
      <c r="AL218" s="422"/>
      <c r="AM218" s="578"/>
    </row>
    <row r="219" spans="2:39" ht="21.95" hidden="1" customHeight="1" x14ac:dyDescent="0.2">
      <c r="B219" s="213" t="s">
        <v>1538</v>
      </c>
      <c r="C219" s="218">
        <v>1410</v>
      </c>
      <c r="D219" s="217" t="s">
        <v>248</v>
      </c>
      <c r="E219" s="228"/>
      <c r="F219" s="228"/>
      <c r="H219" s="324"/>
      <c r="I219" s="324"/>
      <c r="V219" s="324"/>
      <c r="AC219" s="324"/>
      <c r="AD219" s="324"/>
      <c r="AE219" s="897"/>
      <c r="AF219" s="897"/>
      <c r="AG219" s="228"/>
      <c r="AH219" s="324"/>
      <c r="AI219" s="324"/>
      <c r="AJ219" s="897"/>
      <c r="AK219" s="897"/>
      <c r="AL219" s="897"/>
      <c r="AM219" s="297"/>
    </row>
    <row r="220" spans="2:39" ht="21.95" hidden="1" customHeight="1" x14ac:dyDescent="0.2">
      <c r="B220" s="226" t="s">
        <v>1539</v>
      </c>
      <c r="C220" s="218">
        <v>1420</v>
      </c>
      <c r="D220" s="217" t="s">
        <v>248</v>
      </c>
      <c r="E220" s="224">
        <f>SUM(E218:E219)</f>
        <v>0</v>
      </c>
      <c r="F220" s="224">
        <f>SUM(F218:F219)</f>
        <v>0</v>
      </c>
      <c r="H220" s="224">
        <f>SUM(F218:F219)-V220</f>
        <v>0</v>
      </c>
      <c r="I220" s="324"/>
      <c r="V220" s="461"/>
      <c r="AC220" s="224">
        <f t="shared" ref="AC220:AM220" si="18">SUM(AC218:AC219)</f>
        <v>0</v>
      </c>
      <c r="AD220" s="224">
        <f t="shared" si="18"/>
        <v>0</v>
      </c>
      <c r="AE220" s="224">
        <f t="shared" si="18"/>
        <v>0</v>
      </c>
      <c r="AF220" s="224">
        <f t="shared" si="18"/>
        <v>0</v>
      </c>
      <c r="AG220" s="224">
        <f t="shared" si="18"/>
        <v>0</v>
      </c>
      <c r="AH220" s="224">
        <f t="shared" si="18"/>
        <v>0</v>
      </c>
      <c r="AI220" s="224">
        <f t="shared" si="18"/>
        <v>0</v>
      </c>
      <c r="AJ220" s="224">
        <f t="shared" si="18"/>
        <v>0</v>
      </c>
      <c r="AK220" s="224">
        <f t="shared" si="18"/>
        <v>0</v>
      </c>
      <c r="AL220" s="224">
        <f t="shared" si="18"/>
        <v>0</v>
      </c>
      <c r="AM220" s="227">
        <f t="shared" si="18"/>
        <v>0</v>
      </c>
    </row>
    <row r="221" spans="2:39" ht="21.95" hidden="1" customHeight="1" x14ac:dyDescent="0.2">
      <c r="B221" s="213" t="s">
        <v>1540</v>
      </c>
      <c r="C221" s="218">
        <v>1430</v>
      </c>
      <c r="D221" s="217" t="s">
        <v>248</v>
      </c>
      <c r="E221" s="338">
        <f>SUM(AC221:AM221)</f>
        <v>0</v>
      </c>
      <c r="F221" s="228"/>
      <c r="H221" s="324"/>
      <c r="I221" s="324"/>
      <c r="V221" s="324"/>
      <c r="AC221" s="228"/>
      <c r="AD221" s="228"/>
      <c r="AE221" s="228"/>
      <c r="AF221" s="561"/>
      <c r="AG221" s="561"/>
      <c r="AH221" s="561"/>
      <c r="AI221" s="561"/>
      <c r="AJ221" s="561"/>
      <c r="AK221" s="561"/>
      <c r="AL221" s="561"/>
      <c r="AM221" s="961"/>
    </row>
    <row r="222" spans="2:39" ht="21.95" hidden="1" customHeight="1" x14ac:dyDescent="0.2">
      <c r="B222" s="213" t="s">
        <v>1541</v>
      </c>
      <c r="C222" s="234">
        <v>1435</v>
      </c>
      <c r="D222" s="237" t="s">
        <v>248</v>
      </c>
      <c r="E222" s="396"/>
      <c r="F222" s="396"/>
      <c r="H222" s="258"/>
      <c r="I222" s="258"/>
      <c r="V222" s="324"/>
      <c r="AC222" s="641"/>
      <c r="AD222" s="641"/>
      <c r="AE222" s="641"/>
      <c r="AF222" s="641"/>
      <c r="AG222" s="396"/>
      <c r="AH222" s="258"/>
      <c r="AI222" s="641"/>
      <c r="AJ222" s="641"/>
      <c r="AK222" s="641"/>
      <c r="AL222" s="641"/>
      <c r="AM222" s="297"/>
    </row>
    <row r="223" spans="2:39" ht="30" hidden="1" customHeight="1" thickBot="1" x14ac:dyDescent="0.25">
      <c r="B223" s="1096" t="s">
        <v>1542</v>
      </c>
      <c r="C223" s="236">
        <v>1440</v>
      </c>
      <c r="D223" s="235" t="s">
        <v>248</v>
      </c>
      <c r="E223" s="240">
        <f>SUM(E221:E222)</f>
        <v>0</v>
      </c>
      <c r="F223" s="240">
        <f>SUM(F221:F222)</f>
        <v>0</v>
      </c>
      <c r="H223" s="240">
        <f>SUM(F221:F222)-V223</f>
        <v>0</v>
      </c>
      <c r="I223" s="340"/>
      <c r="V223" s="461"/>
      <c r="AC223" s="240">
        <f t="shared" ref="AC223:AM223" si="19">SUM(AC221:AC222)</f>
        <v>0</v>
      </c>
      <c r="AD223" s="240">
        <f t="shared" si="19"/>
        <v>0</v>
      </c>
      <c r="AE223" s="240">
        <f t="shared" si="19"/>
        <v>0</v>
      </c>
      <c r="AF223" s="240">
        <f t="shared" si="19"/>
        <v>0</v>
      </c>
      <c r="AG223" s="240">
        <f t="shared" si="19"/>
        <v>0</v>
      </c>
      <c r="AH223" s="240">
        <f t="shared" si="19"/>
        <v>0</v>
      </c>
      <c r="AI223" s="240">
        <f t="shared" si="19"/>
        <v>0</v>
      </c>
      <c r="AJ223" s="240">
        <f t="shared" si="19"/>
        <v>0</v>
      </c>
      <c r="AK223" s="240">
        <f t="shared" si="19"/>
        <v>0</v>
      </c>
      <c r="AL223" s="240">
        <f t="shared" si="19"/>
        <v>0</v>
      </c>
      <c r="AM223" s="241">
        <f t="shared" si="19"/>
        <v>0</v>
      </c>
    </row>
    <row r="224" spans="2:39" ht="13.5" hidden="1" thickTop="1" x14ac:dyDescent="0.2">
      <c r="B224" t="s">
        <v>1543</v>
      </c>
      <c r="C224" s="172">
        <v>1450</v>
      </c>
      <c r="D224" s="157" t="s">
        <v>248</v>
      </c>
      <c r="V224" s="104"/>
      <c r="AC224" s="108"/>
      <c r="AD224" s="108"/>
      <c r="AE224" s="108"/>
      <c r="AF224" s="108"/>
      <c r="AI224" s="108"/>
      <c r="AJ224" s="108"/>
      <c r="AK224" s="108"/>
      <c r="AL224" s="108"/>
    </row>
    <row r="225" spans="2:39" ht="13.5" hidden="1" thickTop="1" x14ac:dyDescent="0.2">
      <c r="B225" t="s">
        <v>1544</v>
      </c>
      <c r="C225" s="172">
        <v>1460</v>
      </c>
      <c r="D225" s="157" t="s">
        <v>248</v>
      </c>
      <c r="V225" s="104"/>
      <c r="AC225" s="713"/>
      <c r="AD225" s="713"/>
    </row>
    <row r="226" spans="2:39" ht="13.5" hidden="1" thickTop="1" x14ac:dyDescent="0.2">
      <c r="B226" s="97" t="s">
        <v>1545</v>
      </c>
      <c r="C226" s="172">
        <v>1470</v>
      </c>
      <c r="D226" s="157" t="s">
        <v>248</v>
      </c>
      <c r="E226" s="97"/>
      <c r="H226" s="97"/>
      <c r="V226" s="104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</row>
    <row r="227" spans="2:39" ht="13.5" hidden="1" thickTop="1" x14ac:dyDescent="0.2">
      <c r="B227" s="100"/>
      <c r="C227" s="100"/>
      <c r="D227" s="100"/>
    </row>
    <row r="228" spans="2:39" ht="13.5" hidden="1" thickBot="1" x14ac:dyDescent="0.25">
      <c r="B228" s="100"/>
      <c r="C228" s="100"/>
      <c r="D228" s="100"/>
    </row>
    <row r="229" spans="2:39" ht="14.25" hidden="1" thickTop="1" thickBot="1" x14ac:dyDescent="0.25">
      <c r="B229" s="100"/>
      <c r="C229" s="100"/>
      <c r="D229" s="100"/>
      <c r="E229" s="100"/>
      <c r="F229" s="376" t="s">
        <v>1320</v>
      </c>
      <c r="G229" s="97"/>
      <c r="H229" s="378"/>
      <c r="I229" s="378"/>
      <c r="R229" s="97"/>
      <c r="S229" s="108"/>
      <c r="T229" s="108"/>
      <c r="U229" s="108"/>
      <c r="V229" s="634"/>
      <c r="AC229" s="376" t="s">
        <v>1322</v>
      </c>
      <c r="AD229" s="634"/>
      <c r="AE229" s="634"/>
      <c r="AF229" s="634"/>
      <c r="AG229" s="634"/>
      <c r="AH229" s="634"/>
      <c r="AI229" s="634"/>
      <c r="AJ229" s="634"/>
      <c r="AK229" s="634"/>
      <c r="AL229" s="634"/>
      <c r="AM229" s="639"/>
    </row>
    <row r="230" spans="2:39" ht="13.5" hidden="1" thickTop="1" x14ac:dyDescent="0.2">
      <c r="B230" s="261"/>
      <c r="C230" s="262"/>
      <c r="D230" s="353" t="s">
        <v>25</v>
      </c>
      <c r="E230" s="353" t="s">
        <v>235</v>
      </c>
      <c r="F230" s="353" t="s">
        <v>236</v>
      </c>
      <c r="G230" s="97"/>
      <c r="H230" s="353" t="s">
        <v>294</v>
      </c>
      <c r="I230" s="707"/>
      <c r="R230" s="97"/>
      <c r="S230" s="97"/>
      <c r="T230" s="97"/>
      <c r="U230" s="97"/>
      <c r="V230" s="353" t="s">
        <v>580</v>
      </c>
      <c r="AC230" s="353" t="s">
        <v>823</v>
      </c>
      <c r="AD230" s="353" t="s">
        <v>824</v>
      </c>
      <c r="AE230" s="353" t="s">
        <v>825</v>
      </c>
      <c r="AF230" s="353" t="s">
        <v>826</v>
      </c>
      <c r="AG230" s="353" t="s">
        <v>827</v>
      </c>
      <c r="AH230" s="353" t="s">
        <v>828</v>
      </c>
      <c r="AI230" s="353" t="s">
        <v>829</v>
      </c>
      <c r="AJ230" s="353" t="s">
        <v>830</v>
      </c>
      <c r="AK230" s="353" t="s">
        <v>831</v>
      </c>
      <c r="AL230" s="353" t="s">
        <v>1323</v>
      </c>
      <c r="AM230" s="293" t="s">
        <v>1324</v>
      </c>
    </row>
    <row r="231" spans="2:39" ht="63.75" hidden="1" x14ac:dyDescent="0.2">
      <c r="B231" s="355" t="s">
        <v>159</v>
      </c>
      <c r="C231" s="201" t="s">
        <v>238</v>
      </c>
      <c r="D231" s="201"/>
      <c r="E231" s="201" t="s">
        <v>799</v>
      </c>
      <c r="F231" s="201" t="s">
        <v>1328</v>
      </c>
      <c r="G231" s="97"/>
      <c r="H231" s="201" t="s">
        <v>302</v>
      </c>
      <c r="I231" s="709"/>
      <c r="R231" s="97"/>
      <c r="S231" s="97"/>
      <c r="T231" s="97"/>
      <c r="U231" s="97"/>
      <c r="V231" s="201" t="s">
        <v>305</v>
      </c>
      <c r="AC231" s="201" t="s">
        <v>1005</v>
      </c>
      <c r="AD231" s="201" t="s">
        <v>1006</v>
      </c>
      <c r="AE231" s="201" t="s">
        <v>1007</v>
      </c>
      <c r="AF231" s="201" t="s">
        <v>590</v>
      </c>
      <c r="AG231" s="201" t="s">
        <v>1008</v>
      </c>
      <c r="AH231" s="201" t="s">
        <v>1265</v>
      </c>
      <c r="AI231" s="201" t="s">
        <v>1266</v>
      </c>
      <c r="AJ231" s="201" t="s">
        <v>1267</v>
      </c>
      <c r="AK231" s="201" t="s">
        <v>599</v>
      </c>
      <c r="AL231" s="201" t="s">
        <v>1268</v>
      </c>
      <c r="AM231" s="202" t="s">
        <v>1269</v>
      </c>
    </row>
    <row r="232" spans="2:39" ht="13.5" hidden="1" thickBot="1" x14ac:dyDescent="0.25">
      <c r="B232" s="265"/>
      <c r="C232" s="278" t="s">
        <v>242</v>
      </c>
      <c r="D232" s="278"/>
      <c r="E232" s="278" t="s">
        <v>243</v>
      </c>
      <c r="F232" s="278" t="s">
        <v>243</v>
      </c>
      <c r="G232" s="97"/>
      <c r="H232" s="278" t="s">
        <v>243</v>
      </c>
      <c r="I232" s="711"/>
      <c r="R232" s="97"/>
      <c r="S232" s="97"/>
      <c r="T232" s="97"/>
      <c r="U232" s="97"/>
      <c r="V232" s="278" t="s">
        <v>243</v>
      </c>
      <c r="AC232" s="278" t="s">
        <v>243</v>
      </c>
      <c r="AD232" s="278" t="s">
        <v>243</v>
      </c>
      <c r="AE232" s="278" t="s">
        <v>243</v>
      </c>
      <c r="AF232" s="278" t="s">
        <v>243</v>
      </c>
      <c r="AG232" s="278" t="s">
        <v>243</v>
      </c>
      <c r="AH232" s="278" t="s">
        <v>243</v>
      </c>
      <c r="AI232" s="278" t="s">
        <v>243</v>
      </c>
      <c r="AJ232" s="278" t="s">
        <v>243</v>
      </c>
      <c r="AK232" s="278" t="s">
        <v>243</v>
      </c>
      <c r="AL232" s="278" t="s">
        <v>243</v>
      </c>
      <c r="AM232" s="294" t="s">
        <v>243</v>
      </c>
    </row>
    <row r="233" spans="2:39" hidden="1" x14ac:dyDescent="0.2">
      <c r="B233" s="102"/>
      <c r="C233" s="469"/>
      <c r="D233" s="960"/>
    </row>
    <row r="234" spans="2:39" ht="21.95" hidden="1" customHeight="1" x14ac:dyDescent="0.2">
      <c r="B234" s="785" t="s">
        <v>1537</v>
      </c>
      <c r="C234" s="932">
        <v>1480</v>
      </c>
      <c r="D234" s="962" t="s">
        <v>248</v>
      </c>
      <c r="E234" s="253">
        <f>SUM(AC234:AM234)</f>
        <v>0</v>
      </c>
      <c r="F234" s="422"/>
      <c r="H234" s="321"/>
      <c r="I234" s="321"/>
      <c r="V234" s="321"/>
      <c r="AC234" s="422"/>
      <c r="AD234" s="422"/>
      <c r="AE234" s="422"/>
      <c r="AF234" s="422"/>
      <c r="AG234" s="422"/>
      <c r="AH234" s="422"/>
      <c r="AI234" s="422"/>
      <c r="AJ234" s="422"/>
      <c r="AK234" s="422"/>
      <c r="AL234" s="422"/>
      <c r="AM234" s="578"/>
    </row>
    <row r="235" spans="2:39" ht="21.95" hidden="1" customHeight="1" x14ac:dyDescent="0.2">
      <c r="B235" s="657" t="s">
        <v>1538</v>
      </c>
      <c r="C235" s="817">
        <v>1490</v>
      </c>
      <c r="D235" s="936" t="s">
        <v>248</v>
      </c>
      <c r="E235" s="228"/>
      <c r="F235" s="228"/>
      <c r="H235" s="324"/>
      <c r="I235" s="324"/>
      <c r="V235" s="324"/>
      <c r="AC235" s="324"/>
      <c r="AD235" s="324"/>
      <c r="AE235" s="324"/>
      <c r="AF235" s="897"/>
      <c r="AG235" s="228"/>
      <c r="AH235" s="324"/>
      <c r="AI235" s="324"/>
      <c r="AJ235" s="897"/>
      <c r="AK235" s="897"/>
      <c r="AL235" s="897"/>
      <c r="AM235" s="297"/>
    </row>
    <row r="236" spans="2:39" ht="30" hidden="1" customHeight="1" x14ac:dyDescent="0.2">
      <c r="B236" s="336" t="s">
        <v>1546</v>
      </c>
      <c r="C236" s="817">
        <v>1500</v>
      </c>
      <c r="D236" s="936" t="s">
        <v>248</v>
      </c>
      <c r="E236" s="224">
        <f>SUM(E234:E235)</f>
        <v>0</v>
      </c>
      <c r="F236" s="224">
        <f>SUM(F234:F235)</f>
        <v>0</v>
      </c>
      <c r="H236" s="224">
        <f>SUM(F234:F235)-V236</f>
        <v>0</v>
      </c>
      <c r="I236" s="324"/>
      <c r="V236" s="461"/>
      <c r="AC236" s="224">
        <f t="shared" ref="AC236:AM236" si="20">SUM(AC234:AC235)</f>
        <v>0</v>
      </c>
      <c r="AD236" s="224">
        <f t="shared" si="20"/>
        <v>0</v>
      </c>
      <c r="AE236" s="224">
        <f t="shared" si="20"/>
        <v>0</v>
      </c>
      <c r="AF236" s="224">
        <f t="shared" si="20"/>
        <v>0</v>
      </c>
      <c r="AG236" s="224">
        <f t="shared" si="20"/>
        <v>0</v>
      </c>
      <c r="AH236" s="224">
        <f t="shared" si="20"/>
        <v>0</v>
      </c>
      <c r="AI236" s="224">
        <f t="shared" si="20"/>
        <v>0</v>
      </c>
      <c r="AJ236" s="224">
        <f t="shared" si="20"/>
        <v>0</v>
      </c>
      <c r="AK236" s="224">
        <f t="shared" si="20"/>
        <v>0</v>
      </c>
      <c r="AL236" s="224">
        <f t="shared" si="20"/>
        <v>0</v>
      </c>
      <c r="AM236" s="227">
        <f t="shared" si="20"/>
        <v>0</v>
      </c>
    </row>
    <row r="237" spans="2:39" ht="21.95" hidden="1" customHeight="1" x14ac:dyDescent="0.2">
      <c r="B237" s="657" t="s">
        <v>1540</v>
      </c>
      <c r="C237" s="817">
        <v>1510</v>
      </c>
      <c r="D237" s="936" t="s">
        <v>248</v>
      </c>
      <c r="E237" s="220">
        <f>SUM(AC237:AM237)</f>
        <v>0</v>
      </c>
      <c r="F237" s="228"/>
      <c r="H237" s="324"/>
      <c r="I237" s="324"/>
      <c r="V237" s="324"/>
      <c r="AC237" s="228"/>
      <c r="AD237" s="228"/>
      <c r="AE237" s="561"/>
      <c r="AF237" s="561"/>
      <c r="AG237" s="561"/>
      <c r="AH237" s="228"/>
      <c r="AI237" s="228"/>
      <c r="AJ237" s="561"/>
      <c r="AK237" s="561"/>
      <c r="AL237" s="561"/>
      <c r="AM237" s="331"/>
    </row>
    <row r="238" spans="2:39" ht="21.95" hidden="1" customHeight="1" x14ac:dyDescent="0.2">
      <c r="B238" s="657" t="s">
        <v>1541</v>
      </c>
      <c r="C238" s="934">
        <v>1515</v>
      </c>
      <c r="D238" s="963" t="s">
        <v>248</v>
      </c>
      <c r="E238" s="396"/>
      <c r="F238" s="396"/>
      <c r="H238" s="258"/>
      <c r="I238" s="258"/>
      <c r="V238" s="258"/>
      <c r="AC238" s="258"/>
      <c r="AD238" s="258"/>
      <c r="AE238" s="258"/>
      <c r="AF238" s="258"/>
      <c r="AG238" s="396"/>
      <c r="AH238" s="330"/>
      <c r="AI238" s="258"/>
      <c r="AJ238" s="258"/>
      <c r="AK238" s="258"/>
      <c r="AL238" s="258"/>
      <c r="AM238" s="297"/>
    </row>
    <row r="239" spans="2:39" ht="30" hidden="1" customHeight="1" thickBot="1" x14ac:dyDescent="0.25">
      <c r="B239" s="1096" t="s">
        <v>1547</v>
      </c>
      <c r="C239" s="924">
        <v>1520</v>
      </c>
      <c r="D239" s="926" t="s">
        <v>248</v>
      </c>
      <c r="E239" s="240">
        <f>SUM(E237:E238)</f>
        <v>0</v>
      </c>
      <c r="F239" s="240">
        <f>SUM(F237:F238)</f>
        <v>0</v>
      </c>
      <c r="H239" s="240">
        <f>SUM(F237:F238)-V239</f>
        <v>0</v>
      </c>
      <c r="I239" s="340"/>
      <c r="V239" s="464"/>
      <c r="AC239" s="240">
        <f t="shared" ref="AC239:AM239" si="21">SUM(AC237:AC238)</f>
        <v>0</v>
      </c>
      <c r="AD239" s="240">
        <f t="shared" si="21"/>
        <v>0</v>
      </c>
      <c r="AE239" s="240">
        <f t="shared" si="21"/>
        <v>0</v>
      </c>
      <c r="AF239" s="240">
        <f t="shared" si="21"/>
        <v>0</v>
      </c>
      <c r="AG239" s="240">
        <f t="shared" si="21"/>
        <v>0</v>
      </c>
      <c r="AH239" s="240">
        <f t="shared" si="21"/>
        <v>0</v>
      </c>
      <c r="AI239" s="240">
        <f t="shared" si="21"/>
        <v>0</v>
      </c>
      <c r="AJ239" s="240">
        <f t="shared" si="21"/>
        <v>0</v>
      </c>
      <c r="AK239" s="240">
        <f t="shared" si="21"/>
        <v>0</v>
      </c>
      <c r="AL239" s="240">
        <f t="shared" si="21"/>
        <v>0</v>
      </c>
      <c r="AM239" s="241">
        <f t="shared" si="21"/>
        <v>0</v>
      </c>
    </row>
    <row r="240" spans="2:39" ht="13.5" hidden="1" thickTop="1" x14ac:dyDescent="0.2">
      <c r="B240" s="108" t="s">
        <v>1543</v>
      </c>
      <c r="C240" s="469">
        <v>1530</v>
      </c>
      <c r="D240" s="960" t="s">
        <v>248</v>
      </c>
      <c r="V240" s="104"/>
    </row>
    <row r="241" spans="2:39" ht="13.5" hidden="1" thickTop="1" x14ac:dyDescent="0.2">
      <c r="B241" s="108" t="s">
        <v>1544</v>
      </c>
      <c r="C241" s="469">
        <v>1540</v>
      </c>
      <c r="D241" s="960" t="s">
        <v>248</v>
      </c>
      <c r="V241" s="104"/>
    </row>
    <row r="242" spans="2:39" ht="13.5" hidden="1" thickTop="1" x14ac:dyDescent="0.2">
      <c r="B242" s="97" t="s">
        <v>1548</v>
      </c>
      <c r="C242" s="469">
        <v>1550</v>
      </c>
      <c r="D242" s="960" t="s">
        <v>248</v>
      </c>
      <c r="E242" s="97"/>
      <c r="H242" s="97"/>
      <c r="V242" s="104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</row>
    <row r="243" spans="2:39" ht="13.5" hidden="1" thickTop="1" x14ac:dyDescent="0.2"/>
    <row r="244" spans="2:39" hidden="1" x14ac:dyDescent="0.2"/>
    <row r="245" spans="2:39" ht="13.5" hidden="1" thickBot="1" x14ac:dyDescent="0.25"/>
    <row r="246" spans="2:39" ht="14.25" hidden="1" thickTop="1" thickBot="1" x14ac:dyDescent="0.25">
      <c r="B246" s="100"/>
      <c r="C246" s="100"/>
      <c r="D246" s="100"/>
      <c r="E246" s="100"/>
      <c r="F246" s="376" t="s">
        <v>1320</v>
      </c>
      <c r="G246" s="97"/>
      <c r="H246" s="378"/>
      <c r="I246" s="378"/>
      <c r="R246" s="97"/>
      <c r="S246" s="108"/>
      <c r="T246" s="108"/>
      <c r="U246" s="108"/>
      <c r="V246" s="634"/>
      <c r="AC246" s="376" t="s">
        <v>1322</v>
      </c>
      <c r="AD246" s="634"/>
      <c r="AE246" s="634"/>
      <c r="AF246" s="634"/>
      <c r="AG246" s="634"/>
      <c r="AH246" s="634"/>
      <c r="AI246" s="634"/>
      <c r="AJ246" s="634"/>
      <c r="AK246" s="634"/>
      <c r="AL246" s="634"/>
      <c r="AM246" s="639"/>
    </row>
    <row r="247" spans="2:39" ht="13.5" hidden="1" thickTop="1" x14ac:dyDescent="0.2">
      <c r="B247" s="261"/>
      <c r="C247" s="262"/>
      <c r="D247" s="353" t="s">
        <v>25</v>
      </c>
      <c r="E247" s="353" t="s">
        <v>235</v>
      </c>
      <c r="F247" s="353" t="s">
        <v>236</v>
      </c>
      <c r="G247" s="97"/>
      <c r="H247" s="353" t="s">
        <v>294</v>
      </c>
      <c r="I247" s="707"/>
      <c r="R247" s="97"/>
      <c r="S247" s="97"/>
      <c r="T247" s="97"/>
      <c r="U247" s="97"/>
      <c r="V247" s="353" t="s">
        <v>580</v>
      </c>
      <c r="AC247" s="353" t="s">
        <v>823</v>
      </c>
      <c r="AD247" s="353" t="s">
        <v>824</v>
      </c>
      <c r="AE247" s="353" t="s">
        <v>825</v>
      </c>
      <c r="AF247" s="353" t="s">
        <v>826</v>
      </c>
      <c r="AG247" s="353" t="s">
        <v>827</v>
      </c>
      <c r="AH247" s="353" t="s">
        <v>828</v>
      </c>
      <c r="AI247" s="353" t="s">
        <v>829</v>
      </c>
      <c r="AJ247" s="353" t="s">
        <v>830</v>
      </c>
      <c r="AK247" s="353" t="s">
        <v>831</v>
      </c>
      <c r="AL247" s="353" t="s">
        <v>1323</v>
      </c>
      <c r="AM247" s="293" t="s">
        <v>1324</v>
      </c>
    </row>
    <row r="248" spans="2:39" ht="63.75" hidden="1" x14ac:dyDescent="0.2">
      <c r="B248" s="264" t="s">
        <v>1549</v>
      </c>
      <c r="C248" s="201" t="s">
        <v>238</v>
      </c>
      <c r="D248" s="201"/>
      <c r="E248" s="201" t="s">
        <v>799</v>
      </c>
      <c r="F248" s="201" t="s">
        <v>1328</v>
      </c>
      <c r="G248" s="97"/>
      <c r="H248" s="201" t="s">
        <v>302</v>
      </c>
      <c r="I248" s="709"/>
      <c r="R248" s="97"/>
      <c r="S248" s="97"/>
      <c r="T248" s="97"/>
      <c r="U248" s="97"/>
      <c r="V248" s="201" t="s">
        <v>1550</v>
      </c>
      <c r="AC248" s="201" t="s">
        <v>1005</v>
      </c>
      <c r="AD248" s="201" t="s">
        <v>1006</v>
      </c>
      <c r="AE248" s="201" t="s">
        <v>1007</v>
      </c>
      <c r="AF248" s="201" t="s">
        <v>590</v>
      </c>
      <c r="AG248" s="201" t="s">
        <v>1008</v>
      </c>
      <c r="AH248" s="201" t="s">
        <v>1265</v>
      </c>
      <c r="AI248" s="201" t="s">
        <v>1266</v>
      </c>
      <c r="AJ248" s="201" t="s">
        <v>1267</v>
      </c>
      <c r="AK248" s="201" t="s">
        <v>599</v>
      </c>
      <c r="AL248" s="201" t="s">
        <v>1268</v>
      </c>
      <c r="AM248" s="202" t="s">
        <v>1269</v>
      </c>
    </row>
    <row r="249" spans="2:39" ht="13.5" hidden="1" thickBot="1" x14ac:dyDescent="0.25">
      <c r="B249" s="264"/>
      <c r="C249" s="278" t="s">
        <v>242</v>
      </c>
      <c r="D249" s="278"/>
      <c r="E249" s="278" t="s">
        <v>243</v>
      </c>
      <c r="F249" s="278" t="s">
        <v>243</v>
      </c>
      <c r="G249" s="97"/>
      <c r="H249" s="278" t="s">
        <v>243</v>
      </c>
      <c r="I249" s="711"/>
      <c r="R249" s="97"/>
      <c r="S249" s="97"/>
      <c r="T249" s="97"/>
      <c r="U249" s="97"/>
      <c r="V249" s="278" t="s">
        <v>243</v>
      </c>
      <c r="AC249" s="278" t="s">
        <v>243</v>
      </c>
      <c r="AD249" s="278" t="s">
        <v>243</v>
      </c>
      <c r="AE249" s="278" t="s">
        <v>243</v>
      </c>
      <c r="AF249" s="278" t="s">
        <v>243</v>
      </c>
      <c r="AG249" s="278" t="s">
        <v>243</v>
      </c>
      <c r="AH249" s="278" t="s">
        <v>243</v>
      </c>
      <c r="AI249" s="278" t="s">
        <v>243</v>
      </c>
      <c r="AJ249" s="278" t="s">
        <v>243</v>
      </c>
      <c r="AK249" s="278" t="s">
        <v>243</v>
      </c>
      <c r="AL249" s="278" t="s">
        <v>243</v>
      </c>
      <c r="AM249" s="202" t="s">
        <v>243</v>
      </c>
    </row>
    <row r="250" spans="2:39" ht="21.95" hidden="1" customHeight="1" x14ac:dyDescent="0.2">
      <c r="B250" s="474" t="s">
        <v>1248</v>
      </c>
      <c r="C250" s="763"/>
      <c r="D250" s="964"/>
      <c r="E250" s="317"/>
      <c r="F250" s="317"/>
      <c r="H250" s="317"/>
      <c r="I250" s="947"/>
      <c r="V250" s="317"/>
      <c r="AC250" s="317"/>
      <c r="AD250" s="317"/>
      <c r="AE250" s="317"/>
      <c r="AF250" s="317"/>
      <c r="AG250" s="317"/>
      <c r="AH250" s="317"/>
      <c r="AI250" s="317"/>
      <c r="AJ250" s="317"/>
      <c r="AK250" s="317"/>
      <c r="AL250" s="317"/>
      <c r="AM250" s="318"/>
    </row>
    <row r="251" spans="2:39" ht="21.95" hidden="1" customHeight="1" x14ac:dyDescent="0.2">
      <c r="B251" s="188" t="s">
        <v>1551</v>
      </c>
      <c r="C251" s="251">
        <v>1555</v>
      </c>
      <c r="D251" s="250" t="s">
        <v>248</v>
      </c>
      <c r="E251" s="253">
        <f>SUM(AC251:AM251)</f>
        <v>0</v>
      </c>
      <c r="F251" s="422"/>
      <c r="H251" s="321"/>
      <c r="I251" s="896"/>
      <c r="V251" s="896"/>
      <c r="AC251" s="422"/>
      <c r="AD251" s="422"/>
      <c r="AE251" s="422"/>
      <c r="AF251" s="422"/>
      <c r="AG251" s="422"/>
      <c r="AH251" s="422"/>
      <c r="AI251" s="422"/>
      <c r="AJ251" s="422"/>
      <c r="AK251" s="422"/>
      <c r="AL251" s="422"/>
      <c r="AM251" s="578"/>
    </row>
    <row r="252" spans="2:39" ht="21.95" hidden="1" customHeight="1" x14ac:dyDescent="0.2">
      <c r="B252" s="231" t="s">
        <v>1552</v>
      </c>
      <c r="C252" s="218">
        <v>1560</v>
      </c>
      <c r="D252" s="219" t="s">
        <v>248</v>
      </c>
      <c r="E252" s="228"/>
      <c r="F252" s="228"/>
      <c r="H252" s="324"/>
      <c r="I252" s="897"/>
      <c r="V252" s="897"/>
      <c r="AC252" s="324"/>
      <c r="AD252" s="324"/>
      <c r="AE252" s="324"/>
      <c r="AF252" s="324"/>
      <c r="AG252" s="228"/>
      <c r="AH252" s="324"/>
      <c r="AI252" s="324"/>
      <c r="AJ252" s="324"/>
      <c r="AK252" s="324"/>
      <c r="AL252" s="324"/>
      <c r="AM252" s="297"/>
    </row>
    <row r="253" spans="2:39" ht="21.95" hidden="1" customHeight="1" x14ac:dyDescent="0.2">
      <c r="B253" s="226" t="s">
        <v>1553</v>
      </c>
      <c r="C253" s="218">
        <v>1565</v>
      </c>
      <c r="D253" s="217" t="s">
        <v>248</v>
      </c>
      <c r="E253" s="224">
        <f>SUM(E251:E252)</f>
        <v>0</v>
      </c>
      <c r="F253" s="224">
        <f>SUM(F251:F252)</f>
        <v>0</v>
      </c>
      <c r="H253" s="224">
        <f>SUM(F251:F252)-V253</f>
        <v>0</v>
      </c>
      <c r="I253" s="897"/>
      <c r="V253" s="461"/>
      <c r="AC253" s="224">
        <f t="shared" ref="AC253:AM253" si="22">SUM(AC251:AC252)</f>
        <v>0</v>
      </c>
      <c r="AD253" s="224">
        <f t="shared" si="22"/>
        <v>0</v>
      </c>
      <c r="AE253" s="224">
        <f t="shared" si="22"/>
        <v>0</v>
      </c>
      <c r="AF253" s="224">
        <f t="shared" si="22"/>
        <v>0</v>
      </c>
      <c r="AG253" s="224">
        <f t="shared" si="22"/>
        <v>0</v>
      </c>
      <c r="AH253" s="224">
        <f t="shared" si="22"/>
        <v>0</v>
      </c>
      <c r="AI253" s="224">
        <f t="shared" si="22"/>
        <v>0</v>
      </c>
      <c r="AJ253" s="224">
        <f t="shared" si="22"/>
        <v>0</v>
      </c>
      <c r="AK253" s="224">
        <f t="shared" si="22"/>
        <v>0</v>
      </c>
      <c r="AL253" s="224">
        <f t="shared" si="22"/>
        <v>0</v>
      </c>
      <c r="AM253" s="227">
        <f t="shared" si="22"/>
        <v>0</v>
      </c>
    </row>
    <row r="254" spans="2:39" ht="21.95" hidden="1" customHeight="1" x14ac:dyDescent="0.2">
      <c r="B254" s="213" t="s">
        <v>1554</v>
      </c>
      <c r="C254" s="218">
        <v>1567</v>
      </c>
      <c r="D254" s="217" t="s">
        <v>248</v>
      </c>
      <c r="E254" s="220">
        <f>SUM(AC254:AM254)</f>
        <v>0</v>
      </c>
      <c r="F254" s="228"/>
      <c r="H254" s="324"/>
      <c r="I254" s="897"/>
      <c r="V254" s="897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331"/>
    </row>
    <row r="255" spans="2:39" ht="21.95" hidden="1" customHeight="1" x14ac:dyDescent="0.2">
      <c r="B255" s="231" t="s">
        <v>1555</v>
      </c>
      <c r="C255" s="218">
        <v>1570</v>
      </c>
      <c r="D255" s="219" t="s">
        <v>248</v>
      </c>
      <c r="E255" s="580"/>
      <c r="F255" s="228"/>
      <c r="H255" s="324"/>
      <c r="I255" s="897"/>
      <c r="V255" s="897"/>
      <c r="AC255" s="324"/>
      <c r="AD255" s="324"/>
      <c r="AE255" s="324"/>
      <c r="AF255" s="324"/>
      <c r="AG255" s="228"/>
      <c r="AH255" s="324"/>
      <c r="AI255" s="324"/>
      <c r="AJ255" s="324"/>
      <c r="AK255" s="324"/>
      <c r="AL255" s="324"/>
      <c r="AM255" s="297"/>
    </row>
    <row r="256" spans="2:39" ht="21.95" hidden="1" customHeight="1" thickBot="1" x14ac:dyDescent="0.25">
      <c r="B256" s="445" t="s">
        <v>1556</v>
      </c>
      <c r="C256" s="358">
        <v>1580</v>
      </c>
      <c r="D256" s="545" t="s">
        <v>248</v>
      </c>
      <c r="E256" s="834">
        <f>SUM(E254:E255)</f>
        <v>0</v>
      </c>
      <c r="F256" s="834">
        <f>SUM(F254:F255)</f>
        <v>0</v>
      </c>
      <c r="H256" s="834">
        <f>SUM(F254:F255)-V256</f>
        <v>0</v>
      </c>
      <c r="I256" s="965"/>
      <c r="V256" s="939"/>
      <c r="AC256" s="834">
        <f t="shared" ref="AC256:AM256" si="23">SUM(AC254:AC255)</f>
        <v>0</v>
      </c>
      <c r="AD256" s="834">
        <f t="shared" si="23"/>
        <v>0</v>
      </c>
      <c r="AE256" s="834">
        <f t="shared" si="23"/>
        <v>0</v>
      </c>
      <c r="AF256" s="834">
        <f t="shared" si="23"/>
        <v>0</v>
      </c>
      <c r="AG256" s="877">
        <f t="shared" si="23"/>
        <v>0</v>
      </c>
      <c r="AH256" s="877">
        <f t="shared" si="23"/>
        <v>0</v>
      </c>
      <c r="AI256" s="834">
        <f t="shared" si="23"/>
        <v>0</v>
      </c>
      <c r="AJ256" s="834">
        <f t="shared" si="23"/>
        <v>0</v>
      </c>
      <c r="AK256" s="877">
        <f t="shared" si="23"/>
        <v>0</v>
      </c>
      <c r="AL256" s="834">
        <f t="shared" si="23"/>
        <v>0</v>
      </c>
      <c r="AM256" s="442">
        <f t="shared" si="23"/>
        <v>0</v>
      </c>
    </row>
    <row r="257" spans="1:40" ht="21.95" hidden="1" customHeight="1" x14ac:dyDescent="0.2">
      <c r="B257" s="474" t="s">
        <v>1346</v>
      </c>
      <c r="C257" s="763"/>
      <c r="D257" s="964"/>
      <c r="E257" s="317"/>
      <c r="F257" s="317"/>
      <c r="H257" s="317"/>
      <c r="I257" s="947"/>
      <c r="V257" s="947"/>
      <c r="AC257" s="317"/>
      <c r="AD257" s="317"/>
      <c r="AE257" s="317"/>
      <c r="AF257" s="317"/>
      <c r="AG257" s="317"/>
      <c r="AH257" s="317"/>
      <c r="AI257" s="317"/>
      <c r="AJ257" s="317"/>
      <c r="AK257" s="317"/>
      <c r="AL257" s="317"/>
      <c r="AM257" s="318"/>
    </row>
    <row r="258" spans="1:40" ht="21.95" hidden="1" customHeight="1" x14ac:dyDescent="0.2">
      <c r="B258" s="188" t="s">
        <v>1551</v>
      </c>
      <c r="C258" s="251">
        <v>1585</v>
      </c>
      <c r="D258" s="250" t="s">
        <v>248</v>
      </c>
      <c r="E258" s="253">
        <f>SUM(AC258:AM258)</f>
        <v>0</v>
      </c>
      <c r="F258" s="422"/>
      <c r="H258" s="321"/>
      <c r="I258" s="896"/>
      <c r="V258" s="896"/>
      <c r="AC258" s="422"/>
      <c r="AD258" s="422"/>
      <c r="AE258" s="422"/>
      <c r="AF258" s="422"/>
      <c r="AG258" s="422"/>
      <c r="AH258" s="422"/>
      <c r="AI258" s="422"/>
      <c r="AJ258" s="422"/>
      <c r="AK258" s="422"/>
      <c r="AL258" s="422"/>
      <c r="AM258" s="578"/>
    </row>
    <row r="259" spans="1:40" ht="21.95" hidden="1" customHeight="1" x14ac:dyDescent="0.2">
      <c r="B259" s="231" t="s">
        <v>1552</v>
      </c>
      <c r="C259" s="218">
        <v>1590</v>
      </c>
      <c r="D259" s="219" t="s">
        <v>248</v>
      </c>
      <c r="E259" s="228"/>
      <c r="F259" s="228"/>
      <c r="H259" s="324"/>
      <c r="I259" s="897"/>
      <c r="V259" s="897"/>
      <c r="AC259" s="324"/>
      <c r="AD259" s="324"/>
      <c r="AE259" s="324"/>
      <c r="AF259" s="324"/>
      <c r="AG259" s="228"/>
      <c r="AH259" s="324"/>
      <c r="AI259" s="324"/>
      <c r="AJ259" s="324"/>
      <c r="AK259" s="324"/>
      <c r="AL259" s="324"/>
      <c r="AM259" s="297"/>
    </row>
    <row r="260" spans="1:40" ht="21.95" hidden="1" customHeight="1" x14ac:dyDescent="0.2">
      <c r="B260" s="226" t="s">
        <v>1557</v>
      </c>
      <c r="C260" s="218">
        <v>1595</v>
      </c>
      <c r="D260" s="217" t="s">
        <v>248</v>
      </c>
      <c r="E260" s="224">
        <f>SUM(E258:E259)</f>
        <v>0</v>
      </c>
      <c r="F260" s="224">
        <f>SUM(F258:F259)</f>
        <v>0</v>
      </c>
      <c r="H260" s="224">
        <f>SUM(F258:F259)-V260</f>
        <v>0</v>
      </c>
      <c r="I260" s="897"/>
      <c r="V260" s="461"/>
      <c r="AC260" s="224">
        <f t="shared" ref="AC260:AM260" si="24">SUM(AC258:AC259)</f>
        <v>0</v>
      </c>
      <c r="AD260" s="224">
        <f t="shared" si="24"/>
        <v>0</v>
      </c>
      <c r="AE260" s="224">
        <f t="shared" si="24"/>
        <v>0</v>
      </c>
      <c r="AF260" s="224">
        <f t="shared" si="24"/>
        <v>0</v>
      </c>
      <c r="AG260" s="224">
        <f t="shared" si="24"/>
        <v>0</v>
      </c>
      <c r="AH260" s="224">
        <f t="shared" si="24"/>
        <v>0</v>
      </c>
      <c r="AI260" s="224">
        <f t="shared" si="24"/>
        <v>0</v>
      </c>
      <c r="AJ260" s="224">
        <f t="shared" si="24"/>
        <v>0</v>
      </c>
      <c r="AK260" s="224">
        <f t="shared" si="24"/>
        <v>0</v>
      </c>
      <c r="AL260" s="224">
        <f t="shared" si="24"/>
        <v>0</v>
      </c>
      <c r="AM260" s="227">
        <f t="shared" si="24"/>
        <v>0</v>
      </c>
    </row>
    <row r="261" spans="1:40" ht="21.95" hidden="1" customHeight="1" x14ac:dyDescent="0.2">
      <c r="B261" s="213" t="s">
        <v>1554</v>
      </c>
      <c r="C261" s="218">
        <v>1597</v>
      </c>
      <c r="D261" s="217" t="s">
        <v>248</v>
      </c>
      <c r="E261" s="220">
        <f>SUM(AC261:AM261)</f>
        <v>0</v>
      </c>
      <c r="F261" s="228"/>
      <c r="H261" s="324"/>
      <c r="I261" s="897"/>
      <c r="V261" s="897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331"/>
    </row>
    <row r="262" spans="1:40" ht="21.95" hidden="1" customHeight="1" x14ac:dyDescent="0.2">
      <c r="B262" s="231" t="s">
        <v>1555</v>
      </c>
      <c r="C262" s="234">
        <v>1600</v>
      </c>
      <c r="D262" s="267" t="s">
        <v>248</v>
      </c>
      <c r="E262" s="396"/>
      <c r="F262" s="396"/>
      <c r="H262" s="258"/>
      <c r="I262" s="901"/>
      <c r="V262" s="901"/>
      <c r="AC262" s="258"/>
      <c r="AD262" s="258"/>
      <c r="AE262" s="258"/>
      <c r="AF262" s="258"/>
      <c r="AG262" s="396"/>
      <c r="AH262" s="258"/>
      <c r="AI262" s="258"/>
      <c r="AJ262" s="258"/>
      <c r="AK262" s="258"/>
      <c r="AL262" s="258"/>
      <c r="AM262" s="297"/>
    </row>
    <row r="263" spans="1:40" ht="21.95" hidden="1" customHeight="1" thickBot="1" x14ac:dyDescent="0.25">
      <c r="B263" s="497" t="s">
        <v>1558</v>
      </c>
      <c r="C263" s="236">
        <v>1610</v>
      </c>
      <c r="D263" s="238" t="s">
        <v>248</v>
      </c>
      <c r="E263" s="240">
        <f>SUM(E261:E262)</f>
        <v>0</v>
      </c>
      <c r="F263" s="240">
        <f>SUM(F261:F262)</f>
        <v>0</v>
      </c>
      <c r="H263" s="240">
        <f>SUM(F261:F262)-V263</f>
        <v>0</v>
      </c>
      <c r="I263" s="370"/>
      <c r="V263" s="464"/>
      <c r="AC263" s="240">
        <f t="shared" ref="AC263:AM263" si="25">SUM(AC261:AC262)</f>
        <v>0</v>
      </c>
      <c r="AD263" s="240">
        <f t="shared" si="25"/>
        <v>0</v>
      </c>
      <c r="AE263" s="240">
        <f t="shared" si="25"/>
        <v>0</v>
      </c>
      <c r="AF263" s="240">
        <f t="shared" si="25"/>
        <v>0</v>
      </c>
      <c r="AG263" s="502">
        <f t="shared" si="25"/>
        <v>0</v>
      </c>
      <c r="AH263" s="502">
        <f t="shared" si="25"/>
        <v>0</v>
      </c>
      <c r="AI263" s="240">
        <f t="shared" si="25"/>
        <v>0</v>
      </c>
      <c r="AJ263" s="240">
        <f t="shared" si="25"/>
        <v>0</v>
      </c>
      <c r="AK263" s="502">
        <f t="shared" si="25"/>
        <v>0</v>
      </c>
      <c r="AL263" s="240">
        <f t="shared" si="25"/>
        <v>0</v>
      </c>
      <c r="AM263" s="503">
        <f t="shared" si="25"/>
        <v>0</v>
      </c>
    </row>
    <row r="264" spans="1:40" x14ac:dyDescent="0.2">
      <c r="B264" s="100"/>
      <c r="C264" s="100"/>
      <c r="D264" s="100"/>
    </row>
    <row r="265" spans="1:40" x14ac:dyDescent="0.2">
      <c r="B265" s="100"/>
      <c r="C265" s="100"/>
      <c r="D265" s="100"/>
    </row>
    <row r="266" spans="1:40" x14ac:dyDescent="0.2">
      <c r="I266" s="959"/>
    </row>
    <row r="267" spans="1:40" hidden="1" x14ac:dyDescent="0.2">
      <c r="A267" s="99"/>
      <c r="B267" s="102"/>
      <c r="C267" s="102"/>
      <c r="D267" s="102"/>
      <c r="E267" s="102" t="s">
        <v>235</v>
      </c>
      <c r="F267" s="102" t="s">
        <v>236</v>
      </c>
      <c r="H267" s="102" t="s">
        <v>294</v>
      </c>
      <c r="I267" s="102"/>
      <c r="V267" s="102" t="s">
        <v>580</v>
      </c>
      <c r="AC267" s="102" t="s">
        <v>825</v>
      </c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</row>
    <row r="268" spans="1:40" hidden="1" x14ac:dyDescent="0.2">
      <c r="A268" s="99"/>
      <c r="B268" s="102" t="s">
        <v>1559</v>
      </c>
      <c r="C268" s="102" t="s">
        <v>1560</v>
      </c>
      <c r="D268" s="102" t="s">
        <v>1561</v>
      </c>
      <c r="E268" s="102" t="s">
        <v>1432</v>
      </c>
      <c r="F268" s="102" t="s">
        <v>1433</v>
      </c>
      <c r="H268" s="102" t="s">
        <v>1434</v>
      </c>
      <c r="I268" s="102"/>
      <c r="V268" s="102" t="s">
        <v>1435</v>
      </c>
      <c r="AC268" s="102" t="s">
        <v>1436</v>
      </c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</row>
    <row r="269" spans="1:40" hidden="1" x14ac:dyDescent="0.2">
      <c r="A269" s="99"/>
      <c r="B269" s="102"/>
      <c r="C269" s="102"/>
      <c r="D269" s="102"/>
      <c r="E269" s="102" t="s">
        <v>243</v>
      </c>
      <c r="F269" s="102" t="s">
        <v>243</v>
      </c>
      <c r="H269" s="102" t="s">
        <v>243</v>
      </c>
      <c r="I269" s="102"/>
      <c r="V269" s="102" t="s">
        <v>243</v>
      </c>
      <c r="AC269" s="102" t="s">
        <v>243</v>
      </c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</row>
    <row r="270" spans="1:40" hidden="1" x14ac:dyDescent="0.2">
      <c r="A270" s="99"/>
      <c r="B270" s="99" t="s">
        <v>1562</v>
      </c>
      <c r="C270" s="172">
        <v>1620</v>
      </c>
      <c r="D270" s="157" t="s">
        <v>248</v>
      </c>
      <c r="E270" s="102"/>
      <c r="F270" s="99"/>
      <c r="H270" s="100"/>
      <c r="I270" s="99"/>
      <c r="V270" s="100"/>
      <c r="AC270" s="102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</row>
    <row r="271" spans="1:40" hidden="1" x14ac:dyDescent="0.2">
      <c r="A271" s="99"/>
      <c r="B271" s="99" t="s">
        <v>1563</v>
      </c>
      <c r="C271" s="172">
        <v>1630</v>
      </c>
      <c r="D271" s="157" t="s">
        <v>248</v>
      </c>
      <c r="E271" s="102"/>
      <c r="F271" s="99"/>
      <c r="H271" s="99"/>
      <c r="I271" s="99"/>
      <c r="V271" s="100"/>
      <c r="AC271" s="102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</row>
    <row r="272" spans="1:40" x14ac:dyDescent="0.2">
      <c r="B272" s="100"/>
      <c r="C272" s="100"/>
      <c r="D272" s="100"/>
    </row>
    <row r="273" spans="2:4" x14ac:dyDescent="0.2">
      <c r="B273" s="100"/>
      <c r="C273" s="100"/>
      <c r="D273" s="100"/>
    </row>
    <row r="274" spans="2:4" x14ac:dyDescent="0.2">
      <c r="B274" s="100"/>
      <c r="C274" s="100"/>
      <c r="D274" s="100"/>
    </row>
    <row r="275" spans="2:4" x14ac:dyDescent="0.2">
      <c r="B275" s="100"/>
      <c r="C275" s="100"/>
      <c r="D275" s="100"/>
    </row>
    <row r="276" spans="2:4" x14ac:dyDescent="0.2">
      <c r="B276" s="100"/>
      <c r="C276" s="100"/>
      <c r="D276" s="100"/>
    </row>
    <row r="277" spans="2:4" x14ac:dyDescent="0.2">
      <c r="B277" s="100"/>
      <c r="C277" s="100"/>
      <c r="D277" s="100"/>
    </row>
    <row r="278" spans="2:4" x14ac:dyDescent="0.2">
      <c r="B278" s="100"/>
      <c r="C278" s="100"/>
      <c r="D278" s="100"/>
    </row>
    <row r="279" spans="2:4" x14ac:dyDescent="0.2">
      <c r="B279" s="100"/>
      <c r="C279" s="100"/>
      <c r="D279" s="100"/>
    </row>
    <row r="280" spans="2:4" x14ac:dyDescent="0.2">
      <c r="B280" s="100"/>
      <c r="C280" s="100"/>
      <c r="D280" s="100"/>
    </row>
    <row r="281" spans="2:4" x14ac:dyDescent="0.2">
      <c r="B281" s="100"/>
      <c r="C281" s="100"/>
      <c r="D281" s="100"/>
    </row>
    <row r="282" spans="2:4" x14ac:dyDescent="0.2">
      <c r="B282" s="100"/>
      <c r="C282" s="100"/>
      <c r="D282" s="100"/>
    </row>
  </sheetData>
  <sheetProtection password="8EBD" sheet="1" objects="1" scenarios="1"/>
  <dataValidations count="3">
    <dataValidation type="decimal" allowBlank="1" showErrorMessage="1" errorTitle="Number Only" error="Error : This cell can only accept a numeric value with a max of 12 digits." sqref="G1 AC263:AM263 V263 H263 E263:F263 E261 AC260:AM260 V260 H260 E260:F260 E258 AC256:AM256 V256 H256 E256:F256 E254 AC253:AM253 V253 H253 E253:F253 E251 AI239:AM239 AC239:AG239 V239:V242 H239 E239:F239 AH238:AH239 E237 AC236:AM236 V236 H236 E236:F236 E234 AC225:AD225 AG223:AM223 AC222:AF223 V223:V226 H223 E223:F223 AI222:AL222 AM221 E221 AC220:AM220 V220 H220 E220:F220 E218 AC209:AM210 E173:E174 F171:F174 E170:F170 E168 F166:F168 E165:F165 I157 AC149:AM150 H150 E149:F150 V149:V150 AC144:AM144 V144 H144 E144:F144 E133:F134 V131:V134 H131:H134 E129:F129 V127:V129 H127:H129 I120 E113:F113 V109:V113 H109:H113 E109 AC102:AM103 E102:F103 V102:V103 H102:H103 V100 H100 E100 V98 AC94:AF95 V94:V96 H94:H95 E94:F94 A94:A95 AC92:AM92 V92 H92 E92:F92 V90 H90 E90 V88 AC84:AF85 V84:V86 E82:F84 A84:A85 H82:H85 V81:V82 I73 AC65:AM66 E65:F66 V62:V67 E61 AC60:AM60 E60:F60 V57:V60 I45 V39:V41 H39:H41 E38 AC36:AM37 E36:F37 V33:V37 H33:H37 E31:F32 AM31:AM32 AG31:AG32 AC28:AL29 F28:F29 V27:V29 E26:E29 AC25:AM25 E25:F25 V23:V25 H23:H25 V21 H20:H21 V19 E17:F18 AM17:AM18 AG17:AG18 AH16 AC13:AL14 F13:F14 E12:E14 V11:V14 W1">
      <formula1>-1000000000000</formula1>
      <formula2>1000000000000</formula2>
    </dataValidation>
    <dataValidation type="whole" allowBlank="1" showErrorMessage="1" errorTitle="Number Only" error="Error : This cell can only accept a numeric value with a max of 12 digits." sqref="B5 V261:V262 V257:V259 V254:V255 V251:V252 I250:I263 AJ235:AL235 AF235 AJ219:AL219 AE219:AF219 AC96:AD99 AC93:AD93 AC86:AD89 AC81:AD83 B39:B41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F12 AM262 AG262 E262 AC261:AL261 F261:F262 AM259 AG259 E259 AC258:AL258 F258:F259 AM255 AG255 E255 AC254:AL254 F254:F255 AM252 AG252 E252 AC251:AL251 F251:F252 AM238 AG238 E238 AC237:AL237 F237:F238 AM235 AG235 E235 AC234:AL234 F234:F235 AM222 AG222 E222 AC221:AL221 F221:F222 AM219 AG219 E219 AC218:AL218 F218:F219 E171:E172 E166:E167 I155:I156 AC146:AM148 E146:F148 AC141:AM143 E141:F143 E131:F132 E127:F128 I118:I119 E110:E112 F109:F112 AC100:AM101 E101 F100:F101 E95:F99 AC90:AM91 E91 F90:F91 E85:F89 I71:I72 AC62:AM64 E62:F64 AC57:AM59 E57:F59 I43:I44 E39:F41 AH34:AM35 AC34:AF35 E33:F35 AG33:AG35 AM30 AG30 E30:F30 AC27:AL27 F27 AH23:AM24 AC23:AF24 E19:F24 AG21:AG24 V20 AG19 AM16 AG16 E16:F16 AC12:AL12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28" fitToHeight="4" orientation="landscape" horizontalDpi="90" verticalDpi="90" r:id="rId1"/>
  <rowBreaks count="3" manualBreakCount="3">
    <brk id="49" max="54" man="1"/>
    <brk id="120" max="54" man="1"/>
    <brk id="209" max="5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I140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5.5703125" customWidth="1"/>
    <col min="2" max="2" width="57.7109375" customWidth="1"/>
    <col min="3" max="4" width="10.140625" customWidth="1"/>
    <col min="5" max="10" width="18.7109375" customWidth="1"/>
    <col min="11" max="11" width="18" customWidth="1"/>
    <col min="12" max="12" width="18.140625" customWidth="1"/>
    <col min="13" max="13" width="7.5703125" customWidth="1"/>
    <col min="14" max="78" width="3.140625" hidden="1" customWidth="1"/>
  </cols>
  <sheetData>
    <row r="1" spans="1:12" ht="15.75" x14ac:dyDescent="0.25">
      <c r="A1" s="1131" t="s">
        <v>3726</v>
      </c>
      <c r="B1" s="1139" t="str">
        <f>OrgName</f>
        <v>ZZZ NHS TRUST</v>
      </c>
      <c r="C1" s="1149"/>
      <c r="D1" s="1149"/>
      <c r="E1" s="1177" t="str">
        <f>HYPERLINK(CHAR(35)&amp;"1415TRU_Index_P13"&amp;"!A1","GoTo Index tab")</f>
        <v>GoTo Index tab</v>
      </c>
    </row>
    <row r="2" spans="1:12" x14ac:dyDescent="0.2">
      <c r="A2" s="1131" t="s">
        <v>3727</v>
      </c>
      <c r="B2" s="1137" t="str">
        <f>"Org Code: " &amp; Orgcode</f>
        <v>Org Code: ZZZ</v>
      </c>
      <c r="C2" s="1148"/>
      <c r="D2" s="1148"/>
      <c r="E2" s="1135"/>
    </row>
    <row r="3" spans="1:12" x14ac:dyDescent="0.2">
      <c r="A3" s="1131" t="s">
        <v>3745</v>
      </c>
      <c r="B3" s="1138" t="s">
        <v>3725</v>
      </c>
      <c r="C3" s="1150"/>
      <c r="D3" s="1150"/>
      <c r="E3" s="1136"/>
    </row>
    <row r="4" spans="1:12" x14ac:dyDescent="0.2">
      <c r="B4" s="97" t="s">
        <v>1564</v>
      </c>
      <c r="C4" s="157"/>
      <c r="D4" s="157"/>
    </row>
    <row r="5" spans="1:12" x14ac:dyDescent="0.2">
      <c r="B5" s="103" t="s">
        <v>66</v>
      </c>
      <c r="C5" s="157"/>
      <c r="D5" s="157"/>
    </row>
    <row r="6" spans="1:12" ht="13.5" thickBot="1" x14ac:dyDescent="0.25">
      <c r="C6" s="157"/>
      <c r="D6" s="157"/>
    </row>
    <row r="7" spans="1:12" ht="13.5" thickTop="1" x14ac:dyDescent="0.2">
      <c r="B7" s="242"/>
      <c r="C7" s="195"/>
      <c r="D7" s="195" t="s">
        <v>25</v>
      </c>
      <c r="E7" s="195" t="s">
        <v>235</v>
      </c>
      <c r="F7" s="195" t="s">
        <v>236</v>
      </c>
      <c r="G7" s="195" t="s">
        <v>293</v>
      </c>
      <c r="H7" s="195" t="s">
        <v>294</v>
      </c>
      <c r="I7" s="195" t="s">
        <v>295</v>
      </c>
      <c r="J7" s="195" t="s">
        <v>296</v>
      </c>
      <c r="K7" s="195" t="s">
        <v>342</v>
      </c>
      <c r="L7" s="197" t="s">
        <v>297</v>
      </c>
    </row>
    <row r="8" spans="1:12" ht="51" x14ac:dyDescent="0.2">
      <c r="B8" s="198" t="s">
        <v>1567</v>
      </c>
      <c r="C8" s="199"/>
      <c r="D8" s="199"/>
      <c r="E8" s="201" t="s">
        <v>1568</v>
      </c>
      <c r="F8" s="201" t="s">
        <v>1569</v>
      </c>
      <c r="G8" s="201" t="s">
        <v>1570</v>
      </c>
      <c r="H8" s="201" t="s">
        <v>1571</v>
      </c>
      <c r="I8" s="201" t="s">
        <v>1572</v>
      </c>
      <c r="J8" s="201" t="s">
        <v>1573</v>
      </c>
      <c r="K8" s="201" t="s">
        <v>804</v>
      </c>
      <c r="L8" s="202" t="s">
        <v>1571</v>
      </c>
    </row>
    <row r="9" spans="1:12" x14ac:dyDescent="0.2">
      <c r="B9" s="198"/>
      <c r="C9" s="199" t="s">
        <v>238</v>
      </c>
      <c r="D9" s="199"/>
      <c r="E9" s="199" t="s">
        <v>300</v>
      </c>
      <c r="F9" s="199" t="s">
        <v>300</v>
      </c>
      <c r="G9" s="199" t="s">
        <v>300</v>
      </c>
      <c r="H9" s="199" t="s">
        <v>300</v>
      </c>
      <c r="I9" s="199" t="s">
        <v>300</v>
      </c>
      <c r="J9" s="199" t="s">
        <v>300</v>
      </c>
      <c r="K9" s="199" t="s">
        <v>240</v>
      </c>
      <c r="L9" s="210" t="s">
        <v>240</v>
      </c>
    </row>
    <row r="10" spans="1:12" ht="13.5" thickBot="1" x14ac:dyDescent="0.25">
      <c r="B10" s="198" t="s">
        <v>1574</v>
      </c>
      <c r="C10" s="204" t="s">
        <v>242</v>
      </c>
      <c r="D10" s="204"/>
      <c r="E10" s="204" t="s">
        <v>243</v>
      </c>
      <c r="F10" s="204" t="s">
        <v>243</v>
      </c>
      <c r="G10" s="204" t="s">
        <v>243</v>
      </c>
      <c r="H10" s="204" t="s">
        <v>243</v>
      </c>
      <c r="I10" s="204" t="s">
        <v>243</v>
      </c>
      <c r="J10" s="204" t="s">
        <v>243</v>
      </c>
      <c r="K10" s="204" t="s">
        <v>243</v>
      </c>
      <c r="L10" s="210" t="s">
        <v>243</v>
      </c>
    </row>
    <row r="11" spans="1:12" ht="21.95" customHeight="1" x14ac:dyDescent="0.2">
      <c r="B11" s="189" t="s">
        <v>1575</v>
      </c>
      <c r="C11" s="207">
        <v>100</v>
      </c>
      <c r="D11" s="206" t="s">
        <v>248</v>
      </c>
      <c r="E11" s="356"/>
      <c r="F11" s="356"/>
      <c r="G11" s="209">
        <f>E11-F11</f>
        <v>0</v>
      </c>
      <c r="H11" s="356"/>
      <c r="I11" s="356"/>
      <c r="J11" s="209">
        <f>H11-I11</f>
        <v>0</v>
      </c>
      <c r="K11" s="302"/>
      <c r="L11" s="304"/>
    </row>
    <row r="12" spans="1:12" ht="21.95" customHeight="1" x14ac:dyDescent="0.2">
      <c r="B12" s="213" t="s">
        <v>1576</v>
      </c>
      <c r="C12" s="218">
        <v>110</v>
      </c>
      <c r="D12" s="217" t="s">
        <v>248</v>
      </c>
      <c r="E12" s="228"/>
      <c r="F12" s="228"/>
      <c r="G12" s="220">
        <f>E12-F12</f>
        <v>0</v>
      </c>
      <c r="H12" s="228"/>
      <c r="I12" s="228"/>
      <c r="J12" s="220">
        <f>H12-I12</f>
        <v>0</v>
      </c>
      <c r="K12" s="300"/>
      <c r="L12" s="298"/>
    </row>
    <row r="13" spans="1:12" ht="21.95" customHeight="1" x14ac:dyDescent="0.2">
      <c r="B13" s="213" t="s">
        <v>1577</v>
      </c>
      <c r="C13" s="218">
        <v>120</v>
      </c>
      <c r="D13" s="217" t="s">
        <v>248</v>
      </c>
      <c r="E13" s="228"/>
      <c r="F13" s="228"/>
      <c r="G13" s="220">
        <f>E13-F13</f>
        <v>0</v>
      </c>
      <c r="H13" s="228"/>
      <c r="I13" s="228"/>
      <c r="J13" s="220">
        <f>H13-I13</f>
        <v>0</v>
      </c>
      <c r="K13" s="300"/>
      <c r="L13" s="298"/>
    </row>
    <row r="14" spans="1:12" ht="21.95" customHeight="1" x14ac:dyDescent="0.2">
      <c r="B14" s="213" t="s">
        <v>1578</v>
      </c>
      <c r="C14" s="218">
        <v>130</v>
      </c>
      <c r="D14" s="217" t="s">
        <v>245</v>
      </c>
      <c r="E14" s="228"/>
      <c r="F14" s="228"/>
      <c r="G14" s="220">
        <f>E14-F14</f>
        <v>0</v>
      </c>
      <c r="H14" s="324"/>
      <c r="I14" s="324"/>
      <c r="J14" s="324"/>
      <c r="K14" s="300"/>
      <c r="L14" s="331"/>
    </row>
    <row r="15" spans="1:12" ht="27" customHeight="1" thickBot="1" x14ac:dyDescent="0.25">
      <c r="B15" s="245" t="s">
        <v>1579</v>
      </c>
      <c r="C15" s="358">
        <v>140</v>
      </c>
      <c r="D15" s="357" t="s">
        <v>248</v>
      </c>
      <c r="E15" s="359">
        <f t="shared" ref="E15:J15" si="0">SUM(E11:E14)</f>
        <v>0</v>
      </c>
      <c r="F15" s="359">
        <f t="shared" si="0"/>
        <v>0</v>
      </c>
      <c r="G15" s="359">
        <f t="shared" si="0"/>
        <v>0</v>
      </c>
      <c r="H15" s="359">
        <f t="shared" si="0"/>
        <v>0</v>
      </c>
      <c r="I15" s="359">
        <f t="shared" si="0"/>
        <v>0</v>
      </c>
      <c r="J15" s="359">
        <f t="shared" si="0"/>
        <v>0</v>
      </c>
      <c r="K15" s="969"/>
      <c r="L15" s="298"/>
    </row>
    <row r="16" spans="1:12" ht="21.95" customHeight="1" x14ac:dyDescent="0.2">
      <c r="B16" s="189" t="s">
        <v>1580</v>
      </c>
      <c r="C16" s="763"/>
      <c r="D16" s="735"/>
      <c r="E16" s="317"/>
      <c r="F16" s="317"/>
      <c r="G16" s="317"/>
      <c r="H16" s="317"/>
      <c r="I16" s="317"/>
      <c r="J16" s="317"/>
      <c r="K16" s="317"/>
      <c r="L16" s="318"/>
    </row>
    <row r="17" spans="2:12" ht="21.95" customHeight="1" x14ac:dyDescent="0.2">
      <c r="B17" s="188" t="s">
        <v>1502</v>
      </c>
      <c r="C17" s="251">
        <v>150</v>
      </c>
      <c r="D17" s="250" t="s">
        <v>248</v>
      </c>
      <c r="E17" s="321"/>
      <c r="F17" s="321"/>
      <c r="G17" s="321"/>
      <c r="H17" s="253">
        <f>H11</f>
        <v>0</v>
      </c>
      <c r="I17" s="253">
        <f>I11</f>
        <v>0</v>
      </c>
      <c r="J17" s="253">
        <f>J11</f>
        <v>0</v>
      </c>
      <c r="K17" s="321"/>
      <c r="L17" s="307"/>
    </row>
    <row r="18" spans="2:12" ht="21.95" customHeight="1" thickBot="1" x14ac:dyDescent="0.25">
      <c r="B18" s="213" t="s">
        <v>1581</v>
      </c>
      <c r="C18" s="289">
        <v>160</v>
      </c>
      <c r="D18" s="288" t="s">
        <v>248</v>
      </c>
      <c r="E18" s="291"/>
      <c r="F18" s="291"/>
      <c r="G18" s="291"/>
      <c r="H18" s="591">
        <f>H15-H17</f>
        <v>0</v>
      </c>
      <c r="I18" s="591">
        <f>I15-I17</f>
        <v>0</v>
      </c>
      <c r="J18" s="591">
        <f>J15-J17</f>
        <v>0</v>
      </c>
      <c r="K18" s="291"/>
      <c r="L18" s="298"/>
    </row>
    <row r="19" spans="2:12" ht="30" customHeight="1" thickTop="1" x14ac:dyDescent="0.2">
      <c r="B19" s="1115" t="s">
        <v>1582</v>
      </c>
      <c r="C19" s="412"/>
      <c r="D19" s="413"/>
      <c r="E19" s="414"/>
      <c r="F19" s="414"/>
      <c r="G19" s="414"/>
      <c r="H19" s="414"/>
      <c r="I19" s="414"/>
      <c r="J19" s="414"/>
      <c r="K19" s="414"/>
      <c r="L19" s="968"/>
    </row>
    <row r="20" spans="2:12" ht="21.95" customHeight="1" x14ac:dyDescent="0.2">
      <c r="B20" s="188" t="s">
        <v>1575</v>
      </c>
      <c r="C20" s="251">
        <v>170</v>
      </c>
      <c r="D20" s="250" t="s">
        <v>248</v>
      </c>
      <c r="E20" s="422"/>
      <c r="F20" s="422"/>
      <c r="G20" s="253">
        <f>E20-F20</f>
        <v>0</v>
      </c>
      <c r="H20" s="422"/>
      <c r="I20" s="422"/>
      <c r="J20" s="253">
        <f>H20-I20</f>
        <v>0</v>
      </c>
      <c r="K20" s="306"/>
      <c r="L20" s="307"/>
    </row>
    <row r="21" spans="2:12" ht="21.95" customHeight="1" x14ac:dyDescent="0.2">
      <c r="B21" s="213" t="s">
        <v>1576</v>
      </c>
      <c r="C21" s="218">
        <v>180</v>
      </c>
      <c r="D21" s="217" t="s">
        <v>248</v>
      </c>
      <c r="E21" s="228"/>
      <c r="F21" s="228"/>
      <c r="G21" s="220">
        <f>E21-F21</f>
        <v>0</v>
      </c>
      <c r="H21" s="228"/>
      <c r="I21" s="228"/>
      <c r="J21" s="220">
        <f>H21-I21</f>
        <v>0</v>
      </c>
      <c r="K21" s="300"/>
      <c r="L21" s="298"/>
    </row>
    <row r="22" spans="2:12" ht="21.95" customHeight="1" x14ac:dyDescent="0.2">
      <c r="B22" s="213" t="s">
        <v>1577</v>
      </c>
      <c r="C22" s="218">
        <v>190</v>
      </c>
      <c r="D22" s="217" t="s">
        <v>248</v>
      </c>
      <c r="E22" s="228"/>
      <c r="F22" s="228"/>
      <c r="G22" s="220">
        <f>E22-F22</f>
        <v>0</v>
      </c>
      <c r="H22" s="228"/>
      <c r="I22" s="228"/>
      <c r="J22" s="220">
        <f>H22-I22</f>
        <v>0</v>
      </c>
      <c r="K22" s="300"/>
      <c r="L22" s="298"/>
    </row>
    <row r="23" spans="2:12" ht="21.95" customHeight="1" x14ac:dyDescent="0.2">
      <c r="B23" s="213" t="s">
        <v>1578</v>
      </c>
      <c r="C23" s="218">
        <v>200</v>
      </c>
      <c r="D23" s="217" t="s">
        <v>245</v>
      </c>
      <c r="E23" s="228"/>
      <c r="F23" s="228"/>
      <c r="G23" s="220">
        <f>E23-F23</f>
        <v>0</v>
      </c>
      <c r="H23" s="324"/>
      <c r="I23" s="324"/>
      <c r="J23" s="324"/>
      <c r="K23" s="300"/>
      <c r="L23" s="331"/>
    </row>
    <row r="24" spans="2:12" ht="27" customHeight="1" thickBot="1" x14ac:dyDescent="0.25">
      <c r="B24" s="245" t="s">
        <v>1579</v>
      </c>
      <c r="C24" s="358">
        <v>210</v>
      </c>
      <c r="D24" s="357" t="s">
        <v>248</v>
      </c>
      <c r="E24" s="359">
        <f t="shared" ref="E24:J24" si="1">SUM(E20:E23)</f>
        <v>0</v>
      </c>
      <c r="F24" s="359">
        <f t="shared" si="1"/>
        <v>0</v>
      </c>
      <c r="G24" s="359">
        <f t="shared" si="1"/>
        <v>0</v>
      </c>
      <c r="H24" s="359">
        <f t="shared" si="1"/>
        <v>0</v>
      </c>
      <c r="I24" s="359">
        <f t="shared" si="1"/>
        <v>0</v>
      </c>
      <c r="J24" s="359">
        <f t="shared" si="1"/>
        <v>0</v>
      </c>
      <c r="K24" s="969"/>
      <c r="L24" s="298"/>
    </row>
    <row r="25" spans="2:12" ht="21.95" customHeight="1" x14ac:dyDescent="0.2">
      <c r="B25" s="189" t="s">
        <v>1580</v>
      </c>
      <c r="C25" s="763"/>
      <c r="D25" s="735"/>
      <c r="E25" s="317"/>
      <c r="F25" s="317"/>
      <c r="G25" s="317"/>
      <c r="H25" s="317"/>
      <c r="I25" s="317"/>
      <c r="J25" s="317"/>
      <c r="K25" s="317"/>
      <c r="L25" s="318"/>
    </row>
    <row r="26" spans="2:12" ht="21.95" customHeight="1" x14ac:dyDescent="0.2">
      <c r="B26" s="188" t="s">
        <v>1502</v>
      </c>
      <c r="C26" s="251">
        <v>220</v>
      </c>
      <c r="D26" s="250" t="s">
        <v>248</v>
      </c>
      <c r="E26" s="321"/>
      <c r="F26" s="321"/>
      <c r="G26" s="321"/>
      <c r="H26" s="253">
        <f>H20</f>
        <v>0</v>
      </c>
      <c r="I26" s="253">
        <f>I20</f>
        <v>0</v>
      </c>
      <c r="J26" s="253">
        <f>J20</f>
        <v>0</v>
      </c>
      <c r="K26" s="321"/>
      <c r="L26" s="307"/>
    </row>
    <row r="27" spans="2:12" ht="21.95" customHeight="1" thickBot="1" x14ac:dyDescent="0.25">
      <c r="B27" s="213" t="s">
        <v>1581</v>
      </c>
      <c r="C27" s="289">
        <v>230</v>
      </c>
      <c r="D27" s="288" t="s">
        <v>248</v>
      </c>
      <c r="E27" s="291"/>
      <c r="F27" s="291"/>
      <c r="G27" s="291"/>
      <c r="H27" s="591">
        <f>H24-H26</f>
        <v>0</v>
      </c>
      <c r="I27" s="591">
        <f>I24-I26</f>
        <v>0</v>
      </c>
      <c r="J27" s="591">
        <f>J24-J26</f>
        <v>0</v>
      </c>
      <c r="K27" s="291"/>
      <c r="L27" s="298"/>
    </row>
    <row r="28" spans="2:12" ht="30" customHeight="1" thickTop="1" x14ac:dyDescent="0.2">
      <c r="B28" s="1115" t="s">
        <v>1583</v>
      </c>
      <c r="C28" s="412"/>
      <c r="D28" s="413"/>
      <c r="E28" s="414"/>
      <c r="F28" s="414"/>
      <c r="G28" s="414"/>
      <c r="H28" s="414"/>
      <c r="I28" s="414"/>
      <c r="J28" s="414"/>
      <c r="K28" s="414"/>
      <c r="L28" s="968"/>
    </row>
    <row r="29" spans="2:12" ht="21.95" customHeight="1" x14ac:dyDescent="0.2">
      <c r="B29" s="188" t="s">
        <v>1575</v>
      </c>
      <c r="C29" s="251">
        <v>240</v>
      </c>
      <c r="D29" s="250" t="s">
        <v>248</v>
      </c>
      <c r="E29" s="422"/>
      <c r="F29" s="422"/>
      <c r="G29" s="253">
        <f>E29-F29</f>
        <v>0</v>
      </c>
      <c r="H29" s="422"/>
      <c r="I29" s="422"/>
      <c r="J29" s="253">
        <f>H29-I29</f>
        <v>0</v>
      </c>
      <c r="K29" s="306"/>
      <c r="L29" s="307"/>
    </row>
    <row r="30" spans="2:12" ht="21.95" customHeight="1" x14ac:dyDescent="0.2">
      <c r="B30" s="213" t="s">
        <v>1576</v>
      </c>
      <c r="C30" s="218">
        <v>250</v>
      </c>
      <c r="D30" s="217" t="s">
        <v>248</v>
      </c>
      <c r="E30" s="228"/>
      <c r="F30" s="228"/>
      <c r="G30" s="220">
        <f>E30-F30</f>
        <v>0</v>
      </c>
      <c r="H30" s="228"/>
      <c r="I30" s="228"/>
      <c r="J30" s="220">
        <f>H30-I30</f>
        <v>0</v>
      </c>
      <c r="K30" s="300"/>
      <c r="L30" s="298"/>
    </row>
    <row r="31" spans="2:12" ht="21.95" customHeight="1" x14ac:dyDescent="0.2">
      <c r="B31" s="213" t="s">
        <v>1577</v>
      </c>
      <c r="C31" s="218">
        <v>260</v>
      </c>
      <c r="D31" s="217" t="s">
        <v>248</v>
      </c>
      <c r="E31" s="228"/>
      <c r="F31" s="228"/>
      <c r="G31" s="220">
        <f>E31-F31</f>
        <v>0</v>
      </c>
      <c r="H31" s="228"/>
      <c r="I31" s="228"/>
      <c r="J31" s="220">
        <f>H31-I31</f>
        <v>0</v>
      </c>
      <c r="K31" s="300"/>
      <c r="L31" s="298"/>
    </row>
    <row r="32" spans="2:12" ht="21.95" customHeight="1" x14ac:dyDescent="0.2">
      <c r="B32" s="213" t="s">
        <v>1578</v>
      </c>
      <c r="C32" s="218">
        <v>270</v>
      </c>
      <c r="D32" s="217" t="s">
        <v>245</v>
      </c>
      <c r="E32" s="228"/>
      <c r="F32" s="228"/>
      <c r="G32" s="220">
        <f>E32-F32</f>
        <v>0</v>
      </c>
      <c r="H32" s="324"/>
      <c r="I32" s="324"/>
      <c r="J32" s="324"/>
      <c r="K32" s="300"/>
      <c r="L32" s="331"/>
    </row>
    <row r="33" spans="2:12" ht="27" customHeight="1" thickBot="1" x14ac:dyDescent="0.25">
      <c r="B33" s="245" t="s">
        <v>1579</v>
      </c>
      <c r="C33" s="358">
        <v>280</v>
      </c>
      <c r="D33" s="357" t="s">
        <v>248</v>
      </c>
      <c r="E33" s="359">
        <f t="shared" ref="E33:J33" si="2">SUM(E29:E32)</f>
        <v>0</v>
      </c>
      <c r="F33" s="359">
        <f t="shared" si="2"/>
        <v>0</v>
      </c>
      <c r="G33" s="359">
        <f t="shared" si="2"/>
        <v>0</v>
      </c>
      <c r="H33" s="359">
        <f t="shared" si="2"/>
        <v>0</v>
      </c>
      <c r="I33" s="359">
        <f t="shared" si="2"/>
        <v>0</v>
      </c>
      <c r="J33" s="359">
        <f t="shared" si="2"/>
        <v>0</v>
      </c>
      <c r="K33" s="969"/>
      <c r="L33" s="298"/>
    </row>
    <row r="34" spans="2:12" ht="21.95" customHeight="1" x14ac:dyDescent="0.2">
      <c r="B34" s="189" t="s">
        <v>1580</v>
      </c>
      <c r="C34" s="763"/>
      <c r="D34" s="735"/>
      <c r="E34" s="317"/>
      <c r="F34" s="317"/>
      <c r="G34" s="317"/>
      <c r="H34" s="317"/>
      <c r="I34" s="317"/>
      <c r="J34" s="317"/>
      <c r="K34" s="317"/>
      <c r="L34" s="318"/>
    </row>
    <row r="35" spans="2:12" ht="21.95" customHeight="1" x14ac:dyDescent="0.2">
      <c r="B35" s="188" t="s">
        <v>1502</v>
      </c>
      <c r="C35" s="199">
        <v>290</v>
      </c>
      <c r="D35" s="131" t="s">
        <v>248</v>
      </c>
      <c r="E35" s="419"/>
      <c r="F35" s="419"/>
      <c r="G35" s="419"/>
      <c r="H35" s="260">
        <f>H29</f>
        <v>0</v>
      </c>
      <c r="I35" s="260">
        <f>I29</f>
        <v>0</v>
      </c>
      <c r="J35" s="260">
        <f>J29</f>
        <v>0</v>
      </c>
      <c r="K35" s="419"/>
      <c r="L35" s="307"/>
    </row>
    <row r="36" spans="2:12" ht="21.95" customHeight="1" thickBot="1" x14ac:dyDescent="0.25">
      <c r="B36" s="232" t="s">
        <v>1581</v>
      </c>
      <c r="C36" s="236">
        <v>300</v>
      </c>
      <c r="D36" s="235" t="s">
        <v>248</v>
      </c>
      <c r="E36" s="340"/>
      <c r="F36" s="340"/>
      <c r="G36" s="340"/>
      <c r="H36" s="367">
        <f>H33-H35</f>
        <v>0</v>
      </c>
      <c r="I36" s="367">
        <f>I33-I35</f>
        <v>0</v>
      </c>
      <c r="J36" s="367">
        <f>J33-J35</f>
        <v>0</v>
      </c>
      <c r="K36" s="340"/>
      <c r="L36" s="685"/>
    </row>
    <row r="37" spans="2:12" ht="13.5" thickTop="1" x14ac:dyDescent="0.2">
      <c r="C37" s="157"/>
      <c r="D37" s="157"/>
    </row>
    <row r="38" spans="2:12" x14ac:dyDescent="0.2">
      <c r="C38" s="157"/>
      <c r="D38" s="157"/>
    </row>
    <row r="39" spans="2:12" ht="13.5" thickBot="1" x14ac:dyDescent="0.25">
      <c r="C39" s="157"/>
      <c r="D39" s="157"/>
    </row>
    <row r="40" spans="2:12" ht="13.5" thickTop="1" x14ac:dyDescent="0.2">
      <c r="B40" s="242"/>
      <c r="C40" s="195"/>
      <c r="D40" s="195" t="s">
        <v>25</v>
      </c>
      <c r="E40" s="353" t="s">
        <v>235</v>
      </c>
      <c r="F40" s="293" t="s">
        <v>236</v>
      </c>
      <c r="K40" s="469"/>
    </row>
    <row r="41" spans="2:12" x14ac:dyDescent="0.2">
      <c r="B41" s="198" t="s">
        <v>1584</v>
      </c>
      <c r="C41" s="199" t="s">
        <v>238</v>
      </c>
      <c r="D41" s="199"/>
      <c r="E41" s="201" t="s">
        <v>300</v>
      </c>
      <c r="F41" s="202" t="s">
        <v>240</v>
      </c>
      <c r="K41" s="469"/>
    </row>
    <row r="42" spans="2:12" ht="13.5" thickBot="1" x14ac:dyDescent="0.25">
      <c r="B42" s="198"/>
      <c r="C42" s="204" t="s">
        <v>242</v>
      </c>
      <c r="D42" s="204"/>
      <c r="E42" s="278" t="s">
        <v>243</v>
      </c>
      <c r="F42" s="202" t="s">
        <v>243</v>
      </c>
      <c r="K42" s="469"/>
    </row>
    <row r="43" spans="2:12" ht="21.95" customHeight="1" x14ac:dyDescent="0.2">
      <c r="B43" s="189" t="s">
        <v>1585</v>
      </c>
      <c r="C43" s="366">
        <v>310</v>
      </c>
      <c r="D43" s="127" t="s">
        <v>248</v>
      </c>
      <c r="E43" s="369"/>
      <c r="F43" s="304">
        <f>'1314TRU18_FL_P16'!E43</f>
        <v>0</v>
      </c>
      <c r="K43" s="104"/>
    </row>
    <row r="44" spans="2:12" ht="21.95" customHeight="1" thickBot="1" x14ac:dyDescent="0.25">
      <c r="B44" s="232" t="s">
        <v>1586</v>
      </c>
      <c r="C44" s="236">
        <v>320</v>
      </c>
      <c r="D44" s="235" t="s">
        <v>245</v>
      </c>
      <c r="E44" s="371"/>
      <c r="F44" s="685">
        <f>'1314TRU18_FL_P16'!E44</f>
        <v>0</v>
      </c>
      <c r="K44" s="104"/>
    </row>
    <row r="45" spans="2:12" ht="13.5" thickTop="1" x14ac:dyDescent="0.2">
      <c r="C45" s="157"/>
      <c r="D45" s="157"/>
    </row>
    <row r="46" spans="2:12" x14ac:dyDescent="0.2">
      <c r="C46" s="157"/>
      <c r="D46" s="157"/>
    </row>
    <row r="47" spans="2:12" ht="13.5" thickBot="1" x14ac:dyDescent="0.25">
      <c r="C47" s="157"/>
      <c r="D47" s="157"/>
    </row>
    <row r="48" spans="2:12" ht="13.5" thickTop="1" x14ac:dyDescent="0.2">
      <c r="B48" s="242"/>
      <c r="C48" s="195"/>
      <c r="D48" s="195" t="s">
        <v>25</v>
      </c>
      <c r="E48" s="195" t="s">
        <v>235</v>
      </c>
      <c r="F48" s="195" t="s">
        <v>236</v>
      </c>
      <c r="G48" s="195" t="s">
        <v>293</v>
      </c>
      <c r="H48" s="195" t="s">
        <v>294</v>
      </c>
      <c r="I48" s="195" t="s">
        <v>295</v>
      </c>
      <c r="J48" s="195" t="s">
        <v>296</v>
      </c>
      <c r="K48" s="195" t="s">
        <v>342</v>
      </c>
      <c r="L48" s="197" t="s">
        <v>297</v>
      </c>
    </row>
    <row r="49" spans="2:12" ht="51" x14ac:dyDescent="0.2">
      <c r="B49" s="198" t="s">
        <v>1587</v>
      </c>
      <c r="C49" s="199"/>
      <c r="D49" s="199"/>
      <c r="E49" s="201" t="s">
        <v>1588</v>
      </c>
      <c r="F49" s="201" t="s">
        <v>1589</v>
      </c>
      <c r="G49" s="201" t="s">
        <v>1590</v>
      </c>
      <c r="H49" s="201" t="s">
        <v>1591</v>
      </c>
      <c r="I49" s="201" t="s">
        <v>1572</v>
      </c>
      <c r="J49" s="201" t="s">
        <v>1573</v>
      </c>
      <c r="K49" s="201" t="s">
        <v>1592</v>
      </c>
      <c r="L49" s="202" t="s">
        <v>1571</v>
      </c>
    </row>
    <row r="50" spans="2:12" x14ac:dyDescent="0.2">
      <c r="B50" s="198"/>
      <c r="C50" s="199" t="s">
        <v>238</v>
      </c>
      <c r="D50" s="199"/>
      <c r="E50" s="199" t="s">
        <v>300</v>
      </c>
      <c r="F50" s="199" t="s">
        <v>300</v>
      </c>
      <c r="G50" s="199" t="s">
        <v>300</v>
      </c>
      <c r="H50" s="199" t="s">
        <v>300</v>
      </c>
      <c r="I50" s="199" t="s">
        <v>300</v>
      </c>
      <c r="J50" s="199" t="s">
        <v>300</v>
      </c>
      <c r="K50" s="199" t="s">
        <v>240</v>
      </c>
      <c r="L50" s="210" t="s">
        <v>240</v>
      </c>
    </row>
    <row r="51" spans="2:12" ht="13.5" thickBot="1" x14ac:dyDescent="0.25">
      <c r="B51" s="355" t="s">
        <v>1593</v>
      </c>
      <c r="C51" s="204" t="s">
        <v>242</v>
      </c>
      <c r="D51" s="204"/>
      <c r="E51" s="204" t="s">
        <v>243</v>
      </c>
      <c r="F51" s="204" t="s">
        <v>243</v>
      </c>
      <c r="G51" s="204" t="s">
        <v>243</v>
      </c>
      <c r="H51" s="204" t="s">
        <v>243</v>
      </c>
      <c r="I51" s="204" t="s">
        <v>243</v>
      </c>
      <c r="J51" s="204" t="s">
        <v>243</v>
      </c>
      <c r="K51" s="204" t="s">
        <v>243</v>
      </c>
      <c r="L51" s="210" t="s">
        <v>243</v>
      </c>
    </row>
    <row r="52" spans="2:12" ht="21.95" customHeight="1" x14ac:dyDescent="0.2">
      <c r="B52" s="189" t="s">
        <v>1575</v>
      </c>
      <c r="C52" s="207">
        <v>330</v>
      </c>
      <c r="D52" s="206" t="s">
        <v>248</v>
      </c>
      <c r="E52" s="356"/>
      <c r="F52" s="356"/>
      <c r="G52" s="209">
        <f>E52-F52</f>
        <v>0</v>
      </c>
      <c r="H52" s="356"/>
      <c r="I52" s="356"/>
      <c r="J52" s="209">
        <f>H52-I52</f>
        <v>0</v>
      </c>
      <c r="K52" s="302"/>
      <c r="L52" s="304"/>
    </row>
    <row r="53" spans="2:12" ht="21.95" customHeight="1" x14ac:dyDescent="0.2">
      <c r="B53" s="213" t="s">
        <v>1576</v>
      </c>
      <c r="C53" s="218">
        <v>340</v>
      </c>
      <c r="D53" s="217" t="s">
        <v>248</v>
      </c>
      <c r="E53" s="228"/>
      <c r="F53" s="228"/>
      <c r="G53" s="220">
        <f>E53-F53</f>
        <v>0</v>
      </c>
      <c r="H53" s="228"/>
      <c r="I53" s="228"/>
      <c r="J53" s="220">
        <f>H53-I53</f>
        <v>0</v>
      </c>
      <c r="K53" s="300"/>
      <c r="L53" s="298"/>
    </row>
    <row r="54" spans="2:12" ht="21.95" customHeight="1" x14ac:dyDescent="0.2">
      <c r="B54" s="213" t="s">
        <v>1577</v>
      </c>
      <c r="C54" s="218">
        <v>350</v>
      </c>
      <c r="D54" s="217" t="s">
        <v>248</v>
      </c>
      <c r="E54" s="228"/>
      <c r="F54" s="228"/>
      <c r="G54" s="220">
        <f>E54-F54</f>
        <v>0</v>
      </c>
      <c r="H54" s="228"/>
      <c r="I54" s="228"/>
      <c r="J54" s="220">
        <f>H54-I54</f>
        <v>0</v>
      </c>
      <c r="K54" s="300"/>
      <c r="L54" s="298"/>
    </row>
    <row r="55" spans="2:12" ht="21.95" customHeight="1" x14ac:dyDescent="0.2">
      <c r="B55" s="213" t="s">
        <v>1578</v>
      </c>
      <c r="C55" s="218">
        <v>360</v>
      </c>
      <c r="D55" s="217" t="s">
        <v>245</v>
      </c>
      <c r="E55" s="228"/>
      <c r="F55" s="228"/>
      <c r="G55" s="220">
        <f>E55-F55</f>
        <v>0</v>
      </c>
      <c r="H55" s="324"/>
      <c r="I55" s="324"/>
      <c r="J55" s="324"/>
      <c r="K55" s="300"/>
      <c r="L55" s="331"/>
    </row>
    <row r="56" spans="2:12" ht="30" customHeight="1" x14ac:dyDescent="0.2">
      <c r="B56" s="336" t="s">
        <v>1594</v>
      </c>
      <c r="C56" s="218">
        <v>370</v>
      </c>
      <c r="D56" s="217" t="s">
        <v>248</v>
      </c>
      <c r="E56" s="224">
        <f t="shared" ref="E56:J56" si="3">SUM(E52:E55)</f>
        <v>0</v>
      </c>
      <c r="F56" s="224">
        <f t="shared" si="3"/>
        <v>0</v>
      </c>
      <c r="G56" s="224">
        <f t="shared" si="3"/>
        <v>0</v>
      </c>
      <c r="H56" s="224">
        <f t="shared" si="3"/>
        <v>0</v>
      </c>
      <c r="I56" s="224">
        <f t="shared" si="3"/>
        <v>0</v>
      </c>
      <c r="J56" s="224">
        <f t="shared" si="3"/>
        <v>0</v>
      </c>
      <c r="K56" s="461"/>
      <c r="L56" s="299"/>
    </row>
    <row r="57" spans="2:12" ht="21.95" customHeight="1" x14ac:dyDescent="0.2">
      <c r="B57" s="213" t="s">
        <v>1595</v>
      </c>
      <c r="C57" s="218">
        <v>380</v>
      </c>
      <c r="D57" s="217" t="s">
        <v>245</v>
      </c>
      <c r="E57" s="228"/>
      <c r="F57" s="228"/>
      <c r="G57" s="220">
        <f>E57-F57</f>
        <v>0</v>
      </c>
      <c r="H57" s="228"/>
      <c r="I57" s="228"/>
      <c r="J57" s="220">
        <f>H57-I57</f>
        <v>0</v>
      </c>
      <c r="K57" s="300"/>
      <c r="L57" s="298"/>
    </row>
    <row r="58" spans="2:12" ht="21.95" customHeight="1" thickBot="1" x14ac:dyDescent="0.25">
      <c r="B58" s="226" t="s">
        <v>340</v>
      </c>
      <c r="C58" s="289">
        <v>390</v>
      </c>
      <c r="D58" s="288" t="s">
        <v>248</v>
      </c>
      <c r="E58" s="342">
        <f t="shared" ref="E58:J58" si="4">SUM(E56:E57)</f>
        <v>0</v>
      </c>
      <c r="F58" s="342">
        <f t="shared" si="4"/>
        <v>0</v>
      </c>
      <c r="G58" s="342">
        <f t="shared" si="4"/>
        <v>0</v>
      </c>
      <c r="H58" s="342">
        <f t="shared" si="4"/>
        <v>0</v>
      </c>
      <c r="I58" s="342">
        <f t="shared" si="4"/>
        <v>0</v>
      </c>
      <c r="J58" s="342">
        <f t="shared" si="4"/>
        <v>0</v>
      </c>
      <c r="K58" s="970"/>
      <c r="L58" s="299"/>
    </row>
    <row r="59" spans="2:12" ht="21.95" customHeight="1" thickTop="1" x14ac:dyDescent="0.2">
      <c r="B59" s="411" t="s">
        <v>1580</v>
      </c>
      <c r="C59" s="412"/>
      <c r="D59" s="413"/>
      <c r="E59" s="414"/>
      <c r="F59" s="414"/>
      <c r="G59" s="414"/>
      <c r="H59" s="414"/>
      <c r="I59" s="414"/>
      <c r="J59" s="414"/>
      <c r="K59" s="414"/>
      <c r="L59" s="968"/>
    </row>
    <row r="60" spans="2:12" ht="21.95" customHeight="1" x14ac:dyDescent="0.2">
      <c r="B60" s="188" t="s">
        <v>1596</v>
      </c>
      <c r="C60" s="251">
        <v>400</v>
      </c>
      <c r="D60" s="250" t="s">
        <v>248</v>
      </c>
      <c r="E60" s="321"/>
      <c r="F60" s="321"/>
      <c r="G60" s="321"/>
      <c r="H60" s="253">
        <f>H52</f>
        <v>0</v>
      </c>
      <c r="I60" s="253">
        <f>I52</f>
        <v>0</v>
      </c>
      <c r="J60" s="253">
        <f>H60-I60</f>
        <v>0</v>
      </c>
      <c r="K60" s="321"/>
      <c r="L60" s="307"/>
    </row>
    <row r="61" spans="2:12" ht="21.95" customHeight="1" thickBot="1" x14ac:dyDescent="0.25">
      <c r="B61" s="213" t="s">
        <v>1597</v>
      </c>
      <c r="C61" s="289">
        <v>410</v>
      </c>
      <c r="D61" s="288" t="s">
        <v>248</v>
      </c>
      <c r="E61" s="291"/>
      <c r="F61" s="291"/>
      <c r="G61" s="291"/>
      <c r="H61" s="591">
        <f>H58-H60</f>
        <v>0</v>
      </c>
      <c r="I61" s="591">
        <f>I58-I60</f>
        <v>0</v>
      </c>
      <c r="J61" s="591">
        <f>J58-J60</f>
        <v>0</v>
      </c>
      <c r="K61" s="291"/>
      <c r="L61" s="298"/>
    </row>
    <row r="62" spans="2:12" ht="21.95" customHeight="1" thickTop="1" x14ac:dyDescent="0.2">
      <c r="B62" s="410" t="s">
        <v>1598</v>
      </c>
      <c r="C62" s="412"/>
      <c r="D62" s="413"/>
      <c r="E62" s="414"/>
      <c r="F62" s="414"/>
      <c r="G62" s="414"/>
      <c r="H62" s="414"/>
      <c r="I62" s="414"/>
      <c r="J62" s="414"/>
      <c r="K62" s="414"/>
      <c r="L62" s="968"/>
    </row>
    <row r="63" spans="2:12" ht="21.95" customHeight="1" x14ac:dyDescent="0.2">
      <c r="B63" s="188" t="s">
        <v>1575</v>
      </c>
      <c r="C63" s="251">
        <v>420</v>
      </c>
      <c r="D63" s="250" t="s">
        <v>248</v>
      </c>
      <c r="E63" s="422"/>
      <c r="F63" s="422"/>
      <c r="G63" s="253">
        <f>E63-F63</f>
        <v>0</v>
      </c>
      <c r="H63" s="422"/>
      <c r="I63" s="422"/>
      <c r="J63" s="253">
        <f>H63-I63</f>
        <v>0</v>
      </c>
      <c r="K63" s="306"/>
      <c r="L63" s="307"/>
    </row>
    <row r="64" spans="2:12" ht="21.95" customHeight="1" x14ac:dyDescent="0.2">
      <c r="B64" s="213" t="s">
        <v>1576</v>
      </c>
      <c r="C64" s="218">
        <v>430</v>
      </c>
      <c r="D64" s="217" t="s">
        <v>248</v>
      </c>
      <c r="E64" s="228"/>
      <c r="F64" s="228"/>
      <c r="G64" s="220">
        <f>E64-F64</f>
        <v>0</v>
      </c>
      <c r="H64" s="228"/>
      <c r="I64" s="228"/>
      <c r="J64" s="220">
        <f>H64-I64</f>
        <v>0</v>
      </c>
      <c r="K64" s="300"/>
      <c r="L64" s="298"/>
    </row>
    <row r="65" spans="2:12" ht="21.95" customHeight="1" x14ac:dyDescent="0.2">
      <c r="B65" s="213" t="s">
        <v>1577</v>
      </c>
      <c r="C65" s="218">
        <v>440</v>
      </c>
      <c r="D65" s="217" t="s">
        <v>248</v>
      </c>
      <c r="E65" s="228"/>
      <c r="F65" s="228"/>
      <c r="G65" s="220">
        <f>E65-F65</f>
        <v>0</v>
      </c>
      <c r="H65" s="228"/>
      <c r="I65" s="228"/>
      <c r="J65" s="220">
        <f>H65-I65</f>
        <v>0</v>
      </c>
      <c r="K65" s="300"/>
      <c r="L65" s="298"/>
    </row>
    <row r="66" spans="2:12" ht="21.95" customHeight="1" x14ac:dyDescent="0.2">
      <c r="B66" s="213" t="s">
        <v>1578</v>
      </c>
      <c r="C66" s="218">
        <v>450</v>
      </c>
      <c r="D66" s="217" t="s">
        <v>245</v>
      </c>
      <c r="E66" s="228"/>
      <c r="F66" s="228"/>
      <c r="G66" s="220">
        <f>E66-F66</f>
        <v>0</v>
      </c>
      <c r="H66" s="324"/>
      <c r="I66" s="324"/>
      <c r="J66" s="324"/>
      <c r="K66" s="300"/>
      <c r="L66" s="331"/>
    </row>
    <row r="67" spans="2:12" ht="30" customHeight="1" x14ac:dyDescent="0.2">
      <c r="B67" s="336" t="s">
        <v>1594</v>
      </c>
      <c r="C67" s="218">
        <v>460</v>
      </c>
      <c r="D67" s="217" t="s">
        <v>248</v>
      </c>
      <c r="E67" s="224">
        <f t="shared" ref="E67:J67" si="5">SUM(E63:E66)</f>
        <v>0</v>
      </c>
      <c r="F67" s="224">
        <f t="shared" si="5"/>
        <v>0</v>
      </c>
      <c r="G67" s="224">
        <f t="shared" si="5"/>
        <v>0</v>
      </c>
      <c r="H67" s="224">
        <f t="shared" si="5"/>
        <v>0</v>
      </c>
      <c r="I67" s="224">
        <f t="shared" si="5"/>
        <v>0</v>
      </c>
      <c r="J67" s="224">
        <f t="shared" si="5"/>
        <v>0</v>
      </c>
      <c r="K67" s="461"/>
      <c r="L67" s="299"/>
    </row>
    <row r="68" spans="2:12" ht="21.95" customHeight="1" x14ac:dyDescent="0.2">
      <c r="B68" s="213" t="s">
        <v>1595</v>
      </c>
      <c r="C68" s="218">
        <v>470</v>
      </c>
      <c r="D68" s="217" t="s">
        <v>245</v>
      </c>
      <c r="E68" s="228"/>
      <c r="F68" s="228"/>
      <c r="G68" s="220">
        <f>E68-F68</f>
        <v>0</v>
      </c>
      <c r="H68" s="228"/>
      <c r="I68" s="228"/>
      <c r="J68" s="220">
        <f>H68-I68</f>
        <v>0</v>
      </c>
      <c r="K68" s="300"/>
      <c r="L68" s="298"/>
    </row>
    <row r="69" spans="2:12" ht="21.95" customHeight="1" thickBot="1" x14ac:dyDescent="0.25">
      <c r="B69" s="226" t="s">
        <v>340</v>
      </c>
      <c r="C69" s="289">
        <v>480</v>
      </c>
      <c r="D69" s="288" t="s">
        <v>248</v>
      </c>
      <c r="E69" s="342">
        <f t="shared" ref="E69:J69" si="6">SUM(E67:E68)</f>
        <v>0</v>
      </c>
      <c r="F69" s="342">
        <f t="shared" si="6"/>
        <v>0</v>
      </c>
      <c r="G69" s="342">
        <f t="shared" si="6"/>
        <v>0</v>
      </c>
      <c r="H69" s="342">
        <f t="shared" si="6"/>
        <v>0</v>
      </c>
      <c r="I69" s="342">
        <f t="shared" si="6"/>
        <v>0</v>
      </c>
      <c r="J69" s="342">
        <f t="shared" si="6"/>
        <v>0</v>
      </c>
      <c r="K69" s="970"/>
      <c r="L69" s="299"/>
    </row>
    <row r="70" spans="2:12" ht="21.95" customHeight="1" thickTop="1" x14ac:dyDescent="0.2">
      <c r="B70" s="411" t="s">
        <v>1580</v>
      </c>
      <c r="C70" s="412"/>
      <c r="D70" s="413"/>
      <c r="E70" s="414"/>
      <c r="F70" s="414"/>
      <c r="G70" s="414"/>
      <c r="H70" s="414"/>
      <c r="I70" s="414"/>
      <c r="J70" s="414"/>
      <c r="K70" s="414"/>
      <c r="L70" s="968"/>
    </row>
    <row r="71" spans="2:12" ht="21.95" customHeight="1" x14ac:dyDescent="0.2">
      <c r="B71" s="188" t="s">
        <v>1596</v>
      </c>
      <c r="C71" s="251">
        <v>490</v>
      </c>
      <c r="D71" s="250" t="s">
        <v>248</v>
      </c>
      <c r="E71" s="321"/>
      <c r="F71" s="321"/>
      <c r="G71" s="321"/>
      <c r="H71" s="253">
        <f>H63</f>
        <v>0</v>
      </c>
      <c r="I71" s="253">
        <f>I63</f>
        <v>0</v>
      </c>
      <c r="J71" s="253">
        <f>H71-I71</f>
        <v>0</v>
      </c>
      <c r="K71" s="321"/>
      <c r="L71" s="307"/>
    </row>
    <row r="72" spans="2:12" ht="21.95" customHeight="1" thickBot="1" x14ac:dyDescent="0.25">
      <c r="B72" s="213" t="s">
        <v>1597</v>
      </c>
      <c r="C72" s="289">
        <v>500</v>
      </c>
      <c r="D72" s="288" t="s">
        <v>248</v>
      </c>
      <c r="E72" s="291"/>
      <c r="F72" s="291"/>
      <c r="G72" s="291"/>
      <c r="H72" s="591">
        <f>H69-H71</f>
        <v>0</v>
      </c>
      <c r="I72" s="591">
        <f>I69-I71</f>
        <v>0</v>
      </c>
      <c r="J72" s="591">
        <f>J69-J71</f>
        <v>0</v>
      </c>
      <c r="K72" s="291"/>
      <c r="L72" s="298"/>
    </row>
    <row r="73" spans="2:12" ht="21.95" customHeight="1" thickTop="1" x14ac:dyDescent="0.2">
      <c r="B73" s="410" t="s">
        <v>1599</v>
      </c>
      <c r="C73" s="412"/>
      <c r="D73" s="413"/>
      <c r="E73" s="414"/>
      <c r="F73" s="414"/>
      <c r="G73" s="414"/>
      <c r="H73" s="414"/>
      <c r="I73" s="414"/>
      <c r="J73" s="414"/>
      <c r="K73" s="414"/>
      <c r="L73" s="968"/>
    </row>
    <row r="74" spans="2:12" ht="21.95" customHeight="1" x14ac:dyDescent="0.2">
      <c r="B74" s="188" t="s">
        <v>1575</v>
      </c>
      <c r="C74" s="251">
        <v>510</v>
      </c>
      <c r="D74" s="250" t="s">
        <v>248</v>
      </c>
      <c r="E74" s="422"/>
      <c r="F74" s="422"/>
      <c r="G74" s="253">
        <f>E74-F74</f>
        <v>0</v>
      </c>
      <c r="H74" s="422"/>
      <c r="I74" s="422"/>
      <c r="J74" s="253">
        <f>H74-I74</f>
        <v>0</v>
      </c>
      <c r="K74" s="306"/>
      <c r="L74" s="307"/>
    </row>
    <row r="75" spans="2:12" ht="21.95" customHeight="1" x14ac:dyDescent="0.2">
      <c r="B75" s="213" t="s">
        <v>1576</v>
      </c>
      <c r="C75" s="218">
        <v>520</v>
      </c>
      <c r="D75" s="217" t="s">
        <v>248</v>
      </c>
      <c r="E75" s="228"/>
      <c r="F75" s="228"/>
      <c r="G75" s="220">
        <f>E75-F75</f>
        <v>0</v>
      </c>
      <c r="H75" s="228"/>
      <c r="I75" s="228"/>
      <c r="J75" s="220">
        <f>H75-I75</f>
        <v>0</v>
      </c>
      <c r="K75" s="300"/>
      <c r="L75" s="298"/>
    </row>
    <row r="76" spans="2:12" ht="21.95" customHeight="1" x14ac:dyDescent="0.2">
      <c r="B76" s="213" t="s">
        <v>1577</v>
      </c>
      <c r="C76" s="218">
        <v>530</v>
      </c>
      <c r="D76" s="217" t="s">
        <v>248</v>
      </c>
      <c r="E76" s="228"/>
      <c r="F76" s="228"/>
      <c r="G76" s="220">
        <f>E76-F76</f>
        <v>0</v>
      </c>
      <c r="H76" s="228"/>
      <c r="I76" s="228"/>
      <c r="J76" s="220">
        <f>H76-I76</f>
        <v>0</v>
      </c>
      <c r="K76" s="300"/>
      <c r="L76" s="298"/>
    </row>
    <row r="77" spans="2:12" ht="21.95" customHeight="1" x14ac:dyDescent="0.2">
      <c r="B77" s="213" t="s">
        <v>1578</v>
      </c>
      <c r="C77" s="218">
        <v>540</v>
      </c>
      <c r="D77" s="217" t="s">
        <v>245</v>
      </c>
      <c r="E77" s="228"/>
      <c r="F77" s="228"/>
      <c r="G77" s="220">
        <f>E77-F77</f>
        <v>0</v>
      </c>
      <c r="H77" s="324"/>
      <c r="I77" s="324"/>
      <c r="J77" s="324"/>
      <c r="K77" s="300"/>
      <c r="L77" s="331"/>
    </row>
    <row r="78" spans="2:12" ht="30" customHeight="1" x14ac:dyDescent="0.2">
      <c r="B78" s="336" t="s">
        <v>1594</v>
      </c>
      <c r="C78" s="218">
        <v>550</v>
      </c>
      <c r="D78" s="217" t="s">
        <v>248</v>
      </c>
      <c r="E78" s="224">
        <f t="shared" ref="E78:J78" si="7">SUM(E74:E77)</f>
        <v>0</v>
      </c>
      <c r="F78" s="224">
        <f t="shared" si="7"/>
        <v>0</v>
      </c>
      <c r="G78" s="224">
        <f t="shared" si="7"/>
        <v>0</v>
      </c>
      <c r="H78" s="224">
        <f t="shared" si="7"/>
        <v>0</v>
      </c>
      <c r="I78" s="224">
        <f t="shared" si="7"/>
        <v>0</v>
      </c>
      <c r="J78" s="224">
        <f t="shared" si="7"/>
        <v>0</v>
      </c>
      <c r="K78" s="461"/>
      <c r="L78" s="299"/>
    </row>
    <row r="79" spans="2:12" ht="21.95" customHeight="1" x14ac:dyDescent="0.2">
      <c r="B79" s="213" t="s">
        <v>1595</v>
      </c>
      <c r="C79" s="218">
        <v>560</v>
      </c>
      <c r="D79" s="217" t="s">
        <v>245</v>
      </c>
      <c r="E79" s="228"/>
      <c r="F79" s="228"/>
      <c r="G79" s="220">
        <f>E79-F79</f>
        <v>0</v>
      </c>
      <c r="H79" s="228"/>
      <c r="I79" s="228"/>
      <c r="J79" s="220">
        <f>H79-I79</f>
        <v>0</v>
      </c>
      <c r="K79" s="300"/>
      <c r="L79" s="298"/>
    </row>
    <row r="80" spans="2:12" ht="21.95" customHeight="1" x14ac:dyDescent="0.2">
      <c r="B80" s="226" t="s">
        <v>340</v>
      </c>
      <c r="C80" s="218">
        <v>570</v>
      </c>
      <c r="D80" s="217" t="s">
        <v>248</v>
      </c>
      <c r="E80" s="224">
        <f t="shared" ref="E80:J80" si="8">SUM(E78:E79)</f>
        <v>0</v>
      </c>
      <c r="F80" s="224">
        <f t="shared" si="8"/>
        <v>0</v>
      </c>
      <c r="G80" s="224">
        <f t="shared" si="8"/>
        <v>0</v>
      </c>
      <c r="H80" s="224">
        <f t="shared" si="8"/>
        <v>0</v>
      </c>
      <c r="I80" s="224">
        <f t="shared" si="8"/>
        <v>0</v>
      </c>
      <c r="J80" s="224">
        <f t="shared" si="8"/>
        <v>0</v>
      </c>
      <c r="K80" s="461"/>
      <c r="L80" s="299"/>
    </row>
    <row r="81" spans="2:12" ht="21.95" customHeight="1" x14ac:dyDescent="0.2">
      <c r="B81" s="226" t="s">
        <v>1580</v>
      </c>
      <c r="C81" s="446"/>
      <c r="D81" s="579"/>
      <c r="E81" s="258"/>
      <c r="F81" s="258"/>
      <c r="G81" s="258"/>
      <c r="H81" s="258"/>
      <c r="I81" s="258"/>
      <c r="J81" s="258"/>
      <c r="K81" s="258"/>
      <c r="L81" s="331"/>
    </row>
    <row r="82" spans="2:12" ht="21.95" customHeight="1" x14ac:dyDescent="0.2">
      <c r="B82" s="188" t="s">
        <v>1596</v>
      </c>
      <c r="C82" s="199">
        <v>580</v>
      </c>
      <c r="D82" s="131" t="s">
        <v>248</v>
      </c>
      <c r="E82" s="419"/>
      <c r="F82" s="419"/>
      <c r="G82" s="419"/>
      <c r="H82" s="260">
        <f>H74</f>
        <v>0</v>
      </c>
      <c r="I82" s="260">
        <f>I74</f>
        <v>0</v>
      </c>
      <c r="J82" s="260">
        <f>H82-I82</f>
        <v>0</v>
      </c>
      <c r="K82" s="419"/>
      <c r="L82" s="307"/>
    </row>
    <row r="83" spans="2:12" ht="21.95" customHeight="1" thickBot="1" x14ac:dyDescent="0.25">
      <c r="B83" s="232" t="s">
        <v>1597</v>
      </c>
      <c r="C83" s="236">
        <v>590</v>
      </c>
      <c r="D83" s="235" t="s">
        <v>248</v>
      </c>
      <c r="E83" s="340"/>
      <c r="F83" s="340"/>
      <c r="G83" s="340"/>
      <c r="H83" s="367">
        <f>H80-H82</f>
        <v>0</v>
      </c>
      <c r="I83" s="367">
        <f>I80-I82</f>
        <v>0</v>
      </c>
      <c r="J83" s="367">
        <f>J80-J82</f>
        <v>0</v>
      </c>
      <c r="K83" s="340"/>
      <c r="L83" s="685"/>
    </row>
    <row r="84" spans="2:12" ht="13.5" thickTop="1" x14ac:dyDescent="0.2">
      <c r="C84" s="157"/>
      <c r="D84" s="157"/>
    </row>
    <row r="85" spans="2:12" x14ac:dyDescent="0.2">
      <c r="C85" s="157"/>
      <c r="D85" s="157"/>
    </row>
    <row r="86" spans="2:12" ht="13.5" thickBot="1" x14ac:dyDescent="0.25">
      <c r="C86" s="157"/>
      <c r="D86" s="157"/>
    </row>
    <row r="87" spans="2:12" ht="13.5" thickTop="1" x14ac:dyDescent="0.2">
      <c r="B87" s="242"/>
      <c r="C87" s="195"/>
      <c r="D87" s="195" t="s">
        <v>25</v>
      </c>
      <c r="E87" s="353" t="s">
        <v>235</v>
      </c>
      <c r="F87" s="293" t="s">
        <v>236</v>
      </c>
      <c r="K87" s="469"/>
    </row>
    <row r="88" spans="2:12" x14ac:dyDescent="0.2">
      <c r="B88" s="198" t="s">
        <v>164</v>
      </c>
      <c r="C88" s="199" t="s">
        <v>238</v>
      </c>
      <c r="D88" s="199"/>
      <c r="E88" s="201" t="s">
        <v>300</v>
      </c>
      <c r="F88" s="202" t="s">
        <v>240</v>
      </c>
      <c r="K88" s="469"/>
    </row>
    <row r="89" spans="2:12" ht="13.5" thickBot="1" x14ac:dyDescent="0.25">
      <c r="B89" s="198"/>
      <c r="C89" s="204" t="s">
        <v>242</v>
      </c>
      <c r="D89" s="204"/>
      <c r="E89" s="278" t="s">
        <v>243</v>
      </c>
      <c r="F89" s="202" t="s">
        <v>243</v>
      </c>
      <c r="K89" s="469"/>
    </row>
    <row r="90" spans="2:12" ht="21.95" customHeight="1" x14ac:dyDescent="0.2">
      <c r="B90" s="189" t="s">
        <v>1600</v>
      </c>
      <c r="C90" s="366">
        <v>600</v>
      </c>
      <c r="D90" s="127" t="s">
        <v>248</v>
      </c>
      <c r="E90" s="369"/>
      <c r="F90" s="304"/>
      <c r="K90" s="104"/>
    </row>
    <row r="91" spans="2:12" ht="27" customHeight="1" thickBot="1" x14ac:dyDescent="0.25">
      <c r="B91" s="732" t="s">
        <v>1601</v>
      </c>
      <c r="C91" s="236">
        <v>610</v>
      </c>
      <c r="D91" s="235" t="s">
        <v>245</v>
      </c>
      <c r="E91" s="371"/>
      <c r="F91" s="685"/>
      <c r="K91" s="104"/>
    </row>
    <row r="92" spans="2:12" ht="13.5" thickTop="1" x14ac:dyDescent="0.2">
      <c r="C92" s="157"/>
      <c r="D92" s="157"/>
    </row>
    <row r="93" spans="2:12" x14ac:dyDescent="0.2">
      <c r="C93" s="157"/>
      <c r="D93" s="157"/>
    </row>
    <row r="94" spans="2:12" ht="13.5" thickBot="1" x14ac:dyDescent="0.25">
      <c r="C94" s="157"/>
      <c r="D94" s="157"/>
    </row>
    <row r="95" spans="2:12" ht="13.5" thickTop="1" x14ac:dyDescent="0.2">
      <c r="B95" s="242"/>
      <c r="C95" s="195"/>
      <c r="D95" s="195" t="s">
        <v>25</v>
      </c>
      <c r="E95" s="353" t="s">
        <v>235</v>
      </c>
      <c r="F95" s="293" t="s">
        <v>236</v>
      </c>
      <c r="K95" s="469"/>
    </row>
    <row r="96" spans="2:12" x14ac:dyDescent="0.2">
      <c r="B96" s="198" t="s">
        <v>165</v>
      </c>
      <c r="C96" s="199" t="s">
        <v>238</v>
      </c>
      <c r="D96" s="199"/>
      <c r="E96" s="201" t="s">
        <v>300</v>
      </c>
      <c r="F96" s="202" t="s">
        <v>240</v>
      </c>
      <c r="K96" s="469"/>
    </row>
    <row r="97" spans="1:87" ht="13.5" thickBot="1" x14ac:dyDescent="0.25">
      <c r="B97" s="198"/>
      <c r="C97" s="204" t="s">
        <v>242</v>
      </c>
      <c r="D97" s="204"/>
      <c r="E97" s="278" t="s">
        <v>243</v>
      </c>
      <c r="F97" s="202" t="s">
        <v>243</v>
      </c>
      <c r="K97" s="469"/>
    </row>
    <row r="98" spans="1:87" ht="21.95" customHeight="1" x14ac:dyDescent="0.2">
      <c r="B98" s="189" t="s">
        <v>660</v>
      </c>
      <c r="C98" s="207">
        <v>620</v>
      </c>
      <c r="D98" s="206" t="s">
        <v>248</v>
      </c>
      <c r="E98" s="302">
        <f>'1415TRU05_REV_P13'!E40</f>
        <v>0</v>
      </c>
      <c r="F98" s="304"/>
      <c r="K98" s="104"/>
    </row>
    <row r="99" spans="1:87" ht="21.95" customHeight="1" x14ac:dyDescent="0.2">
      <c r="B99" s="213" t="s">
        <v>352</v>
      </c>
      <c r="C99" s="234">
        <v>630</v>
      </c>
      <c r="D99" s="237" t="s">
        <v>248</v>
      </c>
      <c r="E99" s="403">
        <f>'1415TRU05_REV_P13'!E41</f>
        <v>0</v>
      </c>
      <c r="F99" s="298"/>
      <c r="K99" s="104"/>
    </row>
    <row r="100" spans="1:87" ht="21.95" customHeight="1" thickBot="1" x14ac:dyDescent="0.25">
      <c r="B100" s="233" t="s">
        <v>661</v>
      </c>
      <c r="C100" s="236">
        <v>640</v>
      </c>
      <c r="D100" s="235" t="s">
        <v>248</v>
      </c>
      <c r="E100" s="240">
        <f>SUM(E98:E99)</f>
        <v>0</v>
      </c>
      <c r="F100" s="301">
        <f>SUM(F98:F99)</f>
        <v>0</v>
      </c>
      <c r="K100" s="97"/>
    </row>
    <row r="101" spans="1:87" ht="13.5" thickTop="1" x14ac:dyDescent="0.2">
      <c r="C101" s="157"/>
      <c r="D101" s="157"/>
    </row>
    <row r="102" spans="1:87" hidden="1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</row>
    <row r="103" spans="1:87" hidden="1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</row>
    <row r="104" spans="1:87" hidden="1" x14ac:dyDescent="0.2">
      <c r="A104" s="99"/>
      <c r="B104" s="102"/>
      <c r="C104" s="102"/>
      <c r="D104" s="102" t="s">
        <v>25</v>
      </c>
      <c r="E104" s="102" t="s">
        <v>235</v>
      </c>
      <c r="F104" s="102" t="s">
        <v>236</v>
      </c>
      <c r="G104" s="99"/>
      <c r="H104" s="99"/>
      <c r="I104" s="99"/>
      <c r="J104" s="99"/>
      <c r="K104" s="102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</row>
    <row r="105" spans="1:87" hidden="1" x14ac:dyDescent="0.2">
      <c r="A105" s="99"/>
      <c r="B105" s="102" t="s">
        <v>166</v>
      </c>
      <c r="C105" s="102" t="s">
        <v>238</v>
      </c>
      <c r="D105" s="102"/>
      <c r="E105" s="102" t="s">
        <v>1602</v>
      </c>
      <c r="F105" s="102" t="s">
        <v>240</v>
      </c>
      <c r="G105" s="99"/>
      <c r="H105" s="99"/>
      <c r="I105" s="99"/>
      <c r="J105" s="99"/>
      <c r="K105" s="102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</row>
    <row r="106" spans="1:87" hidden="1" x14ac:dyDescent="0.2">
      <c r="A106" s="99"/>
      <c r="B106" s="102"/>
      <c r="C106" s="102" t="s">
        <v>242</v>
      </c>
      <c r="D106" s="102"/>
      <c r="E106" s="102" t="s">
        <v>243</v>
      </c>
      <c r="F106" s="102" t="s">
        <v>243</v>
      </c>
      <c r="G106" s="99"/>
      <c r="H106" s="99"/>
      <c r="I106" s="99"/>
      <c r="J106" s="99"/>
      <c r="K106" s="102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</row>
    <row r="107" spans="1:87" hidden="1" x14ac:dyDescent="0.2">
      <c r="A107" s="99"/>
      <c r="B107" s="99" t="s">
        <v>1603</v>
      </c>
      <c r="C107" s="102">
        <v>650</v>
      </c>
      <c r="D107" s="99" t="s">
        <v>248</v>
      </c>
      <c r="E107" s="99"/>
      <c r="F107" s="105"/>
      <c r="G107" s="99"/>
      <c r="H107" s="99"/>
      <c r="I107" s="99"/>
      <c r="J107" s="99"/>
      <c r="K107" s="105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</row>
    <row r="108" spans="1:87" hidden="1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</row>
    <row r="110" spans="1:87" ht="13.5" thickBot="1" x14ac:dyDescent="0.25"/>
    <row r="111" spans="1:87" ht="13.5" thickTop="1" x14ac:dyDescent="0.2">
      <c r="B111" s="242"/>
      <c r="C111" s="195"/>
      <c r="D111" s="195" t="s">
        <v>25</v>
      </c>
      <c r="E111" s="195" t="s">
        <v>235</v>
      </c>
      <c r="F111" s="195" t="s">
        <v>236</v>
      </c>
      <c r="G111" s="195" t="s">
        <v>293</v>
      </c>
      <c r="H111" s="195" t="s">
        <v>294</v>
      </c>
      <c r="I111" s="195" t="s">
        <v>295</v>
      </c>
      <c r="J111" s="195" t="s">
        <v>296</v>
      </c>
      <c r="K111" s="195" t="s">
        <v>342</v>
      </c>
      <c r="L111" s="197" t="s">
        <v>297</v>
      </c>
    </row>
    <row r="112" spans="1:87" ht="51" x14ac:dyDescent="0.2">
      <c r="B112" s="355" t="s">
        <v>161</v>
      </c>
      <c r="C112" s="199"/>
      <c r="D112" s="199"/>
      <c r="E112" s="201" t="s">
        <v>1568</v>
      </c>
      <c r="F112" s="201" t="s">
        <v>1569</v>
      </c>
      <c r="G112" s="201" t="s">
        <v>1570</v>
      </c>
      <c r="H112" s="201" t="s">
        <v>1591</v>
      </c>
      <c r="I112" s="201" t="s">
        <v>1572</v>
      </c>
      <c r="J112" s="201" t="s">
        <v>1573</v>
      </c>
      <c r="K112" s="201" t="s">
        <v>804</v>
      </c>
      <c r="L112" s="202" t="s">
        <v>1571</v>
      </c>
    </row>
    <row r="113" spans="2:12" x14ac:dyDescent="0.2">
      <c r="B113" s="198"/>
      <c r="C113" s="199" t="s">
        <v>238</v>
      </c>
      <c r="D113" s="199"/>
      <c r="E113" s="199" t="s">
        <v>300</v>
      </c>
      <c r="F113" s="199" t="s">
        <v>300</v>
      </c>
      <c r="G113" s="199" t="s">
        <v>300</v>
      </c>
      <c r="H113" s="199" t="s">
        <v>300</v>
      </c>
      <c r="I113" s="199" t="s">
        <v>300</v>
      </c>
      <c r="J113" s="199" t="s">
        <v>300</v>
      </c>
      <c r="K113" s="199" t="s">
        <v>240</v>
      </c>
      <c r="L113" s="210" t="s">
        <v>240</v>
      </c>
    </row>
    <row r="114" spans="2:12" ht="13.5" thickBot="1" x14ac:dyDescent="0.25">
      <c r="B114" s="198" t="s">
        <v>1604</v>
      </c>
      <c r="C114" s="204" t="s">
        <v>242</v>
      </c>
      <c r="D114" s="204"/>
      <c r="E114" s="204" t="s">
        <v>243</v>
      </c>
      <c r="F114" s="204" t="s">
        <v>243</v>
      </c>
      <c r="G114" s="204" t="s">
        <v>243</v>
      </c>
      <c r="H114" s="204" t="s">
        <v>243</v>
      </c>
      <c r="I114" s="204" t="s">
        <v>243</v>
      </c>
      <c r="J114" s="204" t="s">
        <v>243</v>
      </c>
      <c r="K114" s="204" t="s">
        <v>243</v>
      </c>
      <c r="L114" s="210" t="s">
        <v>243</v>
      </c>
    </row>
    <row r="115" spans="2:12" ht="21.95" customHeight="1" x14ac:dyDescent="0.2">
      <c r="B115" s="189" t="s">
        <v>1575</v>
      </c>
      <c r="C115" s="207">
        <v>660</v>
      </c>
      <c r="D115" s="206" t="s">
        <v>248</v>
      </c>
      <c r="E115" s="209">
        <f t="shared" ref="E115:J117" si="9">E11+E20+E29</f>
        <v>0</v>
      </c>
      <c r="F115" s="209">
        <f t="shared" si="9"/>
        <v>0</v>
      </c>
      <c r="G115" s="209">
        <f t="shared" si="9"/>
        <v>0</v>
      </c>
      <c r="H115" s="209">
        <f t="shared" si="9"/>
        <v>0</v>
      </c>
      <c r="I115" s="209">
        <f t="shared" si="9"/>
        <v>0</v>
      </c>
      <c r="J115" s="209">
        <f t="shared" si="9"/>
        <v>0</v>
      </c>
      <c r="K115" s="209"/>
      <c r="L115" s="221"/>
    </row>
    <row r="116" spans="2:12" ht="21.95" customHeight="1" x14ac:dyDescent="0.2">
      <c r="B116" s="213" t="s">
        <v>1576</v>
      </c>
      <c r="C116" s="218">
        <v>670</v>
      </c>
      <c r="D116" s="217" t="s">
        <v>248</v>
      </c>
      <c r="E116" s="220">
        <f t="shared" si="9"/>
        <v>0</v>
      </c>
      <c r="F116" s="220">
        <f t="shared" si="9"/>
        <v>0</v>
      </c>
      <c r="G116" s="220">
        <f t="shared" si="9"/>
        <v>0</v>
      </c>
      <c r="H116" s="220">
        <f t="shared" si="9"/>
        <v>0</v>
      </c>
      <c r="I116" s="220">
        <f t="shared" si="9"/>
        <v>0</v>
      </c>
      <c r="J116" s="220">
        <f t="shared" si="9"/>
        <v>0</v>
      </c>
      <c r="K116" s="220"/>
      <c r="L116" s="222"/>
    </row>
    <row r="117" spans="2:12" ht="21.95" customHeight="1" x14ac:dyDescent="0.2">
      <c r="B117" s="213" t="s">
        <v>1577</v>
      </c>
      <c r="C117" s="218">
        <v>680</v>
      </c>
      <c r="D117" s="217" t="s">
        <v>248</v>
      </c>
      <c r="E117" s="220">
        <f t="shared" si="9"/>
        <v>0</v>
      </c>
      <c r="F117" s="220">
        <f t="shared" si="9"/>
        <v>0</v>
      </c>
      <c r="G117" s="220">
        <f t="shared" si="9"/>
        <v>0</v>
      </c>
      <c r="H117" s="220">
        <f t="shared" si="9"/>
        <v>0</v>
      </c>
      <c r="I117" s="220">
        <f t="shared" si="9"/>
        <v>0</v>
      </c>
      <c r="J117" s="220">
        <f t="shared" si="9"/>
        <v>0</v>
      </c>
      <c r="K117" s="220"/>
      <c r="L117" s="222"/>
    </row>
    <row r="118" spans="2:12" ht="21.95" customHeight="1" x14ac:dyDescent="0.2">
      <c r="B118" s="213" t="s">
        <v>1578</v>
      </c>
      <c r="C118" s="218">
        <v>690</v>
      </c>
      <c r="D118" s="217" t="s">
        <v>245</v>
      </c>
      <c r="E118" s="220">
        <f t="shared" ref="E118:G119" si="10">E14+E23+E32</f>
        <v>0</v>
      </c>
      <c r="F118" s="220">
        <f t="shared" si="10"/>
        <v>0</v>
      </c>
      <c r="G118" s="220">
        <f t="shared" si="10"/>
        <v>0</v>
      </c>
      <c r="H118" s="324"/>
      <c r="I118" s="324"/>
      <c r="J118" s="324"/>
      <c r="K118" s="220"/>
      <c r="L118" s="331"/>
    </row>
    <row r="119" spans="2:12" ht="27" customHeight="1" thickBot="1" x14ac:dyDescent="0.25">
      <c r="B119" s="245" t="s">
        <v>1579</v>
      </c>
      <c r="C119" s="358">
        <v>700</v>
      </c>
      <c r="D119" s="357" t="s">
        <v>248</v>
      </c>
      <c r="E119" s="359">
        <f t="shared" si="10"/>
        <v>0</v>
      </c>
      <c r="F119" s="359">
        <f t="shared" si="10"/>
        <v>0</v>
      </c>
      <c r="G119" s="359">
        <f t="shared" si="10"/>
        <v>0</v>
      </c>
      <c r="H119" s="359">
        <f>H15+H24+H33</f>
        <v>0</v>
      </c>
      <c r="I119" s="359">
        <f>I15+I24+I33</f>
        <v>0</v>
      </c>
      <c r="J119" s="359">
        <f>J15+J24+J33</f>
        <v>0</v>
      </c>
      <c r="K119" s="359"/>
      <c r="L119" s="222"/>
    </row>
    <row r="120" spans="2:12" ht="21.95" customHeight="1" x14ac:dyDescent="0.2">
      <c r="B120" s="189" t="s">
        <v>1580</v>
      </c>
      <c r="C120" s="763"/>
      <c r="D120" s="735"/>
      <c r="E120" s="317"/>
      <c r="F120" s="317"/>
      <c r="G120" s="317"/>
      <c r="H120" s="317"/>
      <c r="I120" s="317"/>
      <c r="J120" s="317"/>
      <c r="K120" s="317"/>
      <c r="L120" s="318"/>
    </row>
    <row r="121" spans="2:12" ht="21.95" customHeight="1" x14ac:dyDescent="0.2">
      <c r="B121" s="188" t="s">
        <v>1502</v>
      </c>
      <c r="C121" s="199">
        <v>710</v>
      </c>
      <c r="D121" s="131" t="s">
        <v>248</v>
      </c>
      <c r="E121" s="419"/>
      <c r="F121" s="419"/>
      <c r="G121" s="419"/>
      <c r="H121" s="260">
        <f t="shared" ref="H121:J122" si="11">H17+H26+H35</f>
        <v>0</v>
      </c>
      <c r="I121" s="260">
        <f t="shared" si="11"/>
        <v>0</v>
      </c>
      <c r="J121" s="260">
        <f t="shared" si="11"/>
        <v>0</v>
      </c>
      <c r="K121" s="419"/>
      <c r="L121" s="255"/>
    </row>
    <row r="122" spans="2:12" ht="21.95" customHeight="1" thickBot="1" x14ac:dyDescent="0.25">
      <c r="B122" s="232" t="s">
        <v>1581</v>
      </c>
      <c r="C122" s="236">
        <v>720</v>
      </c>
      <c r="D122" s="235" t="s">
        <v>248</v>
      </c>
      <c r="E122" s="340"/>
      <c r="F122" s="340"/>
      <c r="G122" s="340"/>
      <c r="H122" s="367">
        <f t="shared" si="11"/>
        <v>0</v>
      </c>
      <c r="I122" s="367">
        <f t="shared" si="11"/>
        <v>0</v>
      </c>
      <c r="J122" s="367">
        <f t="shared" si="11"/>
        <v>0</v>
      </c>
      <c r="K122" s="340"/>
      <c r="L122" s="682"/>
    </row>
    <row r="123" spans="2:12" ht="13.5" thickTop="1" x14ac:dyDescent="0.2">
      <c r="C123" s="157"/>
      <c r="D123" s="157"/>
    </row>
    <row r="124" spans="2:12" x14ac:dyDescent="0.2">
      <c r="C124" s="157"/>
      <c r="D124" s="157"/>
    </row>
    <row r="125" spans="2:12" ht="13.5" thickBot="1" x14ac:dyDescent="0.25">
      <c r="C125" s="157"/>
      <c r="D125" s="157"/>
    </row>
    <row r="126" spans="2:12" ht="13.5" thickTop="1" x14ac:dyDescent="0.2">
      <c r="B126" s="242"/>
      <c r="C126" s="195"/>
      <c r="D126" s="195" t="s">
        <v>25</v>
      </c>
      <c r="E126" s="195" t="s">
        <v>235</v>
      </c>
      <c r="F126" s="195" t="s">
        <v>236</v>
      </c>
      <c r="G126" s="195" t="s">
        <v>293</v>
      </c>
      <c r="H126" s="195" t="s">
        <v>294</v>
      </c>
      <c r="I126" s="195" t="s">
        <v>295</v>
      </c>
      <c r="J126" s="195" t="s">
        <v>296</v>
      </c>
      <c r="K126" s="195" t="s">
        <v>342</v>
      </c>
      <c r="L126" s="197" t="s">
        <v>297</v>
      </c>
    </row>
    <row r="127" spans="2:12" ht="51" x14ac:dyDescent="0.2">
      <c r="B127" s="355" t="s">
        <v>1605</v>
      </c>
      <c r="C127" s="199"/>
      <c r="D127" s="199"/>
      <c r="E127" s="201" t="s">
        <v>1592</v>
      </c>
      <c r="F127" s="201" t="s">
        <v>1589</v>
      </c>
      <c r="G127" s="201" t="s">
        <v>1590</v>
      </c>
      <c r="H127" s="201" t="s">
        <v>1571</v>
      </c>
      <c r="I127" s="201" t="s">
        <v>1572</v>
      </c>
      <c r="J127" s="201" t="s">
        <v>1573</v>
      </c>
      <c r="K127" s="201" t="s">
        <v>1592</v>
      </c>
      <c r="L127" s="202" t="s">
        <v>1571</v>
      </c>
    </row>
    <row r="128" spans="2:12" x14ac:dyDescent="0.2">
      <c r="B128" s="198"/>
      <c r="C128" s="199" t="s">
        <v>238</v>
      </c>
      <c r="D128" s="199"/>
      <c r="E128" s="199" t="s">
        <v>300</v>
      </c>
      <c r="F128" s="199" t="s">
        <v>300</v>
      </c>
      <c r="G128" s="199" t="s">
        <v>300</v>
      </c>
      <c r="H128" s="199" t="s">
        <v>300</v>
      </c>
      <c r="I128" s="199" t="s">
        <v>300</v>
      </c>
      <c r="J128" s="199" t="s">
        <v>300</v>
      </c>
      <c r="K128" s="199" t="s">
        <v>240</v>
      </c>
      <c r="L128" s="210" t="s">
        <v>240</v>
      </c>
    </row>
    <row r="129" spans="2:12" ht="13.5" thickBot="1" x14ac:dyDescent="0.25">
      <c r="B129" s="198" t="s">
        <v>1606</v>
      </c>
      <c r="C129" s="204" t="s">
        <v>242</v>
      </c>
      <c r="D129" s="204"/>
      <c r="E129" s="204" t="s">
        <v>243</v>
      </c>
      <c r="F129" s="204" t="s">
        <v>243</v>
      </c>
      <c r="G129" s="204" t="s">
        <v>243</v>
      </c>
      <c r="H129" s="204" t="s">
        <v>243</v>
      </c>
      <c r="I129" s="204" t="s">
        <v>243</v>
      </c>
      <c r="J129" s="204" t="s">
        <v>243</v>
      </c>
      <c r="K129" s="204" t="s">
        <v>243</v>
      </c>
      <c r="L129" s="210" t="s">
        <v>243</v>
      </c>
    </row>
    <row r="130" spans="2:12" ht="21.95" customHeight="1" x14ac:dyDescent="0.2">
      <c r="B130" s="189" t="s">
        <v>1575</v>
      </c>
      <c r="C130" s="207">
        <v>730</v>
      </c>
      <c r="D130" s="206" t="s">
        <v>248</v>
      </c>
      <c r="E130" s="209">
        <f t="shared" ref="E130:J132" si="12">E52+E63+E74</f>
        <v>0</v>
      </c>
      <c r="F130" s="209">
        <f t="shared" si="12"/>
        <v>0</v>
      </c>
      <c r="G130" s="209">
        <f t="shared" si="12"/>
        <v>0</v>
      </c>
      <c r="H130" s="209">
        <f t="shared" si="12"/>
        <v>0</v>
      </c>
      <c r="I130" s="209">
        <f t="shared" si="12"/>
        <v>0</v>
      </c>
      <c r="J130" s="209">
        <f t="shared" si="12"/>
        <v>0</v>
      </c>
      <c r="K130" s="209"/>
      <c r="L130" s="221"/>
    </row>
    <row r="131" spans="2:12" ht="21.95" customHeight="1" x14ac:dyDescent="0.2">
      <c r="B131" s="213" t="s">
        <v>1576</v>
      </c>
      <c r="C131" s="218">
        <v>740</v>
      </c>
      <c r="D131" s="217" t="s">
        <v>248</v>
      </c>
      <c r="E131" s="220">
        <f t="shared" si="12"/>
        <v>0</v>
      </c>
      <c r="F131" s="220">
        <f t="shared" si="12"/>
        <v>0</v>
      </c>
      <c r="G131" s="220">
        <f t="shared" si="12"/>
        <v>0</v>
      </c>
      <c r="H131" s="220">
        <f t="shared" si="12"/>
        <v>0</v>
      </c>
      <c r="I131" s="220">
        <f t="shared" si="12"/>
        <v>0</v>
      </c>
      <c r="J131" s="220">
        <f t="shared" si="12"/>
        <v>0</v>
      </c>
      <c r="K131" s="220"/>
      <c r="L131" s="222"/>
    </row>
    <row r="132" spans="2:12" ht="21.95" customHeight="1" x14ac:dyDescent="0.2">
      <c r="B132" s="213" t="s">
        <v>1577</v>
      </c>
      <c r="C132" s="218">
        <v>750</v>
      </c>
      <c r="D132" s="217" t="s">
        <v>248</v>
      </c>
      <c r="E132" s="220">
        <f t="shared" si="12"/>
        <v>0</v>
      </c>
      <c r="F132" s="220">
        <f t="shared" si="12"/>
        <v>0</v>
      </c>
      <c r="G132" s="220">
        <f t="shared" si="12"/>
        <v>0</v>
      </c>
      <c r="H132" s="220">
        <f t="shared" si="12"/>
        <v>0</v>
      </c>
      <c r="I132" s="220">
        <f t="shared" si="12"/>
        <v>0</v>
      </c>
      <c r="J132" s="220">
        <f t="shared" si="12"/>
        <v>0</v>
      </c>
      <c r="K132" s="220"/>
      <c r="L132" s="222"/>
    </row>
    <row r="133" spans="2:12" ht="21.95" customHeight="1" x14ac:dyDescent="0.2">
      <c r="B133" s="213" t="s">
        <v>1578</v>
      </c>
      <c r="C133" s="218">
        <v>760</v>
      </c>
      <c r="D133" s="217" t="s">
        <v>245</v>
      </c>
      <c r="E133" s="220">
        <f>E55+E66+E77</f>
        <v>0</v>
      </c>
      <c r="F133" s="220">
        <f>F55+F66+F77</f>
        <v>0</v>
      </c>
      <c r="G133" s="220">
        <f>G55+G66+G77</f>
        <v>0</v>
      </c>
      <c r="H133" s="324"/>
      <c r="I133" s="324"/>
      <c r="J133" s="324"/>
      <c r="K133" s="220"/>
      <c r="L133" s="331"/>
    </row>
    <row r="134" spans="2:12" ht="30" customHeight="1" x14ac:dyDescent="0.2">
      <c r="B134" s="336" t="s">
        <v>1594</v>
      </c>
      <c r="C134" s="218">
        <v>770</v>
      </c>
      <c r="D134" s="217" t="s">
        <v>248</v>
      </c>
      <c r="E134" s="224">
        <f t="shared" ref="E134:J134" si="13">SUM(E130:E133)</f>
        <v>0</v>
      </c>
      <c r="F134" s="224">
        <f t="shared" si="13"/>
        <v>0</v>
      </c>
      <c r="G134" s="224">
        <f t="shared" si="13"/>
        <v>0</v>
      </c>
      <c r="H134" s="224">
        <f t="shared" si="13"/>
        <v>0</v>
      </c>
      <c r="I134" s="224">
        <f t="shared" si="13"/>
        <v>0</v>
      </c>
      <c r="J134" s="224">
        <f t="shared" si="13"/>
        <v>0</v>
      </c>
      <c r="K134" s="224"/>
      <c r="L134" s="227"/>
    </row>
    <row r="135" spans="2:12" ht="21.95" customHeight="1" x14ac:dyDescent="0.2">
      <c r="B135" s="213" t="s">
        <v>1595</v>
      </c>
      <c r="C135" s="218">
        <v>780</v>
      </c>
      <c r="D135" s="217" t="s">
        <v>245</v>
      </c>
      <c r="E135" s="220">
        <f t="shared" ref="E135:J135" si="14">E57+E68+E79</f>
        <v>0</v>
      </c>
      <c r="F135" s="220">
        <f t="shared" si="14"/>
        <v>0</v>
      </c>
      <c r="G135" s="338">
        <f t="shared" si="14"/>
        <v>0</v>
      </c>
      <c r="H135" s="338">
        <f t="shared" si="14"/>
        <v>0</v>
      </c>
      <c r="I135" s="338">
        <f t="shared" si="14"/>
        <v>0</v>
      </c>
      <c r="J135" s="338">
        <f t="shared" si="14"/>
        <v>0</v>
      </c>
      <c r="K135" s="220"/>
      <c r="L135" s="222"/>
    </row>
    <row r="136" spans="2:12" ht="21.95" customHeight="1" thickBot="1" x14ac:dyDescent="0.25">
      <c r="B136" s="226" t="s">
        <v>340</v>
      </c>
      <c r="C136" s="358">
        <v>790</v>
      </c>
      <c r="D136" s="357" t="s">
        <v>248</v>
      </c>
      <c r="E136" s="834">
        <f t="shared" ref="E136:J136" si="15">SUM(E134:E135)</f>
        <v>0</v>
      </c>
      <c r="F136" s="834">
        <f t="shared" si="15"/>
        <v>0</v>
      </c>
      <c r="G136" s="834">
        <f t="shared" si="15"/>
        <v>0</v>
      </c>
      <c r="H136" s="834">
        <f t="shared" si="15"/>
        <v>0</v>
      </c>
      <c r="I136" s="834">
        <f t="shared" si="15"/>
        <v>0</v>
      </c>
      <c r="J136" s="834">
        <f t="shared" si="15"/>
        <v>0</v>
      </c>
      <c r="K136" s="834"/>
      <c r="L136" s="227"/>
    </row>
    <row r="137" spans="2:12" ht="21.95" customHeight="1" x14ac:dyDescent="0.2">
      <c r="B137" s="314" t="s">
        <v>1580</v>
      </c>
      <c r="C137" s="763"/>
      <c r="D137" s="735"/>
      <c r="E137" s="317"/>
      <c r="F137" s="317"/>
      <c r="G137" s="317"/>
      <c r="H137" s="317"/>
      <c r="I137" s="317"/>
      <c r="J137" s="317"/>
      <c r="K137" s="317"/>
      <c r="L137" s="318"/>
    </row>
    <row r="138" spans="2:12" ht="21.95" customHeight="1" x14ac:dyDescent="0.2">
      <c r="B138" s="188" t="s">
        <v>1596</v>
      </c>
      <c r="C138" s="199">
        <v>800</v>
      </c>
      <c r="D138" s="131" t="s">
        <v>248</v>
      </c>
      <c r="E138" s="419"/>
      <c r="F138" s="419"/>
      <c r="G138" s="419"/>
      <c r="H138" s="260">
        <f t="shared" ref="H138:J139" si="16">H60+H71+H82</f>
        <v>0</v>
      </c>
      <c r="I138" s="260">
        <f t="shared" si="16"/>
        <v>0</v>
      </c>
      <c r="J138" s="260">
        <f t="shared" si="16"/>
        <v>0</v>
      </c>
      <c r="K138" s="419"/>
      <c r="L138" s="255"/>
    </row>
    <row r="139" spans="2:12" ht="21.95" customHeight="1" thickBot="1" x14ac:dyDescent="0.25">
      <c r="B139" s="232" t="s">
        <v>1597</v>
      </c>
      <c r="C139" s="236">
        <v>810</v>
      </c>
      <c r="D139" s="235" t="s">
        <v>248</v>
      </c>
      <c r="E139" s="340"/>
      <c r="F139" s="340"/>
      <c r="G139" s="340"/>
      <c r="H139" s="367">
        <f t="shared" si="16"/>
        <v>0</v>
      </c>
      <c r="I139" s="367">
        <f t="shared" si="16"/>
        <v>0</v>
      </c>
      <c r="J139" s="367">
        <f t="shared" si="16"/>
        <v>0</v>
      </c>
      <c r="K139" s="340"/>
      <c r="L139" s="682"/>
    </row>
    <row r="140" spans="2:12" ht="13.5" thickTop="1" x14ac:dyDescent="0.2"/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 H71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H138:J139 L138:L139 H134:J136 E133:G136 L134:L136 K133:K136 E130:L132 H121:J122 L121:L122 L119 H119:J119 E118:G119 K118:K119 E115:L117 K107 F107 E98:F100 K98:K99 K90:K91 F90:F91 L82:L83 H82:J82 H80:I80 E80:F80 J79:J80 L78:L80 H78:J78 E78:F78 K77:K80 J74:L76 G74:G80 L71:L72 I71:J71 H69:I69 E69:F69 J68:J69 L67:L69 H67:J67 E67:F67 K66:K69 J63:L65 G63:G69 L60:L61 I60:J60 H58:I58 E58:F58 J57:J58 L56:L58 H56:J56 E56:F56 K55:K58 J52:L54 G52:G58 K43:K44 F43:F44 L35:L36 L33 H33:J33 E33:F33 K32:K33 J29:L31 G29:G33 L26:L27 L24 H24:J24 E24:F24 K23:K24 J20:L22 G20:G24 L17:L18 L15 H15:J15 E15:F15 K14:K15 J11:L13 G11:G15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90:E91 H79:I79 E79:F79 E74:F77 H74:I76 H68:I68 E68:F68 E63:F66 H63:I65 H57:I57 E57:F57 E52:F55 H52:I54 E43:E44 E29:F32 H29:I31 E20:F23 H20:I22 H11:I13 E11:F14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58" fitToHeight="3" orientation="landscape" horizontalDpi="90" verticalDpi="90" r:id="rId1"/>
  <rowBreaks count="2" manualBreakCount="2">
    <brk id="45" max="11" man="1"/>
    <brk id="85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N115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4.42578125" customWidth="1"/>
    <col min="2" max="2" width="57.7109375" customWidth="1"/>
    <col min="3" max="4" width="10.140625" customWidth="1"/>
    <col min="5" max="6" width="15.5703125" customWidth="1"/>
    <col min="7" max="7" width="3.85546875" hidden="1" customWidth="1"/>
    <col min="8" max="11" width="15.5703125" customWidth="1"/>
    <col min="12" max="12" width="2.85546875" hidden="1" customWidth="1"/>
    <col min="13" max="14" width="15.5703125" customWidth="1"/>
    <col min="15" max="15" width="9.7109375" customWidth="1"/>
    <col min="16" max="17" width="4.42578125" hidden="1" customWidth="1"/>
    <col min="18" max="52" width="3.42578125" hidden="1" customWidth="1"/>
  </cols>
  <sheetData>
    <row r="1" spans="1:66" ht="15.75" x14ac:dyDescent="0.25">
      <c r="A1" s="1131" t="s">
        <v>3726</v>
      </c>
      <c r="B1" s="1139" t="str">
        <f>OrgName</f>
        <v>ZZZ NHS TRUST</v>
      </c>
      <c r="C1" s="1122"/>
      <c r="D1" s="1122"/>
      <c r="E1" s="1177" t="str">
        <f>HYPERLINK(CHAR(35)&amp;"1415TRU_Index_P13"&amp;"!A1","GoTo Index tab")</f>
        <v>GoTo Index tab</v>
      </c>
      <c r="G1" s="99"/>
      <c r="L1" s="99"/>
    </row>
    <row r="2" spans="1:66" x14ac:dyDescent="0.2">
      <c r="A2" s="1131" t="s">
        <v>3727</v>
      </c>
      <c r="B2" s="1137" t="str">
        <f>"Org Code: " &amp; Orgcode</f>
        <v>Org Code: ZZZ</v>
      </c>
      <c r="C2" s="1119"/>
      <c r="D2" s="1119"/>
      <c r="E2" s="1135"/>
      <c r="G2" s="99"/>
      <c r="L2" s="99"/>
    </row>
    <row r="3" spans="1:66" x14ac:dyDescent="0.2">
      <c r="A3" s="1131" t="s">
        <v>3746</v>
      </c>
      <c r="B3" s="1138" t="s">
        <v>3725</v>
      </c>
      <c r="C3" s="1125"/>
      <c r="D3" s="1125"/>
      <c r="E3" s="1136"/>
      <c r="G3" s="99"/>
      <c r="L3" s="99"/>
    </row>
    <row r="4" spans="1:66" x14ac:dyDescent="0.2">
      <c r="B4" s="97" t="s">
        <v>1607</v>
      </c>
      <c r="G4" s="99"/>
      <c r="L4" s="99"/>
    </row>
    <row r="5" spans="1:66" x14ac:dyDescent="0.2">
      <c r="B5" s="103" t="s">
        <v>66</v>
      </c>
      <c r="G5" s="99"/>
      <c r="L5" s="99"/>
    </row>
    <row r="6" spans="1:66" ht="13.5" thickBot="1" x14ac:dyDescent="0.25">
      <c r="G6" s="99"/>
      <c r="L6" s="99"/>
    </row>
    <row r="7" spans="1:66" ht="14.25" thickTop="1" thickBot="1" x14ac:dyDescent="0.25">
      <c r="F7" s="376" t="s">
        <v>1608</v>
      </c>
      <c r="G7" s="271"/>
      <c r="H7" s="377"/>
      <c r="I7" s="377"/>
      <c r="J7" s="377"/>
      <c r="K7" s="377"/>
      <c r="L7" s="271"/>
      <c r="M7" s="377"/>
      <c r="N7" s="381"/>
    </row>
    <row r="8" spans="1:66" ht="13.5" thickTop="1" x14ac:dyDescent="0.2">
      <c r="B8" s="190"/>
      <c r="C8" s="195" t="s">
        <v>238</v>
      </c>
      <c r="D8" s="195" t="s">
        <v>25</v>
      </c>
      <c r="E8" s="353" t="s">
        <v>235</v>
      </c>
      <c r="F8" s="687" t="s">
        <v>236</v>
      </c>
      <c r="G8" s="102" t="s">
        <v>293</v>
      </c>
      <c r="H8" s="353" t="s">
        <v>294</v>
      </c>
      <c r="I8" s="353" t="s">
        <v>295</v>
      </c>
      <c r="J8" s="353" t="s">
        <v>296</v>
      </c>
      <c r="K8" s="353" t="s">
        <v>342</v>
      </c>
      <c r="L8" s="102" t="s">
        <v>297</v>
      </c>
      <c r="M8" s="353" t="s">
        <v>298</v>
      </c>
      <c r="N8" s="293" t="s">
        <v>299</v>
      </c>
    </row>
    <row r="9" spans="1:66" ht="38.25" x14ac:dyDescent="0.2">
      <c r="B9" s="198" t="s">
        <v>170</v>
      </c>
      <c r="C9" s="199" t="s">
        <v>242</v>
      </c>
      <c r="D9" s="199"/>
      <c r="E9" s="201" t="s">
        <v>239</v>
      </c>
      <c r="F9" s="608" t="s">
        <v>1615</v>
      </c>
      <c r="G9" s="102" t="s">
        <v>1616</v>
      </c>
      <c r="H9" s="201" t="s">
        <v>1617</v>
      </c>
      <c r="I9" s="201" t="s">
        <v>1618</v>
      </c>
      <c r="J9" s="201" t="s">
        <v>1619</v>
      </c>
      <c r="K9" s="201" t="s">
        <v>1620</v>
      </c>
      <c r="L9" s="102" t="s">
        <v>1621</v>
      </c>
      <c r="M9" s="201" t="s">
        <v>352</v>
      </c>
      <c r="N9" s="202" t="s">
        <v>1622</v>
      </c>
    </row>
    <row r="10" spans="1:66" ht="13.5" thickBot="1" x14ac:dyDescent="0.25">
      <c r="B10" s="188"/>
      <c r="C10" s="138"/>
      <c r="D10" s="138"/>
      <c r="E10" s="278" t="s">
        <v>243</v>
      </c>
      <c r="F10" s="688" t="s">
        <v>243</v>
      </c>
      <c r="G10" s="102" t="s">
        <v>243</v>
      </c>
      <c r="H10" s="278" t="s">
        <v>243</v>
      </c>
      <c r="I10" s="278" t="s">
        <v>243</v>
      </c>
      <c r="J10" s="278" t="s">
        <v>243</v>
      </c>
      <c r="K10" s="278" t="s">
        <v>243</v>
      </c>
      <c r="L10" s="102" t="s">
        <v>243</v>
      </c>
      <c r="M10" s="278" t="s">
        <v>243</v>
      </c>
      <c r="N10" s="202" t="s">
        <v>243</v>
      </c>
    </row>
    <row r="11" spans="1:66" ht="21.95" customHeight="1" x14ac:dyDescent="0.2">
      <c r="B11" s="386" t="s">
        <v>1033</v>
      </c>
      <c r="C11" s="207">
        <v>100</v>
      </c>
      <c r="D11" s="206" t="s">
        <v>248</v>
      </c>
      <c r="E11" s="209">
        <f>SUM(F11:N11)</f>
        <v>0</v>
      </c>
      <c r="F11" s="610">
        <f>SUM(M85+M96)</f>
        <v>0</v>
      </c>
      <c r="G11" s="99"/>
      <c r="H11" s="209">
        <f>SUM(M87+M98)</f>
        <v>0</v>
      </c>
      <c r="I11" s="209">
        <f>SUM(M88+M99)</f>
        <v>0</v>
      </c>
      <c r="J11" s="209">
        <f>SUM(M89+M100)</f>
        <v>0</v>
      </c>
      <c r="K11" s="209">
        <f>SUM(M90+M101)</f>
        <v>0</v>
      </c>
      <c r="L11" s="99"/>
      <c r="M11" s="209">
        <f>SUM(M92+M103)</f>
        <v>0</v>
      </c>
      <c r="N11" s="211">
        <f>SUM(M93+M104)</f>
        <v>0</v>
      </c>
    </row>
    <row r="12" spans="1:66" hidden="1" x14ac:dyDescent="0.2">
      <c r="A12" s="99"/>
      <c r="B12" s="102" t="s">
        <v>1360</v>
      </c>
      <c r="C12" s="172">
        <v>102</v>
      </c>
      <c r="D12" s="247" t="s">
        <v>251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</row>
    <row r="13" spans="1:66" hidden="1" x14ac:dyDescent="0.2">
      <c r="A13" s="99"/>
      <c r="B13" s="102" t="s">
        <v>303</v>
      </c>
      <c r="C13" s="172">
        <v>104</v>
      </c>
      <c r="D13" s="247" t="s">
        <v>251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</row>
    <row r="14" spans="1:66" ht="21.95" customHeight="1" x14ac:dyDescent="0.2">
      <c r="B14" s="198" t="s">
        <v>389</v>
      </c>
      <c r="C14" s="251">
        <v>108</v>
      </c>
      <c r="D14" s="250" t="s">
        <v>251</v>
      </c>
      <c r="E14" s="253">
        <f>SUM(F14:N14)</f>
        <v>0</v>
      </c>
      <c r="F14" s="620">
        <f>SUM(H85+H96)</f>
        <v>0</v>
      </c>
      <c r="G14" s="99"/>
      <c r="H14" s="253">
        <f>SUM(H87+H98)</f>
        <v>0</v>
      </c>
      <c r="I14" s="253">
        <f>SUM(H88+H99)</f>
        <v>0</v>
      </c>
      <c r="J14" s="253">
        <f>SUM(H89+H100)</f>
        <v>0</v>
      </c>
      <c r="K14" s="253">
        <f>SUM(H90+H101)</f>
        <v>0</v>
      </c>
      <c r="L14" s="99"/>
      <c r="M14" s="253">
        <f>SUM(H92+H103)</f>
        <v>0</v>
      </c>
      <c r="N14" s="255">
        <f>SUM(H93+H104)</f>
        <v>0</v>
      </c>
    </row>
    <row r="15" spans="1:66" ht="30" customHeight="1" x14ac:dyDescent="0.2">
      <c r="B15" s="1099" t="s">
        <v>391</v>
      </c>
      <c r="C15" s="218">
        <v>110</v>
      </c>
      <c r="D15" s="217" t="s">
        <v>251</v>
      </c>
      <c r="E15" s="224">
        <f>SUM(F15:N15)</f>
        <v>0</v>
      </c>
      <c r="F15" s="616">
        <f>SUM(F11:F14)</f>
        <v>0</v>
      </c>
      <c r="G15" s="102"/>
      <c r="H15" s="224">
        <f>SUM(H11:H14)</f>
        <v>0</v>
      </c>
      <c r="I15" s="224">
        <f>SUM(I11:I14)</f>
        <v>0</v>
      </c>
      <c r="J15" s="224">
        <f>SUM(J11:J14)</f>
        <v>0</v>
      </c>
      <c r="K15" s="224">
        <f>SUM(K11:K14)</f>
        <v>0</v>
      </c>
      <c r="L15" s="102"/>
      <c r="M15" s="224">
        <f>SUM(M11:M14)</f>
        <v>0</v>
      </c>
      <c r="N15" s="225">
        <f>SUM(N11:N14)</f>
        <v>0</v>
      </c>
    </row>
    <row r="16" spans="1:66" hidden="1" x14ac:dyDescent="0.2">
      <c r="A16" s="99"/>
      <c r="B16" s="100" t="s">
        <v>401</v>
      </c>
      <c r="C16" s="172">
        <v>112</v>
      </c>
      <c r="D16" s="157" t="s">
        <v>251</v>
      </c>
      <c r="E16" s="100"/>
      <c r="F16" s="971"/>
      <c r="G16" s="100"/>
      <c r="H16" s="971"/>
      <c r="I16" s="971"/>
      <c r="J16" s="100"/>
      <c r="K16" s="971"/>
      <c r="L16" s="100"/>
      <c r="M16" s="971"/>
      <c r="N16" s="971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</row>
    <row r="17" spans="1:66" hidden="1" x14ac:dyDescent="0.2">
      <c r="A17" s="99"/>
      <c r="B17" s="100" t="s">
        <v>402</v>
      </c>
      <c r="C17" s="172">
        <v>114</v>
      </c>
      <c r="D17" s="157" t="s">
        <v>248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</row>
    <row r="18" spans="1:66" hidden="1" x14ac:dyDescent="0.2"/>
    <row r="19" spans="1:66" ht="21.95" customHeight="1" x14ac:dyDescent="0.2">
      <c r="B19" s="188" t="s">
        <v>1625</v>
      </c>
      <c r="C19" s="251">
        <v>120</v>
      </c>
      <c r="D19" s="250" t="s">
        <v>248</v>
      </c>
      <c r="E19" s="253">
        <f>SUM(F19:N19)</f>
        <v>0</v>
      </c>
      <c r="F19" s="692"/>
      <c r="G19" s="99"/>
      <c r="H19" s="422"/>
      <c r="I19" s="422"/>
      <c r="J19" s="422"/>
      <c r="K19" s="422"/>
      <c r="L19" s="99"/>
      <c r="M19" s="422"/>
      <c r="N19" s="694"/>
    </row>
    <row r="20" spans="1:66" ht="21.95" customHeight="1" x14ac:dyDescent="0.2">
      <c r="B20" s="213" t="s">
        <v>1626</v>
      </c>
      <c r="C20" s="218">
        <v>130</v>
      </c>
      <c r="D20" s="217" t="s">
        <v>245</v>
      </c>
      <c r="E20" s="220">
        <f>SUM(F20:N20)</f>
        <v>0</v>
      </c>
      <c r="F20" s="618"/>
      <c r="G20" s="99"/>
      <c r="H20" s="228"/>
      <c r="I20" s="228"/>
      <c r="J20" s="228"/>
      <c r="K20" s="228"/>
      <c r="L20" s="99"/>
      <c r="M20" s="228"/>
      <c r="N20" s="297"/>
    </row>
    <row r="21" spans="1:66" ht="21.95" customHeight="1" x14ac:dyDescent="0.2">
      <c r="B21" s="213" t="s">
        <v>1627</v>
      </c>
      <c r="C21" s="218">
        <v>140</v>
      </c>
      <c r="D21" s="217" t="s">
        <v>245</v>
      </c>
      <c r="E21" s="220">
        <f>SUM(F21:N21)</f>
        <v>0</v>
      </c>
      <c r="F21" s="618"/>
      <c r="G21" s="99"/>
      <c r="H21" s="228"/>
      <c r="I21" s="228"/>
      <c r="J21" s="228"/>
      <c r="K21" s="228"/>
      <c r="L21" s="99"/>
      <c r="M21" s="228"/>
      <c r="N21" s="297"/>
    </row>
    <row r="22" spans="1:66" ht="21.95" customHeight="1" x14ac:dyDescent="0.2">
      <c r="B22" s="213" t="s">
        <v>1628</v>
      </c>
      <c r="C22" s="218">
        <v>150</v>
      </c>
      <c r="D22" s="217" t="s">
        <v>248</v>
      </c>
      <c r="E22" s="220">
        <f>SUM(F22:N22)</f>
        <v>0</v>
      </c>
      <c r="F22" s="618"/>
      <c r="G22" s="99"/>
      <c r="H22" s="228"/>
      <c r="I22" s="228"/>
      <c r="J22" s="228"/>
      <c r="K22" s="228"/>
      <c r="L22" s="99"/>
      <c r="M22" s="228"/>
      <c r="N22" s="297"/>
    </row>
    <row r="23" spans="1:66" ht="21.95" customHeight="1" x14ac:dyDescent="0.2">
      <c r="B23" s="214" t="s">
        <v>1629</v>
      </c>
      <c r="C23" s="218">
        <v>160</v>
      </c>
      <c r="D23" s="217" t="s">
        <v>251</v>
      </c>
      <c r="E23" s="220">
        <f>SUM(F23:N23)</f>
        <v>0</v>
      </c>
      <c r="F23" s="618"/>
      <c r="G23" s="99"/>
      <c r="H23" s="228"/>
      <c r="I23" s="228"/>
      <c r="J23" s="228"/>
      <c r="K23" s="228"/>
      <c r="L23" s="99"/>
      <c r="M23" s="228"/>
      <c r="N23" s="296"/>
    </row>
    <row r="24" spans="1:66" hidden="1" x14ac:dyDescent="0.2">
      <c r="A24" s="99"/>
      <c r="B24" s="99" t="s">
        <v>1630</v>
      </c>
      <c r="C24" s="172">
        <v>170</v>
      </c>
      <c r="D24" s="157" t="s">
        <v>251</v>
      </c>
      <c r="E24" s="105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</row>
    <row r="25" spans="1:66" ht="27" customHeight="1" x14ac:dyDescent="0.2">
      <c r="B25" s="354" t="s">
        <v>1631</v>
      </c>
      <c r="C25" s="251">
        <v>180</v>
      </c>
      <c r="D25" s="250" t="s">
        <v>245</v>
      </c>
      <c r="E25" s="253">
        <f>SUM(F25:N25)</f>
        <v>0</v>
      </c>
      <c r="F25" s="692"/>
      <c r="G25" s="99"/>
      <c r="H25" s="422"/>
      <c r="I25" s="422"/>
      <c r="J25" s="422"/>
      <c r="K25" s="422"/>
      <c r="L25" s="99"/>
      <c r="M25" s="422"/>
      <c r="N25" s="694"/>
    </row>
    <row r="26" spans="1:66" ht="27" customHeight="1" x14ac:dyDescent="0.2">
      <c r="B26" s="266" t="s">
        <v>1074</v>
      </c>
      <c r="C26" s="218">
        <v>185</v>
      </c>
      <c r="D26" s="219" t="s">
        <v>251</v>
      </c>
      <c r="E26" s="220">
        <f>SUM(F26:N26)</f>
        <v>0</v>
      </c>
      <c r="F26" s="618"/>
      <c r="G26" s="99"/>
      <c r="H26" s="228"/>
      <c r="I26" s="228"/>
      <c r="J26" s="228"/>
      <c r="K26" s="228"/>
      <c r="L26" s="99"/>
      <c r="M26" s="228"/>
      <c r="N26" s="297"/>
    </row>
    <row r="27" spans="1:66" ht="21.95" customHeight="1" x14ac:dyDescent="0.2">
      <c r="B27" s="226" t="s">
        <v>419</v>
      </c>
      <c r="C27" s="218">
        <v>190</v>
      </c>
      <c r="D27" s="217" t="s">
        <v>248</v>
      </c>
      <c r="E27" s="224">
        <f>SUM(E15:E26)</f>
        <v>0</v>
      </c>
      <c r="F27" s="616">
        <f>SUM(F15:F26)</f>
        <v>0</v>
      </c>
      <c r="G27" s="102"/>
      <c r="H27" s="224">
        <f>SUM(H15:H26)</f>
        <v>0</v>
      </c>
      <c r="I27" s="224">
        <f>SUM(I15:I26)</f>
        <v>0</v>
      </c>
      <c r="J27" s="224">
        <f>SUM(J15:J26)</f>
        <v>0</v>
      </c>
      <c r="K27" s="224">
        <f>SUM(K15:K26)</f>
        <v>0</v>
      </c>
      <c r="L27" s="102"/>
      <c r="M27" s="224">
        <f>SUM(M15:M26)</f>
        <v>0</v>
      </c>
      <c r="N27" s="227">
        <f>SUM(N15:N26)</f>
        <v>0</v>
      </c>
    </row>
    <row r="28" spans="1:66" ht="21.95" customHeight="1" x14ac:dyDescent="0.2">
      <c r="B28" s="226" t="s">
        <v>1632</v>
      </c>
      <c r="C28" s="446"/>
      <c r="D28" s="579"/>
      <c r="E28" s="258"/>
      <c r="F28" s="632"/>
      <c r="G28" s="99"/>
      <c r="H28" s="258"/>
      <c r="I28" s="258"/>
      <c r="J28" s="258"/>
      <c r="K28" s="258"/>
      <c r="L28" s="99"/>
      <c r="M28" s="258"/>
      <c r="N28" s="331"/>
    </row>
    <row r="29" spans="1:66" ht="21.95" customHeight="1" x14ac:dyDescent="0.2">
      <c r="B29" s="188" t="s">
        <v>1633</v>
      </c>
      <c r="C29" s="251">
        <v>200</v>
      </c>
      <c r="D29" s="250" t="s">
        <v>248</v>
      </c>
      <c r="E29" s="253">
        <f>SUM(F29:N29)</f>
        <v>0</v>
      </c>
      <c r="F29" s="620">
        <f>E85</f>
        <v>0</v>
      </c>
      <c r="G29" s="105"/>
      <c r="H29" s="253">
        <f>E87</f>
        <v>0</v>
      </c>
      <c r="I29" s="253">
        <f>E88</f>
        <v>0</v>
      </c>
      <c r="J29" s="253">
        <f>E89</f>
        <v>0</v>
      </c>
      <c r="K29" s="253">
        <f>E90</f>
        <v>0</v>
      </c>
      <c r="L29" s="105"/>
      <c r="M29" s="253">
        <f>E92</f>
        <v>0</v>
      </c>
      <c r="N29" s="255">
        <f>E93</f>
        <v>0</v>
      </c>
    </row>
    <row r="30" spans="1:66" ht="21.95" customHeight="1" x14ac:dyDescent="0.2">
      <c r="B30" s="213" t="s">
        <v>1634</v>
      </c>
      <c r="C30" s="218">
        <v>210</v>
      </c>
      <c r="D30" s="217" t="s">
        <v>248</v>
      </c>
      <c r="E30" s="220">
        <f>SUM(F30:N30)</f>
        <v>0</v>
      </c>
      <c r="F30" s="618"/>
      <c r="G30" s="99"/>
      <c r="H30" s="228"/>
      <c r="I30" s="228"/>
      <c r="J30" s="228"/>
      <c r="K30" s="228"/>
      <c r="L30" s="99"/>
      <c r="M30" s="228"/>
      <c r="N30" s="297"/>
    </row>
    <row r="31" spans="1:66" ht="21.95" customHeight="1" x14ac:dyDescent="0.2">
      <c r="B31" s="213" t="s">
        <v>1635</v>
      </c>
      <c r="C31" s="218">
        <v>220</v>
      </c>
      <c r="D31" s="217" t="s">
        <v>248</v>
      </c>
      <c r="E31" s="220">
        <f>SUM(F31:N31)</f>
        <v>0</v>
      </c>
      <c r="F31" s="612">
        <f>F27-F29-F30</f>
        <v>0</v>
      </c>
      <c r="G31" s="99"/>
      <c r="H31" s="220">
        <f>H27-H29-H30</f>
        <v>0</v>
      </c>
      <c r="I31" s="220">
        <f>I27-I29-I30</f>
        <v>0</v>
      </c>
      <c r="J31" s="220">
        <f>J27-J29-J30</f>
        <v>0</v>
      </c>
      <c r="K31" s="220">
        <f>K27-K29-K30</f>
        <v>0</v>
      </c>
      <c r="L31" s="99"/>
      <c r="M31" s="220">
        <f>M27-M29-M30</f>
        <v>0</v>
      </c>
      <c r="N31" s="222">
        <f>N27-N29-N30</f>
        <v>0</v>
      </c>
    </row>
    <row r="32" spans="1:66" ht="48" customHeight="1" x14ac:dyDescent="0.2">
      <c r="B32" s="336" t="s">
        <v>1636</v>
      </c>
      <c r="C32" s="446"/>
      <c r="D32" s="579"/>
      <c r="E32" s="258"/>
      <c r="F32" s="632"/>
      <c r="G32" s="99"/>
      <c r="H32" s="258"/>
      <c r="I32" s="258"/>
      <c r="J32" s="258"/>
      <c r="K32" s="258"/>
      <c r="L32" s="99"/>
      <c r="M32" s="258"/>
      <c r="N32" s="331"/>
    </row>
    <row r="33" spans="2:14" ht="21.95" customHeight="1" x14ac:dyDescent="0.2">
      <c r="B33" s="974" t="s">
        <v>1637</v>
      </c>
      <c r="C33" s="510">
        <v>230</v>
      </c>
      <c r="D33" s="975" t="s">
        <v>248</v>
      </c>
      <c r="E33" s="977"/>
      <c r="F33" s="626"/>
      <c r="G33" s="99"/>
      <c r="H33" s="419"/>
      <c r="I33" s="419"/>
      <c r="J33" s="419"/>
      <c r="K33" s="419"/>
      <c r="L33" s="99"/>
      <c r="M33" s="419"/>
      <c r="N33" s="578"/>
    </row>
    <row r="34" spans="2:14" ht="27" customHeight="1" thickBot="1" x14ac:dyDescent="0.25">
      <c r="B34" s="1116" t="s">
        <v>1638</v>
      </c>
      <c r="C34" s="499">
        <v>240</v>
      </c>
      <c r="D34" s="976" t="s">
        <v>248</v>
      </c>
      <c r="E34" s="756">
        <f>'1314TRU19_PRV_P16'!E33</f>
        <v>0</v>
      </c>
      <c r="F34" s="633"/>
      <c r="G34" s="99"/>
      <c r="H34" s="340"/>
      <c r="I34" s="340"/>
      <c r="J34" s="340"/>
      <c r="K34" s="340"/>
      <c r="L34" s="99"/>
      <c r="M34" s="340"/>
      <c r="N34" s="372"/>
    </row>
    <row r="35" spans="2:14" ht="13.5" thickTop="1" x14ac:dyDescent="0.2">
      <c r="C35" s="157"/>
      <c r="D35" s="157"/>
      <c r="G35" s="99"/>
      <c r="L35" s="99"/>
    </row>
    <row r="36" spans="2:14" x14ac:dyDescent="0.2">
      <c r="C36" s="157"/>
      <c r="D36" s="157"/>
      <c r="G36" s="99"/>
      <c r="L36" s="99"/>
    </row>
    <row r="37" spans="2:14" ht="13.5" thickBot="1" x14ac:dyDescent="0.25">
      <c r="C37" s="157"/>
      <c r="D37" s="157"/>
      <c r="G37" s="99"/>
      <c r="L37" s="99"/>
    </row>
    <row r="38" spans="2:14" ht="13.5" thickTop="1" x14ac:dyDescent="0.2">
      <c r="B38" s="190"/>
      <c r="C38" s="195" t="s">
        <v>238</v>
      </c>
      <c r="D38" s="194"/>
      <c r="E38" s="353" t="s">
        <v>235</v>
      </c>
      <c r="F38" s="373"/>
      <c r="G38" s="99"/>
      <c r="H38" s="373"/>
      <c r="I38" s="373"/>
      <c r="J38" s="373"/>
      <c r="K38" s="373"/>
      <c r="L38" s="99"/>
      <c r="M38" s="373"/>
      <c r="N38" s="380"/>
    </row>
    <row r="39" spans="2:14" x14ac:dyDescent="0.2">
      <c r="B39" s="355" t="s">
        <v>1639</v>
      </c>
      <c r="C39" s="199" t="s">
        <v>242</v>
      </c>
      <c r="D39" s="131"/>
      <c r="E39" s="112"/>
      <c r="G39" s="99"/>
      <c r="L39" s="99"/>
      <c r="N39" s="379"/>
    </row>
    <row r="40" spans="2:14" ht="13.5" thickBot="1" x14ac:dyDescent="0.25">
      <c r="B40" s="188"/>
      <c r="C40" s="204"/>
      <c r="D40" s="138"/>
      <c r="E40" s="137"/>
      <c r="F40" s="701"/>
      <c r="G40" s="99"/>
      <c r="H40" s="701"/>
      <c r="I40" s="701"/>
      <c r="J40" s="701"/>
      <c r="K40" s="701"/>
      <c r="L40" s="99"/>
      <c r="M40" s="701"/>
      <c r="N40" s="379"/>
    </row>
    <row r="41" spans="2:14" ht="27" customHeight="1" x14ac:dyDescent="0.2">
      <c r="B41" s="243" t="s">
        <v>1640</v>
      </c>
      <c r="C41" s="207">
        <v>250</v>
      </c>
      <c r="D41" s="206" t="s">
        <v>1532</v>
      </c>
      <c r="E41" s="978"/>
      <c r="F41" s="979"/>
      <c r="G41" s="99"/>
      <c r="H41" s="979"/>
      <c r="I41" s="979"/>
      <c r="J41" s="979"/>
      <c r="K41" s="979"/>
      <c r="L41" s="99"/>
      <c r="M41" s="979"/>
      <c r="N41" s="980"/>
    </row>
    <row r="42" spans="2:14" ht="27" customHeight="1" x14ac:dyDescent="0.2">
      <c r="B42" s="245" t="s">
        <v>1641</v>
      </c>
      <c r="C42" s="218">
        <v>260</v>
      </c>
      <c r="D42" s="217" t="s">
        <v>1532</v>
      </c>
      <c r="E42" s="950"/>
      <c r="F42" s="951"/>
      <c r="G42" s="99"/>
      <c r="H42" s="951"/>
      <c r="I42" s="951"/>
      <c r="J42" s="951"/>
      <c r="K42" s="951"/>
      <c r="L42" s="99"/>
      <c r="M42" s="951"/>
      <c r="N42" s="953"/>
    </row>
    <row r="43" spans="2:14" ht="27" customHeight="1" x14ac:dyDescent="0.2">
      <c r="B43" s="245" t="s">
        <v>1642</v>
      </c>
      <c r="C43" s="234">
        <v>270</v>
      </c>
      <c r="D43" s="237" t="s">
        <v>1532</v>
      </c>
      <c r="E43" s="954"/>
      <c r="F43" s="956"/>
      <c r="G43" s="99"/>
      <c r="H43" s="956"/>
      <c r="I43" s="956"/>
      <c r="J43" s="956"/>
      <c r="K43" s="956"/>
      <c r="L43" s="99"/>
      <c r="M43" s="956"/>
      <c r="N43" s="953"/>
    </row>
    <row r="44" spans="2:14" ht="27" customHeight="1" thickBot="1" x14ac:dyDescent="0.25">
      <c r="B44" s="732" t="s">
        <v>1643</v>
      </c>
      <c r="C44" s="236">
        <v>280</v>
      </c>
      <c r="D44" s="235" t="s">
        <v>1532</v>
      </c>
      <c r="E44" s="955"/>
      <c r="F44" s="957"/>
      <c r="G44" s="99"/>
      <c r="H44" s="957"/>
      <c r="I44" s="957"/>
      <c r="J44" s="957"/>
      <c r="K44" s="957"/>
      <c r="L44" s="99"/>
      <c r="M44" s="957"/>
      <c r="N44" s="958"/>
    </row>
    <row r="45" spans="2:14" ht="13.5" thickTop="1" x14ac:dyDescent="0.2">
      <c r="C45" s="157"/>
      <c r="D45" s="157"/>
      <c r="G45" s="99"/>
      <c r="L45" s="99"/>
    </row>
    <row r="46" spans="2:14" x14ac:dyDescent="0.2">
      <c r="C46" s="157"/>
      <c r="D46" s="157"/>
      <c r="G46" s="99"/>
      <c r="L46" s="99"/>
    </row>
    <row r="47" spans="2:14" ht="13.5" thickBot="1" x14ac:dyDescent="0.25">
      <c r="C47" s="157"/>
      <c r="D47" s="157"/>
      <c r="G47" s="99"/>
      <c r="L47" s="99"/>
    </row>
    <row r="48" spans="2:14" ht="13.5" thickTop="1" x14ac:dyDescent="0.2">
      <c r="B48" s="190"/>
      <c r="C48" s="195" t="s">
        <v>238</v>
      </c>
      <c r="D48" s="195" t="s">
        <v>25</v>
      </c>
      <c r="E48" s="353" t="s">
        <v>235</v>
      </c>
      <c r="F48" s="293" t="s">
        <v>236</v>
      </c>
      <c r="G48" s="99"/>
      <c r="L48" s="99"/>
    </row>
    <row r="49" spans="2:12" x14ac:dyDescent="0.2">
      <c r="B49" s="981" t="s">
        <v>1644</v>
      </c>
      <c r="C49" s="510" t="s">
        <v>242</v>
      </c>
      <c r="D49" s="510"/>
      <c r="E49" s="201" t="s">
        <v>300</v>
      </c>
      <c r="F49" s="202" t="s">
        <v>240</v>
      </c>
      <c r="G49" s="99"/>
      <c r="L49" s="99"/>
    </row>
    <row r="50" spans="2:12" ht="13.5" thickBot="1" x14ac:dyDescent="0.25">
      <c r="B50" s="198"/>
      <c r="C50" s="204"/>
      <c r="D50" s="204"/>
      <c r="E50" s="278" t="s">
        <v>243</v>
      </c>
      <c r="F50" s="202" t="s">
        <v>243</v>
      </c>
      <c r="G50" s="99"/>
      <c r="L50" s="99"/>
    </row>
    <row r="51" spans="2:12" ht="21.95" customHeight="1" x14ac:dyDescent="0.2">
      <c r="B51" s="314" t="s">
        <v>1645</v>
      </c>
      <c r="C51" s="763"/>
      <c r="D51" s="735"/>
      <c r="E51" s="317"/>
      <c r="F51" s="318"/>
      <c r="G51" s="99"/>
      <c r="L51" s="99"/>
    </row>
    <row r="52" spans="2:12" ht="21.95" customHeight="1" x14ac:dyDescent="0.2">
      <c r="B52" s="188" t="s">
        <v>1646</v>
      </c>
      <c r="C52" s="251">
        <v>294</v>
      </c>
      <c r="D52" s="250" t="s">
        <v>245</v>
      </c>
      <c r="E52" s="422"/>
      <c r="F52" s="578"/>
    </row>
    <row r="53" spans="2:12" ht="27" customHeight="1" x14ac:dyDescent="0.2">
      <c r="B53" s="245" t="s">
        <v>1647</v>
      </c>
      <c r="C53" s="218">
        <v>296</v>
      </c>
      <c r="D53" s="217" t="s">
        <v>245</v>
      </c>
      <c r="E53" s="228"/>
      <c r="F53" s="298"/>
      <c r="G53" s="99"/>
      <c r="L53" s="99"/>
    </row>
    <row r="54" spans="2:12" ht="21.95" customHeight="1" x14ac:dyDescent="0.2">
      <c r="B54" s="213" t="s">
        <v>1622</v>
      </c>
      <c r="C54" s="218">
        <v>298</v>
      </c>
      <c r="D54" s="219" t="s">
        <v>245</v>
      </c>
      <c r="E54" s="228"/>
      <c r="F54" s="331"/>
    </row>
    <row r="55" spans="2:12" ht="27" customHeight="1" x14ac:dyDescent="0.2">
      <c r="B55" s="266" t="s">
        <v>1648</v>
      </c>
      <c r="C55" s="218">
        <v>300</v>
      </c>
      <c r="D55" s="217" t="s">
        <v>245</v>
      </c>
      <c r="E55" s="228"/>
      <c r="F55" s="298"/>
      <c r="G55" s="99"/>
      <c r="L55" s="99"/>
    </row>
    <row r="56" spans="2:12" ht="21.95" customHeight="1" x14ac:dyDescent="0.2">
      <c r="B56" s="213" t="s">
        <v>1649</v>
      </c>
      <c r="C56" s="218">
        <v>310</v>
      </c>
      <c r="D56" s="217" t="s">
        <v>248</v>
      </c>
      <c r="E56" s="228"/>
      <c r="F56" s="298"/>
      <c r="G56" s="99"/>
      <c r="L56" s="99"/>
    </row>
    <row r="57" spans="2:12" ht="21.95" customHeight="1" x14ac:dyDescent="0.2">
      <c r="B57" s="226" t="s">
        <v>1650</v>
      </c>
      <c r="C57" s="218">
        <v>320</v>
      </c>
      <c r="D57" s="217" t="s">
        <v>245</v>
      </c>
      <c r="E57" s="224">
        <f>SUM(E52:E56)</f>
        <v>0</v>
      </c>
      <c r="F57" s="299">
        <f>SUM(F52:F56)</f>
        <v>0</v>
      </c>
      <c r="G57" s="99"/>
      <c r="L57" s="99"/>
    </row>
    <row r="58" spans="2:12" ht="21.95" customHeight="1" x14ac:dyDescent="0.2">
      <c r="B58" s="226" t="s">
        <v>1651</v>
      </c>
      <c r="C58" s="446"/>
      <c r="D58" s="579"/>
      <c r="E58" s="258"/>
      <c r="F58" s="331"/>
      <c r="G58" s="99"/>
      <c r="L58" s="99"/>
    </row>
    <row r="59" spans="2:12" ht="21.95" customHeight="1" thickBot="1" x14ac:dyDescent="0.25">
      <c r="B59" s="982" t="s">
        <v>1652</v>
      </c>
      <c r="C59" s="426">
        <v>330</v>
      </c>
      <c r="D59" s="425" t="s">
        <v>248</v>
      </c>
      <c r="E59" s="741"/>
      <c r="F59" s="753"/>
      <c r="G59" s="99"/>
      <c r="L59" s="99"/>
    </row>
    <row r="60" spans="2:12" ht="13.5" thickTop="1" x14ac:dyDescent="0.2">
      <c r="B60" s="97" t="s">
        <v>1653</v>
      </c>
      <c r="C60" s="157"/>
      <c r="D60" s="157"/>
      <c r="G60" s="99"/>
      <c r="L60" s="99"/>
    </row>
    <row r="61" spans="2:12" x14ac:dyDescent="0.2">
      <c r="B61" s="97" t="s">
        <v>1654</v>
      </c>
      <c r="C61" s="157"/>
      <c r="D61" s="157"/>
      <c r="G61" s="99"/>
      <c r="L61" s="99"/>
    </row>
    <row r="62" spans="2:12" ht="13.5" thickBot="1" x14ac:dyDescent="0.25">
      <c r="C62" s="157"/>
      <c r="D62" s="157"/>
      <c r="G62" s="99"/>
      <c r="L62" s="99"/>
    </row>
    <row r="63" spans="2:12" ht="13.5" thickTop="1" x14ac:dyDescent="0.2">
      <c r="B63" s="242"/>
      <c r="C63" s="195" t="s">
        <v>238</v>
      </c>
      <c r="D63" s="195" t="s">
        <v>25</v>
      </c>
      <c r="E63" s="353" t="s">
        <v>235</v>
      </c>
      <c r="F63" s="293" t="s">
        <v>236</v>
      </c>
      <c r="G63" s="99"/>
      <c r="L63" s="99"/>
    </row>
    <row r="64" spans="2:12" x14ac:dyDescent="0.2">
      <c r="B64" s="981" t="s">
        <v>1655</v>
      </c>
      <c r="C64" s="510" t="s">
        <v>242</v>
      </c>
      <c r="D64" s="510"/>
      <c r="E64" s="201" t="s">
        <v>300</v>
      </c>
      <c r="F64" s="202" t="s">
        <v>240</v>
      </c>
      <c r="G64" s="99"/>
      <c r="L64" s="99"/>
    </row>
    <row r="65" spans="1:66" ht="13.5" thickBot="1" x14ac:dyDescent="0.25">
      <c r="B65" s="188"/>
      <c r="C65" s="138"/>
      <c r="D65" s="138"/>
      <c r="E65" s="278" t="s">
        <v>243</v>
      </c>
      <c r="F65" s="202" t="s">
        <v>243</v>
      </c>
      <c r="G65" s="99"/>
      <c r="L65" s="99"/>
    </row>
    <row r="66" spans="1:66" ht="21.95" customHeight="1" x14ac:dyDescent="0.2">
      <c r="B66" s="189" t="s">
        <v>1656</v>
      </c>
      <c r="C66" s="207">
        <v>340</v>
      </c>
      <c r="D66" s="206" t="s">
        <v>248</v>
      </c>
      <c r="E66" s="356"/>
      <c r="F66" s="304"/>
      <c r="G66" s="99"/>
      <c r="L66" s="99"/>
    </row>
    <row r="67" spans="1:66" ht="21.95" customHeight="1" x14ac:dyDescent="0.2">
      <c r="B67" s="213" t="s">
        <v>1657</v>
      </c>
      <c r="C67" s="218">
        <v>350</v>
      </c>
      <c r="D67" s="217" t="s">
        <v>248</v>
      </c>
      <c r="E67" s="228"/>
      <c r="F67" s="298"/>
      <c r="G67" s="99"/>
      <c r="L67" s="99"/>
    </row>
    <row r="68" spans="1:66" ht="21.95" customHeight="1" x14ac:dyDescent="0.2">
      <c r="B68" s="213" t="s">
        <v>1658</v>
      </c>
      <c r="C68" s="234">
        <v>360</v>
      </c>
      <c r="D68" s="237" t="s">
        <v>248</v>
      </c>
      <c r="E68" s="396"/>
      <c r="F68" s="298"/>
      <c r="G68" s="99"/>
      <c r="L68" s="99"/>
    </row>
    <row r="69" spans="1:66" ht="21.95" customHeight="1" thickBot="1" x14ac:dyDescent="0.25">
      <c r="B69" s="233" t="s">
        <v>340</v>
      </c>
      <c r="C69" s="236">
        <v>370</v>
      </c>
      <c r="D69" s="235" t="s">
        <v>248</v>
      </c>
      <c r="E69" s="240">
        <f>SUM(E66:E68)</f>
        <v>0</v>
      </c>
      <c r="F69" s="301">
        <f>SUM(F66:F68)</f>
        <v>0</v>
      </c>
      <c r="G69" s="99"/>
      <c r="L69" s="99"/>
    </row>
    <row r="70" spans="1:66" ht="13.5" thickTop="1" x14ac:dyDescent="0.2">
      <c r="G70" s="99"/>
      <c r="L70" s="99"/>
    </row>
    <row r="71" spans="1:66" ht="13.5" thickBot="1" x14ac:dyDescent="0.25">
      <c r="G71" s="99"/>
      <c r="L71" s="99"/>
    </row>
    <row r="72" spans="1:66" ht="13.5" hidden="1" thickBot="1" x14ac:dyDescent="0.25">
      <c r="A72" s="99"/>
      <c r="B72" s="100"/>
      <c r="C72" s="102" t="s">
        <v>238</v>
      </c>
      <c r="D72" s="102" t="s">
        <v>25</v>
      </c>
      <c r="E72" s="102" t="s">
        <v>235</v>
      </c>
      <c r="F72" s="102" t="s">
        <v>236</v>
      </c>
      <c r="G72" s="102" t="s">
        <v>293</v>
      </c>
      <c r="H72" s="102" t="s">
        <v>294</v>
      </c>
      <c r="I72" s="102" t="s">
        <v>295</v>
      </c>
      <c r="J72" s="102" t="s">
        <v>296</v>
      </c>
      <c r="K72" s="102" t="s">
        <v>342</v>
      </c>
      <c r="L72" s="102" t="s">
        <v>297</v>
      </c>
      <c r="M72" s="102" t="s">
        <v>298</v>
      </c>
      <c r="N72" s="102" t="s">
        <v>299</v>
      </c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99"/>
      <c r="AY72" s="99"/>
      <c r="AZ72" s="100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</row>
    <row r="73" spans="1:66" ht="13.5" hidden="1" thickBot="1" x14ac:dyDescent="0.25">
      <c r="A73" s="99"/>
      <c r="B73" s="102" t="s">
        <v>1659</v>
      </c>
      <c r="C73" s="102" t="s">
        <v>242</v>
      </c>
      <c r="D73" s="102"/>
      <c r="E73" s="102" t="s">
        <v>239</v>
      </c>
      <c r="F73" s="102" t="s">
        <v>1660</v>
      </c>
      <c r="G73" s="102" t="s">
        <v>1616</v>
      </c>
      <c r="H73" s="102" t="s">
        <v>1617</v>
      </c>
      <c r="I73" s="102" t="s">
        <v>1618</v>
      </c>
      <c r="J73" s="102" t="s">
        <v>1619</v>
      </c>
      <c r="K73" s="102" t="s">
        <v>1661</v>
      </c>
      <c r="L73" s="102" t="s">
        <v>1621</v>
      </c>
      <c r="M73" s="102" t="s">
        <v>352</v>
      </c>
      <c r="N73" s="102" t="s">
        <v>1622</v>
      </c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99"/>
      <c r="AY73" s="99"/>
      <c r="AZ73" s="100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</row>
    <row r="74" spans="1:66" ht="13.5" hidden="1" thickBot="1" x14ac:dyDescent="0.25">
      <c r="A74" s="99"/>
      <c r="B74" s="100"/>
      <c r="C74" s="100"/>
      <c r="D74" s="100"/>
      <c r="E74" s="102" t="s">
        <v>243</v>
      </c>
      <c r="F74" s="102" t="s">
        <v>243</v>
      </c>
      <c r="G74" s="102" t="s">
        <v>243</v>
      </c>
      <c r="H74" s="102" t="s">
        <v>243</v>
      </c>
      <c r="I74" s="102" t="s">
        <v>243</v>
      </c>
      <c r="J74" s="102" t="s">
        <v>243</v>
      </c>
      <c r="K74" s="102" t="s">
        <v>243</v>
      </c>
      <c r="L74" s="102" t="s">
        <v>243</v>
      </c>
      <c r="M74" s="102" t="s">
        <v>243</v>
      </c>
      <c r="N74" s="102" t="s">
        <v>243</v>
      </c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99"/>
      <c r="AY74" s="99"/>
      <c r="AZ74" s="100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</row>
    <row r="75" spans="1:66" ht="13.5" hidden="1" thickBot="1" x14ac:dyDescent="0.25">
      <c r="A75" s="99"/>
      <c r="B75" s="99" t="s">
        <v>1662</v>
      </c>
      <c r="C75" s="102">
        <v>400</v>
      </c>
      <c r="D75" s="99" t="s">
        <v>248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</row>
    <row r="76" spans="1:66" ht="13.5" hidden="1" thickBot="1" x14ac:dyDescent="0.25">
      <c r="A76" s="99"/>
      <c r="B76" s="99" t="s">
        <v>1663</v>
      </c>
      <c r="C76" s="102">
        <v>410</v>
      </c>
      <c r="D76" s="99" t="s">
        <v>248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</row>
    <row r="77" spans="1:66" ht="13.5" hidden="1" thickBot="1" x14ac:dyDescent="0.25">
      <c r="A77" s="99"/>
      <c r="B77" s="102" t="s">
        <v>340</v>
      </c>
      <c r="C77" s="102">
        <v>420</v>
      </c>
      <c r="D77" s="99" t="s">
        <v>248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</row>
    <row r="78" spans="1:66" ht="13.5" hidden="1" thickBot="1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</row>
    <row r="79" spans="1:66" ht="13.5" hidden="1" thickBot="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</row>
    <row r="80" spans="1:66" ht="14.25" thickTop="1" thickBot="1" x14ac:dyDescent="0.25">
      <c r="B80" s="212"/>
      <c r="C80" s="212"/>
      <c r="D80" s="212"/>
      <c r="E80" s="983"/>
      <c r="F80" s="984" t="s">
        <v>1320</v>
      </c>
      <c r="G80" s="423"/>
      <c r="H80" s="985"/>
      <c r="I80" s="983"/>
      <c r="J80" s="984" t="s">
        <v>1321</v>
      </c>
      <c r="K80" s="985"/>
      <c r="L80" s="423"/>
      <c r="M80" s="986"/>
    </row>
    <row r="81" spans="1:66" ht="13.5" thickTop="1" x14ac:dyDescent="0.2">
      <c r="B81" s="987"/>
      <c r="C81" s="468"/>
      <c r="D81" s="468" t="s">
        <v>25</v>
      </c>
      <c r="E81" s="468" t="s">
        <v>235</v>
      </c>
      <c r="F81" s="468" t="s">
        <v>236</v>
      </c>
      <c r="G81" s="103" t="s">
        <v>293</v>
      </c>
      <c r="H81" s="468" t="s">
        <v>294</v>
      </c>
      <c r="I81" s="468" t="s">
        <v>295</v>
      </c>
      <c r="J81" s="468" t="s">
        <v>296</v>
      </c>
      <c r="K81" s="468" t="s">
        <v>342</v>
      </c>
      <c r="L81" s="103" t="s">
        <v>297</v>
      </c>
      <c r="M81" s="913" t="s">
        <v>298</v>
      </c>
    </row>
    <row r="82" spans="1:66" ht="76.5" x14ac:dyDescent="0.2">
      <c r="B82" s="981" t="s">
        <v>1664</v>
      </c>
      <c r="C82" s="471" t="s">
        <v>238</v>
      </c>
      <c r="D82" s="471"/>
      <c r="E82" s="471" t="s">
        <v>239</v>
      </c>
      <c r="F82" s="471" t="s">
        <v>1665</v>
      </c>
      <c r="G82" s="103" t="s">
        <v>1666</v>
      </c>
      <c r="H82" s="471" t="s">
        <v>302</v>
      </c>
      <c r="I82" s="471" t="s">
        <v>1667</v>
      </c>
      <c r="J82" s="471" t="s">
        <v>387</v>
      </c>
      <c r="K82" s="471" t="s">
        <v>303</v>
      </c>
      <c r="L82" s="103" t="s">
        <v>304</v>
      </c>
      <c r="M82" s="988" t="s">
        <v>1550</v>
      </c>
    </row>
    <row r="83" spans="1:66" ht="13.5" thickBot="1" x14ac:dyDescent="0.25">
      <c r="B83" s="981"/>
      <c r="C83" s="472" t="s">
        <v>242</v>
      </c>
      <c r="D83" s="472"/>
      <c r="E83" s="472" t="s">
        <v>243</v>
      </c>
      <c r="F83" s="472" t="s">
        <v>243</v>
      </c>
      <c r="G83" s="103" t="s">
        <v>243</v>
      </c>
      <c r="H83" s="472" t="s">
        <v>243</v>
      </c>
      <c r="I83" s="472" t="s">
        <v>243</v>
      </c>
      <c r="J83" s="472" t="s">
        <v>243</v>
      </c>
      <c r="K83" s="472" t="s">
        <v>243</v>
      </c>
      <c r="L83" s="103" t="s">
        <v>243</v>
      </c>
      <c r="M83" s="988" t="s">
        <v>243</v>
      </c>
    </row>
    <row r="84" spans="1:66" ht="21.95" customHeight="1" x14ac:dyDescent="0.2">
      <c r="B84" s="727" t="s">
        <v>1248</v>
      </c>
      <c r="C84" s="989"/>
      <c r="D84" s="946"/>
      <c r="E84" s="317"/>
      <c r="F84" s="317"/>
      <c r="G84" s="99"/>
      <c r="H84" s="317"/>
      <c r="I84" s="317"/>
      <c r="J84" s="317"/>
      <c r="K84" s="317"/>
      <c r="L84" s="99"/>
      <c r="M84" s="318"/>
    </row>
    <row r="85" spans="1:66" ht="21.95" customHeight="1" x14ac:dyDescent="0.2">
      <c r="B85" s="972" t="s">
        <v>1615</v>
      </c>
      <c r="C85" s="477">
        <v>500</v>
      </c>
      <c r="D85" s="973" t="s">
        <v>248</v>
      </c>
      <c r="E85" s="422"/>
      <c r="F85" s="422"/>
      <c r="G85" s="99"/>
      <c r="H85" s="253">
        <f>F85-M85</f>
        <v>0</v>
      </c>
      <c r="I85" s="321"/>
      <c r="J85" s="321"/>
      <c r="K85" s="321"/>
      <c r="L85" s="99"/>
      <c r="M85" s="802"/>
    </row>
    <row r="86" spans="1:66" hidden="1" x14ac:dyDescent="0.2">
      <c r="A86" s="99"/>
      <c r="B86" s="423" t="s">
        <v>1616</v>
      </c>
      <c r="C86" s="173">
        <v>510</v>
      </c>
      <c r="D86" s="990" t="s">
        <v>248</v>
      </c>
      <c r="E86" s="99"/>
      <c r="F86" s="99"/>
      <c r="G86" s="99"/>
      <c r="H86" s="99"/>
      <c r="I86" s="99"/>
      <c r="J86" s="99"/>
      <c r="K86" s="99"/>
      <c r="L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</row>
    <row r="87" spans="1:66" ht="21.95" customHeight="1" x14ac:dyDescent="0.2">
      <c r="B87" s="974" t="s">
        <v>1617</v>
      </c>
      <c r="C87" s="477">
        <v>520</v>
      </c>
      <c r="D87" s="973" t="s">
        <v>248</v>
      </c>
      <c r="E87" s="422"/>
      <c r="F87" s="422"/>
      <c r="G87" s="99"/>
      <c r="H87" s="253">
        <f>F87-M87</f>
        <v>0</v>
      </c>
      <c r="I87" s="321"/>
      <c r="J87" s="321"/>
      <c r="K87" s="321"/>
      <c r="L87" s="99"/>
      <c r="M87" s="307"/>
    </row>
    <row r="88" spans="1:66" ht="21.95" customHeight="1" x14ac:dyDescent="0.2">
      <c r="B88" s="730" t="s">
        <v>1618</v>
      </c>
      <c r="C88" s="481">
        <v>530</v>
      </c>
      <c r="D88" s="728" t="s">
        <v>248</v>
      </c>
      <c r="E88" s="228"/>
      <c r="F88" s="228"/>
      <c r="G88" s="99"/>
      <c r="H88" s="220">
        <f>F88-M88</f>
        <v>0</v>
      </c>
      <c r="I88" s="324"/>
      <c r="J88" s="324"/>
      <c r="K88" s="324"/>
      <c r="L88" s="99"/>
      <c r="M88" s="298"/>
    </row>
    <row r="89" spans="1:66" ht="21.95" customHeight="1" x14ac:dyDescent="0.2">
      <c r="B89" s="730" t="s">
        <v>1619</v>
      </c>
      <c r="C89" s="481">
        <v>540</v>
      </c>
      <c r="D89" s="728" t="s">
        <v>248</v>
      </c>
      <c r="E89" s="228"/>
      <c r="F89" s="228"/>
      <c r="G89" s="99"/>
      <c r="H89" s="220">
        <f>F89-M89</f>
        <v>0</v>
      </c>
      <c r="I89" s="324"/>
      <c r="J89" s="324"/>
      <c r="K89" s="324"/>
      <c r="L89" s="99"/>
      <c r="M89" s="298"/>
    </row>
    <row r="90" spans="1:66" ht="21.95" customHeight="1" x14ac:dyDescent="0.2">
      <c r="B90" s="833" t="s">
        <v>1624</v>
      </c>
      <c r="C90" s="481">
        <v>550</v>
      </c>
      <c r="D90" s="728" t="s">
        <v>248</v>
      </c>
      <c r="E90" s="228"/>
      <c r="F90" s="228"/>
      <c r="G90" s="99"/>
      <c r="H90" s="220">
        <f>F90-M90</f>
        <v>0</v>
      </c>
      <c r="I90" s="324"/>
      <c r="J90" s="324"/>
      <c r="K90" s="324"/>
      <c r="L90" s="99"/>
      <c r="M90" s="305"/>
    </row>
    <row r="91" spans="1:66" hidden="1" x14ac:dyDescent="0.2">
      <c r="A91" s="99"/>
      <c r="B91" s="423" t="s">
        <v>1621</v>
      </c>
      <c r="C91" s="173">
        <v>560</v>
      </c>
      <c r="D91" s="990" t="s">
        <v>248</v>
      </c>
      <c r="E91" s="99"/>
      <c r="F91" s="99"/>
      <c r="G91" s="99"/>
      <c r="H91" s="99"/>
      <c r="I91" s="99"/>
      <c r="J91" s="99"/>
      <c r="K91" s="99"/>
      <c r="L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</row>
    <row r="92" spans="1:66" ht="21.95" customHeight="1" x14ac:dyDescent="0.2">
      <c r="B92" s="974" t="s">
        <v>352</v>
      </c>
      <c r="C92" s="477">
        <v>570</v>
      </c>
      <c r="D92" s="973" t="s">
        <v>248</v>
      </c>
      <c r="E92" s="422"/>
      <c r="F92" s="422"/>
      <c r="G92" s="99"/>
      <c r="H92" s="253">
        <f>F92-M92</f>
        <v>0</v>
      </c>
      <c r="I92" s="321"/>
      <c r="J92" s="321"/>
      <c r="K92" s="321"/>
      <c r="L92" s="99"/>
      <c r="M92" s="307"/>
    </row>
    <row r="93" spans="1:66" ht="21.95" customHeight="1" x14ac:dyDescent="0.2">
      <c r="B93" s="730" t="s">
        <v>1622</v>
      </c>
      <c r="C93" s="481">
        <v>580</v>
      </c>
      <c r="D93" s="482" t="s">
        <v>248</v>
      </c>
      <c r="E93" s="228"/>
      <c r="F93" s="228"/>
      <c r="G93" s="99"/>
      <c r="H93" s="220">
        <f>F93-M93</f>
        <v>0</v>
      </c>
      <c r="I93" s="324"/>
      <c r="J93" s="324"/>
      <c r="K93" s="324"/>
      <c r="L93" s="99"/>
      <c r="M93" s="298"/>
    </row>
    <row r="94" spans="1:66" ht="21.95" customHeight="1" thickBot="1" x14ac:dyDescent="0.25">
      <c r="B94" s="729" t="s">
        <v>1668</v>
      </c>
      <c r="C94" s="991">
        <v>590</v>
      </c>
      <c r="D94" s="992" t="s">
        <v>248</v>
      </c>
      <c r="E94" s="834">
        <f>SUM(E85:E93)</f>
        <v>0</v>
      </c>
      <c r="F94" s="834">
        <f>SUM(F85:F93)</f>
        <v>0</v>
      </c>
      <c r="G94" s="102"/>
      <c r="H94" s="834">
        <f>SUM(H85:H93)</f>
        <v>0</v>
      </c>
      <c r="I94" s="937"/>
      <c r="J94" s="937"/>
      <c r="K94" s="937"/>
      <c r="L94" s="102"/>
      <c r="M94" s="299">
        <f>SUM(M85:M93)</f>
        <v>0</v>
      </c>
    </row>
    <row r="95" spans="1:66" ht="21.95" customHeight="1" x14ac:dyDescent="0.2">
      <c r="B95" s="727" t="s">
        <v>1346</v>
      </c>
      <c r="C95" s="513"/>
      <c r="D95" s="993"/>
      <c r="E95" s="317"/>
      <c r="F95" s="317"/>
      <c r="G95" s="99"/>
      <c r="H95" s="317"/>
      <c r="I95" s="317"/>
      <c r="J95" s="317"/>
      <c r="K95" s="317"/>
      <c r="L95" s="99"/>
      <c r="M95" s="318"/>
    </row>
    <row r="96" spans="1:66" ht="21.95" customHeight="1" x14ac:dyDescent="0.2">
      <c r="B96" s="972" t="s">
        <v>1669</v>
      </c>
      <c r="C96" s="477">
        <v>600</v>
      </c>
      <c r="D96" s="973" t="s">
        <v>248</v>
      </c>
      <c r="E96" s="337">
        <f>SUM(F27-F29)</f>
        <v>0</v>
      </c>
      <c r="F96" s="422"/>
      <c r="G96" s="99"/>
      <c r="H96" s="253">
        <f>F96-M96</f>
        <v>0</v>
      </c>
      <c r="I96" s="321"/>
      <c r="J96" s="321"/>
      <c r="K96" s="321"/>
      <c r="L96" s="99"/>
      <c r="M96" s="802"/>
    </row>
    <row r="97" spans="1:66" hidden="1" x14ac:dyDescent="0.2">
      <c r="A97" s="99"/>
      <c r="B97" s="423" t="s">
        <v>1616</v>
      </c>
      <c r="C97" s="173">
        <v>610</v>
      </c>
      <c r="D97" s="990" t="s">
        <v>248</v>
      </c>
      <c r="E97" s="100"/>
      <c r="F97" s="99"/>
      <c r="G97" s="99"/>
      <c r="H97" s="99"/>
      <c r="I97" s="99"/>
      <c r="J97" s="99"/>
      <c r="K97" s="99"/>
      <c r="L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</row>
    <row r="98" spans="1:66" ht="21.95" customHeight="1" x14ac:dyDescent="0.2">
      <c r="B98" s="974" t="s">
        <v>1617</v>
      </c>
      <c r="C98" s="477">
        <v>620</v>
      </c>
      <c r="D98" s="973" t="s">
        <v>248</v>
      </c>
      <c r="E98" s="337">
        <f>SUM(H27-H29)</f>
        <v>0</v>
      </c>
      <c r="F98" s="422"/>
      <c r="G98" s="99"/>
      <c r="H98" s="253">
        <f>F98-M98</f>
        <v>0</v>
      </c>
      <c r="I98" s="321"/>
      <c r="J98" s="321"/>
      <c r="K98" s="321"/>
      <c r="L98" s="99"/>
      <c r="M98" s="307"/>
    </row>
    <row r="99" spans="1:66" ht="21.95" customHeight="1" x14ac:dyDescent="0.2">
      <c r="B99" s="730" t="s">
        <v>1618</v>
      </c>
      <c r="C99" s="481">
        <v>630</v>
      </c>
      <c r="D99" s="728" t="s">
        <v>248</v>
      </c>
      <c r="E99" s="338">
        <f>SUM(I27-I29)</f>
        <v>0</v>
      </c>
      <c r="F99" s="228"/>
      <c r="G99" s="99"/>
      <c r="H99" s="220">
        <f>F99-M99</f>
        <v>0</v>
      </c>
      <c r="I99" s="324"/>
      <c r="J99" s="324"/>
      <c r="K99" s="324"/>
      <c r="L99" s="99"/>
      <c r="M99" s="298"/>
    </row>
    <row r="100" spans="1:66" ht="21.95" customHeight="1" x14ac:dyDescent="0.2">
      <c r="B100" s="730" t="s">
        <v>1619</v>
      </c>
      <c r="C100" s="481">
        <v>640</v>
      </c>
      <c r="D100" s="728" t="s">
        <v>248</v>
      </c>
      <c r="E100" s="338">
        <f>SUM(J27-J29)</f>
        <v>0</v>
      </c>
      <c r="F100" s="228"/>
      <c r="G100" s="99"/>
      <c r="H100" s="220">
        <f>F100-M100</f>
        <v>0</v>
      </c>
      <c r="I100" s="324"/>
      <c r="J100" s="324"/>
      <c r="K100" s="324"/>
      <c r="L100" s="99"/>
      <c r="M100" s="298"/>
    </row>
    <row r="101" spans="1:66" ht="21.95" customHeight="1" x14ac:dyDescent="0.2">
      <c r="B101" s="833" t="s">
        <v>1624</v>
      </c>
      <c r="C101" s="481">
        <v>650</v>
      </c>
      <c r="D101" s="728" t="s">
        <v>248</v>
      </c>
      <c r="E101" s="338">
        <f>SUM(K27-K29)</f>
        <v>0</v>
      </c>
      <c r="F101" s="228"/>
      <c r="G101" s="99"/>
      <c r="H101" s="220">
        <f>F101-M101</f>
        <v>0</v>
      </c>
      <c r="I101" s="324"/>
      <c r="J101" s="324"/>
      <c r="K101" s="324"/>
      <c r="L101" s="99"/>
      <c r="M101" s="305"/>
    </row>
    <row r="102" spans="1:66" hidden="1" x14ac:dyDescent="0.2">
      <c r="A102" s="99"/>
      <c r="B102" s="423" t="s">
        <v>1621</v>
      </c>
      <c r="C102" s="173">
        <v>660</v>
      </c>
      <c r="D102" s="990" t="s">
        <v>248</v>
      </c>
      <c r="E102" s="100"/>
      <c r="F102" s="99"/>
      <c r="G102" s="99"/>
      <c r="I102" s="99"/>
      <c r="J102" s="99"/>
      <c r="K102" s="99"/>
      <c r="L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</row>
    <row r="103" spans="1:66" ht="21.95" customHeight="1" x14ac:dyDescent="0.2">
      <c r="B103" s="974" t="s">
        <v>352</v>
      </c>
      <c r="C103" s="477">
        <v>670</v>
      </c>
      <c r="D103" s="973" t="s">
        <v>248</v>
      </c>
      <c r="E103" s="337">
        <f>SUM(M27-M29)</f>
        <v>0</v>
      </c>
      <c r="F103" s="422"/>
      <c r="G103" s="99"/>
      <c r="H103" s="253">
        <f>F103-M103</f>
        <v>0</v>
      </c>
      <c r="I103" s="321"/>
      <c r="J103" s="321"/>
      <c r="K103" s="321"/>
      <c r="L103" s="99"/>
      <c r="M103" s="307"/>
    </row>
    <row r="104" spans="1:66" ht="21.95" customHeight="1" x14ac:dyDescent="0.2">
      <c r="B104" s="730" t="s">
        <v>1622</v>
      </c>
      <c r="C104" s="481">
        <v>680</v>
      </c>
      <c r="D104" s="728" t="s">
        <v>248</v>
      </c>
      <c r="E104" s="338">
        <f>SUM(N27-N29)</f>
        <v>0</v>
      </c>
      <c r="F104" s="228"/>
      <c r="G104" s="99"/>
      <c r="H104" s="220">
        <f>F104-M104</f>
        <v>0</v>
      </c>
      <c r="I104" s="324"/>
      <c r="J104" s="324"/>
      <c r="K104" s="324"/>
      <c r="L104" s="99"/>
      <c r="M104" s="298"/>
    </row>
    <row r="105" spans="1:66" ht="21.95" customHeight="1" thickBot="1" x14ac:dyDescent="0.25">
      <c r="B105" s="729" t="s">
        <v>1670</v>
      </c>
      <c r="C105" s="487">
        <v>690</v>
      </c>
      <c r="D105" s="996" t="s">
        <v>248</v>
      </c>
      <c r="E105" s="239">
        <f>SUM(E96:E104)</f>
        <v>0</v>
      </c>
      <c r="F105" s="239">
        <f>SUM(F96:F104)</f>
        <v>0</v>
      </c>
      <c r="G105" s="102"/>
      <c r="H105" s="239">
        <f>SUM(H96:H104)</f>
        <v>0</v>
      </c>
      <c r="I105" s="256"/>
      <c r="J105" s="256"/>
      <c r="K105" s="256"/>
      <c r="L105" s="102"/>
      <c r="M105" s="299">
        <f>SUM(M96:M104)</f>
        <v>0</v>
      </c>
    </row>
    <row r="106" spans="1:66" ht="21.95" customHeight="1" thickBot="1" x14ac:dyDescent="0.25">
      <c r="B106" s="995" t="s">
        <v>1671</v>
      </c>
      <c r="C106" s="909">
        <v>700</v>
      </c>
      <c r="D106" s="997" t="s">
        <v>248</v>
      </c>
      <c r="E106" s="998">
        <f>E94+E105</f>
        <v>0</v>
      </c>
      <c r="F106" s="998">
        <f>F94+F105</f>
        <v>0</v>
      </c>
      <c r="G106" s="102"/>
      <c r="H106" s="998">
        <f>H94+H105</f>
        <v>0</v>
      </c>
      <c r="I106" s="999"/>
      <c r="J106" s="999"/>
      <c r="K106" s="999"/>
      <c r="L106" s="102"/>
      <c r="M106" s="1000">
        <f>M94+M105</f>
        <v>0</v>
      </c>
    </row>
    <row r="107" spans="1:66" ht="13.5" thickTop="1" x14ac:dyDescent="0.2">
      <c r="G107" s="99"/>
      <c r="L107" s="99"/>
    </row>
    <row r="108" spans="1:66" x14ac:dyDescent="0.2">
      <c r="G108" s="99"/>
      <c r="L108" s="99"/>
    </row>
    <row r="109" spans="1:66" ht="13.5" thickBot="1" x14ac:dyDescent="0.25">
      <c r="G109" s="99"/>
      <c r="L109" s="99"/>
    </row>
    <row r="110" spans="1:66" ht="13.5" thickTop="1" x14ac:dyDescent="0.2">
      <c r="B110" s="190"/>
      <c r="C110" s="192"/>
      <c r="D110" s="468" t="s">
        <v>25</v>
      </c>
      <c r="E110" s="913" t="s">
        <v>235</v>
      </c>
      <c r="G110" s="99"/>
      <c r="L110" s="99"/>
    </row>
    <row r="111" spans="1:66" x14ac:dyDescent="0.2">
      <c r="B111" s="198" t="s">
        <v>1664</v>
      </c>
      <c r="C111" s="471" t="s">
        <v>238</v>
      </c>
      <c r="D111" s="112"/>
      <c r="E111" s="988" t="s">
        <v>239</v>
      </c>
      <c r="G111" s="99"/>
      <c r="L111" s="99"/>
    </row>
    <row r="112" spans="1:66" ht="13.5" thickBot="1" x14ac:dyDescent="0.25">
      <c r="B112" s="188"/>
      <c r="C112" s="472" t="s">
        <v>242</v>
      </c>
      <c r="D112" s="137"/>
      <c r="E112" s="988" t="s">
        <v>243</v>
      </c>
      <c r="G112" s="99"/>
      <c r="L112" s="99"/>
    </row>
    <row r="113" spans="2:5" ht="21.95" customHeight="1" x14ac:dyDescent="0.2">
      <c r="B113" s="189" t="s">
        <v>1672</v>
      </c>
      <c r="C113" s="513">
        <v>710</v>
      </c>
      <c r="D113" s="993" t="s">
        <v>248</v>
      </c>
      <c r="E113" s="221">
        <f>E20*-1</f>
        <v>0</v>
      </c>
    </row>
    <row r="114" spans="2:5" ht="21.95" customHeight="1" thickBot="1" x14ac:dyDescent="0.25">
      <c r="B114" s="232" t="s">
        <v>1673</v>
      </c>
      <c r="C114" s="499">
        <v>720</v>
      </c>
      <c r="D114" s="976" t="s">
        <v>245</v>
      </c>
      <c r="E114" s="682">
        <f>E20</f>
        <v>0</v>
      </c>
    </row>
    <row r="115" spans="2:5" ht="13.5" thickTop="1" x14ac:dyDescent="0.2"/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 D113:D114 E111:E112 C111:C114 D110:E110 B84:D106 B80:M83 B64:D64 B49:D49 B33:D34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E113:E114 F105:F106 M103:M106 H103:H106 E103:E106 M98:M101 H98:H101 E98:E101 M96 H96 E96 E94:F94 M92:M94 H92:H94 M87:M90 H87:H90 M85 H85 E69 F66:F69 F59 E57 F55:F57 F53 E34 M31:N31 H31:K31 F31 E30:E31 E29:N29 M27:N27 H27:K27 F27 E19:E27 M14:N16 K16 H16:I16 F16 H14:K15 E14:F15 M11:N11 H11:K11 E11:F11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F103:F104 F98:F101 F96 E92:F93 E87:F90 E85:F85 E66:E68 E59 E52:E56 E33 M30:N30 H30:K30 F30 M25:N26 H25:K26 F25:F26 M19:N23 H19:K23 F19:F23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2" fitToWidth="2" orientation="landscape" horizontalDpi="90" verticalDpi="90" r:id="rId1"/>
  <rowBreaks count="1" manualBreakCount="1">
    <brk id="47" max="6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Y215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5.42578125" customWidth="1"/>
    <col min="2" max="2" width="57.7109375" customWidth="1"/>
    <col min="3" max="4" width="10.140625" customWidth="1"/>
    <col min="5" max="7" width="15.5703125" customWidth="1"/>
    <col min="8" max="8" width="5.7109375" customWidth="1"/>
    <col min="9" max="11" width="3.28515625" hidden="1" customWidth="1"/>
    <col min="12" max="52" width="2.42578125" hidden="1" customWidth="1"/>
    <col min="53" max="57" width="3.5703125" hidden="1" customWidth="1"/>
    <col min="58" max="76" width="2.42578125" hidden="1" customWidth="1"/>
    <col min="77" max="77" width="14" customWidth="1"/>
  </cols>
  <sheetData>
    <row r="1" spans="1:7" ht="15.75" x14ac:dyDescent="0.25">
      <c r="A1" s="1168" t="s">
        <v>3726</v>
      </c>
      <c r="B1" s="1139" t="str">
        <f>OrgName</f>
        <v>ZZZ NHS TRUST</v>
      </c>
      <c r="C1" s="1149"/>
      <c r="D1" s="1149"/>
      <c r="E1" s="1177" t="str">
        <f>HYPERLINK(CHAR(35)&amp;"1415TRU_Index_P13"&amp;"!A1","GoTo Index tab")</f>
        <v>GoTo Index tab</v>
      </c>
    </row>
    <row r="2" spans="1:7" x14ac:dyDescent="0.2">
      <c r="A2" s="1131" t="s">
        <v>3727</v>
      </c>
      <c r="B2" s="1137" t="str">
        <f>"Org Code: " &amp; Orgcode</f>
        <v>Org Code: ZZZ</v>
      </c>
      <c r="C2" s="1148"/>
      <c r="D2" s="1148"/>
      <c r="E2" s="1135"/>
    </row>
    <row r="3" spans="1:7" x14ac:dyDescent="0.2">
      <c r="A3" s="1131" t="s">
        <v>3747</v>
      </c>
      <c r="B3" s="1138" t="s">
        <v>3725</v>
      </c>
      <c r="C3" s="1150"/>
      <c r="D3" s="1150"/>
      <c r="E3" s="1136"/>
    </row>
    <row r="4" spans="1:7" x14ac:dyDescent="0.2">
      <c r="B4" s="97" t="s">
        <v>1674</v>
      </c>
      <c r="C4" s="157"/>
      <c r="D4" s="157"/>
    </row>
    <row r="5" spans="1:7" x14ac:dyDescent="0.2">
      <c r="B5" s="103" t="s">
        <v>66</v>
      </c>
      <c r="C5" s="157"/>
      <c r="D5" s="157"/>
    </row>
    <row r="6" spans="1:7" ht="13.5" thickBot="1" x14ac:dyDescent="0.25">
      <c r="C6" s="157"/>
      <c r="D6" s="157"/>
    </row>
    <row r="7" spans="1:7" ht="13.5" thickTop="1" x14ac:dyDescent="0.2">
      <c r="B7" s="242"/>
      <c r="C7" s="195" t="s">
        <v>238</v>
      </c>
      <c r="D7" s="195" t="s">
        <v>25</v>
      </c>
      <c r="E7" s="353" t="s">
        <v>235</v>
      </c>
      <c r="F7" s="293" t="s">
        <v>236</v>
      </c>
      <c r="G7" s="469"/>
    </row>
    <row r="8" spans="1:7" ht="25.5" x14ac:dyDescent="0.2">
      <c r="B8" s="355" t="s">
        <v>176</v>
      </c>
      <c r="C8" s="199" t="s">
        <v>242</v>
      </c>
      <c r="D8" s="199"/>
      <c r="E8" s="201" t="s">
        <v>300</v>
      </c>
      <c r="F8" s="202" t="s">
        <v>240</v>
      </c>
      <c r="G8" s="469"/>
    </row>
    <row r="9" spans="1:7" ht="13.5" thickBot="1" x14ac:dyDescent="0.25">
      <c r="B9" s="198"/>
      <c r="C9" s="204"/>
      <c r="D9" s="204"/>
      <c r="E9" s="278" t="s">
        <v>243</v>
      </c>
      <c r="F9" s="202" t="s">
        <v>243</v>
      </c>
      <c r="G9" s="469"/>
    </row>
    <row r="10" spans="1:7" ht="27" customHeight="1" x14ac:dyDescent="0.2">
      <c r="B10" s="243" t="s">
        <v>1679</v>
      </c>
      <c r="C10" s="207">
        <v>100</v>
      </c>
      <c r="D10" s="206" t="s">
        <v>248</v>
      </c>
      <c r="E10" s="302">
        <f>'1415TRU06_EXP_P13'!E24</f>
        <v>0</v>
      </c>
      <c r="F10" s="304"/>
    </row>
    <row r="11" spans="1:7" ht="27" customHeight="1" x14ac:dyDescent="0.2">
      <c r="B11" s="245" t="s">
        <v>1680</v>
      </c>
      <c r="C11" s="218">
        <v>110</v>
      </c>
      <c r="D11" s="217" t="s">
        <v>248</v>
      </c>
      <c r="E11" s="300">
        <f>'1415TRU06_EXP_P13'!E22</f>
        <v>0</v>
      </c>
      <c r="F11" s="298"/>
    </row>
    <row r="12" spans="1:7" ht="21.95" customHeight="1" x14ac:dyDescent="0.2">
      <c r="B12" s="226" t="s">
        <v>340</v>
      </c>
      <c r="C12" s="218">
        <v>120</v>
      </c>
      <c r="D12" s="217" t="s">
        <v>248</v>
      </c>
      <c r="E12" s="224">
        <f>SUM(E10:E11)</f>
        <v>0</v>
      </c>
      <c r="F12" s="299">
        <f>SUM(F10:F11)</f>
        <v>0</v>
      </c>
    </row>
    <row r="13" spans="1:7" ht="30" customHeight="1" x14ac:dyDescent="0.2">
      <c r="B13" s="336" t="s">
        <v>1681</v>
      </c>
      <c r="C13" s="446"/>
      <c r="D13" s="579"/>
      <c r="E13" s="579"/>
      <c r="F13" s="1001"/>
    </row>
    <row r="14" spans="1:7" ht="21.95" customHeight="1" x14ac:dyDescent="0.2">
      <c r="B14" s="188" t="s">
        <v>1633</v>
      </c>
      <c r="C14" s="251">
        <v>130</v>
      </c>
      <c r="D14" s="250" t="s">
        <v>248</v>
      </c>
      <c r="E14" s="253">
        <f>SUM(E187+E193)</f>
        <v>0</v>
      </c>
      <c r="F14" s="307"/>
    </row>
    <row r="15" spans="1:7" ht="21.95" customHeight="1" x14ac:dyDescent="0.2">
      <c r="B15" s="213" t="s">
        <v>1682</v>
      </c>
      <c r="C15" s="218">
        <v>140</v>
      </c>
      <c r="D15" s="217" t="s">
        <v>248</v>
      </c>
      <c r="E15" s="220">
        <f>SUM(E188+E194)</f>
        <v>0</v>
      </c>
      <c r="F15" s="298"/>
    </row>
    <row r="16" spans="1:7" ht="21.95" customHeight="1" x14ac:dyDescent="0.2">
      <c r="B16" s="213" t="s">
        <v>1635</v>
      </c>
      <c r="C16" s="218">
        <v>150</v>
      </c>
      <c r="D16" s="217" t="s">
        <v>248</v>
      </c>
      <c r="E16" s="220">
        <f>SUM(E189+E195)</f>
        <v>0</v>
      </c>
      <c r="F16" s="298"/>
    </row>
    <row r="17" spans="2:7" ht="21.95" customHeight="1" x14ac:dyDescent="0.2">
      <c r="B17" s="226" t="s">
        <v>340</v>
      </c>
      <c r="C17" s="218">
        <v>160</v>
      </c>
      <c r="D17" s="217" t="s">
        <v>248</v>
      </c>
      <c r="E17" s="224">
        <f>SUM(E14:E16)</f>
        <v>0</v>
      </c>
      <c r="F17" s="299">
        <f>SUM(F14:F16)</f>
        <v>0</v>
      </c>
    </row>
    <row r="18" spans="2:7" ht="27" customHeight="1" x14ac:dyDescent="0.2">
      <c r="B18" s="266" t="s">
        <v>1683</v>
      </c>
      <c r="C18" s="446"/>
      <c r="D18" s="579"/>
      <c r="E18" s="579"/>
      <c r="F18" s="1001"/>
    </row>
    <row r="19" spans="2:7" ht="27" customHeight="1" x14ac:dyDescent="0.2">
      <c r="B19" s="354" t="s">
        <v>1684</v>
      </c>
      <c r="C19" s="714"/>
      <c r="D19" s="715"/>
      <c r="E19" s="321"/>
      <c r="F19" s="623"/>
    </row>
    <row r="20" spans="2:7" ht="21.95" customHeight="1" x14ac:dyDescent="0.2">
      <c r="B20" s="213" t="s">
        <v>1685</v>
      </c>
      <c r="C20" s="218">
        <v>180</v>
      </c>
      <c r="D20" s="217" t="s">
        <v>248</v>
      </c>
      <c r="E20" s="228"/>
      <c r="F20" s="298"/>
    </row>
    <row r="21" spans="2:7" ht="21.95" customHeight="1" x14ac:dyDescent="0.2">
      <c r="B21" s="213" t="s">
        <v>1686</v>
      </c>
      <c r="C21" s="234">
        <v>190</v>
      </c>
      <c r="D21" s="237" t="s">
        <v>248</v>
      </c>
      <c r="E21" s="396"/>
      <c r="F21" s="298"/>
    </row>
    <row r="22" spans="2:7" ht="21.95" customHeight="1" thickBot="1" x14ac:dyDescent="0.25">
      <c r="B22" s="232" t="s">
        <v>1687</v>
      </c>
      <c r="C22" s="236">
        <v>200</v>
      </c>
      <c r="D22" s="235" t="s">
        <v>248</v>
      </c>
      <c r="E22" s="371"/>
      <c r="F22" s="685"/>
    </row>
    <row r="23" spans="2:7" ht="13.5" thickTop="1" x14ac:dyDescent="0.2">
      <c r="C23" s="157"/>
      <c r="D23" s="157"/>
    </row>
    <row r="24" spans="2:7" x14ac:dyDescent="0.2">
      <c r="C24" s="157"/>
      <c r="D24" s="157"/>
    </row>
    <row r="25" spans="2:7" ht="13.5" thickBot="1" x14ac:dyDescent="0.25">
      <c r="C25" s="157"/>
      <c r="D25" s="157"/>
    </row>
    <row r="26" spans="2:7" ht="13.5" thickTop="1" x14ac:dyDescent="0.2">
      <c r="B26" s="242"/>
      <c r="C26" s="195" t="s">
        <v>238</v>
      </c>
      <c r="D26" s="195" t="s">
        <v>25</v>
      </c>
      <c r="E26" s="353" t="s">
        <v>235</v>
      </c>
      <c r="F26" s="293" t="s">
        <v>236</v>
      </c>
      <c r="G26" s="469"/>
    </row>
    <row r="27" spans="2:7" ht="25.5" x14ac:dyDescent="0.2">
      <c r="B27" s="355" t="s">
        <v>177</v>
      </c>
      <c r="C27" s="199" t="s">
        <v>242</v>
      </c>
      <c r="D27" s="199"/>
      <c r="E27" s="201" t="s">
        <v>300</v>
      </c>
      <c r="F27" s="202" t="s">
        <v>240</v>
      </c>
      <c r="G27" s="469"/>
    </row>
    <row r="28" spans="2:7" ht="13.5" thickBot="1" x14ac:dyDescent="0.25">
      <c r="B28" s="198" t="s">
        <v>1688</v>
      </c>
      <c r="C28" s="204"/>
      <c r="D28" s="204"/>
      <c r="E28" s="278" t="s">
        <v>243</v>
      </c>
      <c r="F28" s="202" t="s">
        <v>243</v>
      </c>
      <c r="G28" s="469"/>
    </row>
    <row r="29" spans="2:7" ht="21.95" customHeight="1" x14ac:dyDescent="0.2">
      <c r="B29" s="189" t="s">
        <v>1633</v>
      </c>
      <c r="C29" s="207">
        <v>210</v>
      </c>
      <c r="D29" s="206" t="s">
        <v>248</v>
      </c>
      <c r="E29" s="356"/>
      <c r="F29" s="304"/>
    </row>
    <row r="30" spans="2:7" ht="21.95" customHeight="1" x14ac:dyDescent="0.2">
      <c r="B30" s="213" t="s">
        <v>1682</v>
      </c>
      <c r="C30" s="218">
        <v>220</v>
      </c>
      <c r="D30" s="217" t="s">
        <v>248</v>
      </c>
      <c r="E30" s="228"/>
      <c r="F30" s="298"/>
    </row>
    <row r="31" spans="2:7" ht="21.95" customHeight="1" x14ac:dyDescent="0.2">
      <c r="B31" s="213" t="s">
        <v>1635</v>
      </c>
      <c r="C31" s="218">
        <v>230</v>
      </c>
      <c r="D31" s="217" t="s">
        <v>248</v>
      </c>
      <c r="E31" s="228"/>
      <c r="F31" s="298"/>
    </row>
    <row r="32" spans="2:7" ht="21.95" customHeight="1" x14ac:dyDescent="0.2">
      <c r="B32" s="226" t="s">
        <v>1477</v>
      </c>
      <c r="C32" s="218">
        <v>240</v>
      </c>
      <c r="D32" s="217" t="s">
        <v>248</v>
      </c>
      <c r="E32" s="224">
        <f>SUM(E29:E31)</f>
        <v>0</v>
      </c>
      <c r="F32" s="299">
        <f>SUM(F29:F31)</f>
        <v>0</v>
      </c>
    </row>
    <row r="33" spans="2:6" ht="21.95" customHeight="1" x14ac:dyDescent="0.2">
      <c r="B33" s="213" t="s">
        <v>1689</v>
      </c>
      <c r="C33" s="234">
        <v>250</v>
      </c>
      <c r="D33" s="237" t="s">
        <v>245</v>
      </c>
      <c r="E33" s="396"/>
      <c r="F33" s="298"/>
    </row>
    <row r="34" spans="2:6" ht="21.95" customHeight="1" thickBot="1" x14ac:dyDescent="0.25">
      <c r="B34" s="497" t="s">
        <v>1690</v>
      </c>
      <c r="C34" s="236">
        <v>260</v>
      </c>
      <c r="D34" s="235" t="s">
        <v>248</v>
      </c>
      <c r="E34" s="240">
        <f>SUM(E32:E33)</f>
        <v>0</v>
      </c>
      <c r="F34" s="301">
        <f>SUM(F32:F33)</f>
        <v>0</v>
      </c>
    </row>
    <row r="35" spans="2:6" ht="13.5" thickTop="1" x14ac:dyDescent="0.2">
      <c r="C35" s="157"/>
      <c r="D35" s="157"/>
    </row>
    <row r="36" spans="2:6" ht="13.5" thickBot="1" x14ac:dyDescent="0.25">
      <c r="C36" s="157"/>
      <c r="D36" s="157"/>
    </row>
    <row r="37" spans="2:6" ht="13.5" thickTop="1" x14ac:dyDescent="0.2">
      <c r="B37" s="261"/>
      <c r="C37" s="195" t="s">
        <v>238</v>
      </c>
      <c r="D37" s="195" t="s">
        <v>25</v>
      </c>
      <c r="E37" s="353" t="s">
        <v>235</v>
      </c>
      <c r="F37" s="293" t="s">
        <v>236</v>
      </c>
    </row>
    <row r="38" spans="2:6" ht="25.5" x14ac:dyDescent="0.2">
      <c r="B38" s="355" t="s">
        <v>178</v>
      </c>
      <c r="C38" s="199" t="s">
        <v>242</v>
      </c>
      <c r="D38" s="199"/>
      <c r="E38" s="201" t="s">
        <v>300</v>
      </c>
      <c r="F38" s="202" t="s">
        <v>240</v>
      </c>
    </row>
    <row r="39" spans="2:6" ht="13.5" thickBot="1" x14ac:dyDescent="0.25">
      <c r="B39" s="264" t="s">
        <v>1688</v>
      </c>
      <c r="C39" s="204"/>
      <c r="D39" s="204"/>
      <c r="E39" s="278" t="s">
        <v>243</v>
      </c>
      <c r="F39" s="202" t="s">
        <v>243</v>
      </c>
    </row>
    <row r="40" spans="2:6" ht="21.95" customHeight="1" x14ac:dyDescent="0.2">
      <c r="B40" s="761" t="s">
        <v>1633</v>
      </c>
      <c r="C40" s="207">
        <v>265</v>
      </c>
      <c r="D40" s="206" t="s">
        <v>248</v>
      </c>
      <c r="E40" s="356"/>
      <c r="F40" s="1010"/>
    </row>
    <row r="41" spans="2:6" ht="21.95" customHeight="1" x14ac:dyDescent="0.2">
      <c r="B41" s="231" t="s">
        <v>1682</v>
      </c>
      <c r="C41" s="218">
        <v>270</v>
      </c>
      <c r="D41" s="217" t="s">
        <v>248</v>
      </c>
      <c r="E41" s="228"/>
      <c r="F41" s="566"/>
    </row>
    <row r="42" spans="2:6" ht="21.95" customHeight="1" x14ac:dyDescent="0.2">
      <c r="B42" s="231" t="s">
        <v>1635</v>
      </c>
      <c r="C42" s="234">
        <v>275</v>
      </c>
      <c r="D42" s="237" t="s">
        <v>248</v>
      </c>
      <c r="E42" s="396"/>
      <c r="F42" s="298"/>
    </row>
    <row r="43" spans="2:6" ht="21.95" customHeight="1" thickBot="1" x14ac:dyDescent="0.25">
      <c r="B43" s="497" t="s">
        <v>1690</v>
      </c>
      <c r="C43" s="236">
        <v>280</v>
      </c>
      <c r="D43" s="235" t="s">
        <v>248</v>
      </c>
      <c r="E43" s="240">
        <f>SUM(E40:E42)</f>
        <v>0</v>
      </c>
      <c r="F43" s="301">
        <f>SUM(F40:F42)</f>
        <v>0</v>
      </c>
    </row>
    <row r="44" spans="2:6" ht="13.5" thickTop="1" x14ac:dyDescent="0.2">
      <c r="C44" s="157"/>
      <c r="D44" s="157"/>
    </row>
    <row r="45" spans="2:6" x14ac:dyDescent="0.2">
      <c r="C45" s="157"/>
      <c r="D45" s="157"/>
    </row>
    <row r="46" spans="2:6" ht="13.5" thickBot="1" x14ac:dyDescent="0.25">
      <c r="C46" s="157"/>
      <c r="D46" s="157"/>
    </row>
    <row r="47" spans="2:6" ht="13.5" thickTop="1" x14ac:dyDescent="0.2">
      <c r="B47" s="242"/>
      <c r="C47" s="195"/>
      <c r="D47" s="195"/>
      <c r="E47" s="293" t="s">
        <v>235</v>
      </c>
    </row>
    <row r="48" spans="2:6" x14ac:dyDescent="0.2">
      <c r="B48" s="198"/>
      <c r="C48" s="199" t="s">
        <v>238</v>
      </c>
      <c r="D48" s="199" t="s">
        <v>25</v>
      </c>
      <c r="E48" s="202" t="s">
        <v>340</v>
      </c>
    </row>
    <row r="49" spans="2:6" ht="13.5" thickBot="1" x14ac:dyDescent="0.25">
      <c r="B49" s="198" t="s">
        <v>179</v>
      </c>
      <c r="C49" s="204" t="s">
        <v>242</v>
      </c>
      <c r="D49" s="204"/>
      <c r="E49" s="202" t="s">
        <v>891</v>
      </c>
    </row>
    <row r="50" spans="2:6" ht="21.95" customHeight="1" x14ac:dyDescent="0.2">
      <c r="B50" s="189" t="s">
        <v>1691</v>
      </c>
      <c r="C50" s="366">
        <v>282</v>
      </c>
      <c r="D50" s="127" t="s">
        <v>248</v>
      </c>
      <c r="E50" s="295"/>
    </row>
    <row r="51" spans="2:6" ht="27" customHeight="1" thickBot="1" x14ac:dyDescent="0.25">
      <c r="B51" s="732" t="s">
        <v>1692</v>
      </c>
      <c r="C51" s="236">
        <v>284</v>
      </c>
      <c r="D51" s="235" t="s">
        <v>248</v>
      </c>
      <c r="E51" s="792"/>
    </row>
    <row r="52" spans="2:6" ht="13.5" thickTop="1" x14ac:dyDescent="0.2">
      <c r="C52" s="157"/>
      <c r="D52" s="157"/>
    </row>
    <row r="53" spans="2:6" x14ac:dyDescent="0.2">
      <c r="C53" s="157"/>
      <c r="D53" s="157"/>
    </row>
    <row r="54" spans="2:6" ht="13.5" thickBot="1" x14ac:dyDescent="0.25">
      <c r="C54" s="157"/>
      <c r="D54" s="157"/>
    </row>
    <row r="55" spans="2:6" ht="13.5" thickTop="1" x14ac:dyDescent="0.2">
      <c r="B55" s="242"/>
      <c r="C55" s="195" t="s">
        <v>238</v>
      </c>
      <c r="D55" s="195" t="s">
        <v>25</v>
      </c>
      <c r="E55" s="353" t="s">
        <v>235</v>
      </c>
      <c r="F55" s="293" t="s">
        <v>236</v>
      </c>
    </row>
    <row r="56" spans="2:6" x14ac:dyDescent="0.2">
      <c r="B56" s="198" t="s">
        <v>180</v>
      </c>
      <c r="C56" s="199" t="s">
        <v>242</v>
      </c>
      <c r="D56" s="199"/>
      <c r="E56" s="201" t="s">
        <v>300</v>
      </c>
      <c r="F56" s="202" t="s">
        <v>240</v>
      </c>
    </row>
    <row r="57" spans="2:6" ht="13.5" thickBot="1" x14ac:dyDescent="0.25">
      <c r="B57" s="198" t="s">
        <v>1688</v>
      </c>
      <c r="C57" s="204"/>
      <c r="D57" s="204"/>
      <c r="E57" s="278" t="s">
        <v>243</v>
      </c>
      <c r="F57" s="202" t="s">
        <v>243</v>
      </c>
    </row>
    <row r="58" spans="2:6" ht="21.95" customHeight="1" x14ac:dyDescent="0.2">
      <c r="B58" s="189" t="s">
        <v>1633</v>
      </c>
      <c r="C58" s="207">
        <v>286</v>
      </c>
      <c r="D58" s="206" t="s">
        <v>248</v>
      </c>
      <c r="E58" s="356"/>
      <c r="F58" s="1010"/>
    </row>
    <row r="59" spans="2:6" ht="21.95" customHeight="1" x14ac:dyDescent="0.2">
      <c r="B59" s="213" t="s">
        <v>1682</v>
      </c>
      <c r="C59" s="218">
        <v>288</v>
      </c>
      <c r="D59" s="217" t="s">
        <v>248</v>
      </c>
      <c r="E59" s="228"/>
      <c r="F59" s="566"/>
    </row>
    <row r="60" spans="2:6" ht="21.95" customHeight="1" x14ac:dyDescent="0.2">
      <c r="B60" s="213" t="s">
        <v>1635</v>
      </c>
      <c r="C60" s="234">
        <v>290</v>
      </c>
      <c r="D60" s="237" t="s">
        <v>248</v>
      </c>
      <c r="E60" s="396"/>
      <c r="F60" s="566"/>
    </row>
    <row r="61" spans="2:6" ht="21.95" customHeight="1" thickBot="1" x14ac:dyDescent="0.25">
      <c r="B61" s="233" t="s">
        <v>340</v>
      </c>
      <c r="C61" s="236">
        <v>292</v>
      </c>
      <c r="D61" s="235" t="s">
        <v>248</v>
      </c>
      <c r="E61" s="240">
        <f>SUM(E58:E60)</f>
        <v>0</v>
      </c>
      <c r="F61" s="601">
        <f>SUM(F58:F60)</f>
        <v>0</v>
      </c>
    </row>
    <row r="62" spans="2:6" ht="13.5" thickTop="1" x14ac:dyDescent="0.2">
      <c r="C62" s="157"/>
      <c r="D62" s="157"/>
    </row>
    <row r="63" spans="2:6" x14ac:dyDescent="0.2">
      <c r="C63" s="157"/>
      <c r="D63" s="157"/>
    </row>
    <row r="64" spans="2:6" ht="13.5" thickBot="1" x14ac:dyDescent="0.25">
      <c r="C64" s="157"/>
      <c r="D64" s="157"/>
      <c r="E64" s="466"/>
    </row>
    <row r="65" spans="2:7" ht="13.5" thickTop="1" x14ac:dyDescent="0.2">
      <c r="B65" s="242"/>
      <c r="C65" s="195"/>
      <c r="D65" s="195"/>
      <c r="E65" s="293" t="s">
        <v>235</v>
      </c>
    </row>
    <row r="66" spans="2:7" x14ac:dyDescent="0.2">
      <c r="B66" s="198"/>
      <c r="C66" s="199" t="s">
        <v>238</v>
      </c>
      <c r="D66" s="199" t="s">
        <v>25</v>
      </c>
      <c r="E66" s="202" t="s">
        <v>340</v>
      </c>
    </row>
    <row r="67" spans="2:7" ht="13.5" thickBot="1" x14ac:dyDescent="0.25">
      <c r="B67" s="198" t="s">
        <v>181</v>
      </c>
      <c r="C67" s="204" t="s">
        <v>242</v>
      </c>
      <c r="D67" s="204"/>
      <c r="E67" s="202" t="s">
        <v>891</v>
      </c>
    </row>
    <row r="68" spans="2:7" ht="21.95" customHeight="1" x14ac:dyDescent="0.2">
      <c r="B68" s="189" t="s">
        <v>1693</v>
      </c>
      <c r="C68" s="366">
        <v>294</v>
      </c>
      <c r="D68" s="127" t="s">
        <v>248</v>
      </c>
      <c r="E68" s="295"/>
    </row>
    <row r="69" spans="2:7" ht="27" customHeight="1" thickBot="1" x14ac:dyDescent="0.25">
      <c r="B69" s="732" t="s">
        <v>1694</v>
      </c>
      <c r="C69" s="236">
        <v>296</v>
      </c>
      <c r="D69" s="235" t="s">
        <v>248</v>
      </c>
      <c r="E69" s="792"/>
    </row>
    <row r="70" spans="2:7" ht="13.5" thickTop="1" x14ac:dyDescent="0.2"/>
    <row r="71" spans="2:7" ht="13.5" thickBot="1" x14ac:dyDescent="0.25"/>
    <row r="72" spans="2:7" ht="13.5" thickTop="1" x14ac:dyDescent="0.2">
      <c r="B72" s="242"/>
      <c r="C72" s="195" t="s">
        <v>238</v>
      </c>
      <c r="D72" s="195" t="s">
        <v>25</v>
      </c>
      <c r="E72" s="353" t="s">
        <v>235</v>
      </c>
      <c r="F72" s="293" t="s">
        <v>236</v>
      </c>
      <c r="G72" s="469"/>
    </row>
    <row r="73" spans="2:7" ht="25.5" x14ac:dyDescent="0.2">
      <c r="B73" s="355" t="s">
        <v>182</v>
      </c>
      <c r="C73" s="199" t="s">
        <v>242</v>
      </c>
      <c r="D73" s="199"/>
      <c r="E73" s="201" t="s">
        <v>300</v>
      </c>
      <c r="F73" s="202" t="s">
        <v>240</v>
      </c>
      <c r="G73" s="469"/>
    </row>
    <row r="74" spans="2:7" ht="13.5" thickBot="1" x14ac:dyDescent="0.25">
      <c r="B74" s="198"/>
      <c r="C74" s="204"/>
      <c r="D74" s="204"/>
      <c r="E74" s="278" t="s">
        <v>243</v>
      </c>
      <c r="F74" s="202" t="s">
        <v>243</v>
      </c>
      <c r="G74" s="469"/>
    </row>
    <row r="75" spans="2:7" ht="27" customHeight="1" x14ac:dyDescent="0.2">
      <c r="B75" s="243" t="s">
        <v>1695</v>
      </c>
      <c r="C75" s="207">
        <v>300</v>
      </c>
      <c r="D75" s="206" t="s">
        <v>248</v>
      </c>
      <c r="E75" s="302">
        <f>'1415TRU06_EXP_P13'!E25</f>
        <v>0</v>
      </c>
      <c r="F75" s="304"/>
    </row>
    <row r="76" spans="2:7" ht="27" customHeight="1" x14ac:dyDescent="0.2">
      <c r="B76" s="245" t="s">
        <v>1696</v>
      </c>
      <c r="C76" s="218">
        <v>310</v>
      </c>
      <c r="D76" s="217" t="s">
        <v>248</v>
      </c>
      <c r="E76" s="300">
        <f>'1415TRU06_EXP_P13'!E23</f>
        <v>0</v>
      </c>
      <c r="F76" s="298"/>
    </row>
    <row r="77" spans="2:7" ht="21.95" customHeight="1" x14ac:dyDescent="0.2">
      <c r="B77" s="226" t="s">
        <v>340</v>
      </c>
      <c r="C77" s="218">
        <v>320</v>
      </c>
      <c r="D77" s="217" t="s">
        <v>248</v>
      </c>
      <c r="E77" s="224">
        <f>SUM(E75:E76)</f>
        <v>0</v>
      </c>
      <c r="F77" s="299">
        <f>SUM(F75:F76)</f>
        <v>0</v>
      </c>
    </row>
    <row r="78" spans="2:7" ht="30" customHeight="1" x14ac:dyDescent="0.2">
      <c r="B78" s="336" t="s">
        <v>1697</v>
      </c>
      <c r="C78" s="446"/>
      <c r="D78" s="579"/>
      <c r="E78" s="579"/>
      <c r="F78" s="1001"/>
    </row>
    <row r="79" spans="2:7" ht="21.95" customHeight="1" x14ac:dyDescent="0.2">
      <c r="B79" s="198" t="s">
        <v>1698</v>
      </c>
      <c r="C79" s="417"/>
      <c r="D79" s="418"/>
      <c r="E79" s="418"/>
      <c r="F79" s="1002"/>
    </row>
    <row r="80" spans="2:7" ht="21.95" customHeight="1" x14ac:dyDescent="0.2">
      <c r="B80" s="188" t="s">
        <v>1633</v>
      </c>
      <c r="C80" s="251">
        <v>330</v>
      </c>
      <c r="D80" s="250" t="s">
        <v>248</v>
      </c>
      <c r="E80" s="253">
        <f>SUM(E205+E211)</f>
        <v>0</v>
      </c>
      <c r="F80" s="307"/>
    </row>
    <row r="81" spans="2:6" ht="21.95" customHeight="1" x14ac:dyDescent="0.2">
      <c r="B81" s="213" t="s">
        <v>1682</v>
      </c>
      <c r="C81" s="218">
        <v>340</v>
      </c>
      <c r="D81" s="217" t="s">
        <v>248</v>
      </c>
      <c r="E81" s="220">
        <f>SUM(E206+E212)</f>
        <v>0</v>
      </c>
      <c r="F81" s="298"/>
    </row>
    <row r="82" spans="2:6" ht="21.95" customHeight="1" x14ac:dyDescent="0.2">
      <c r="B82" s="213" t="s">
        <v>1635</v>
      </c>
      <c r="C82" s="218">
        <v>350</v>
      </c>
      <c r="D82" s="217" t="s">
        <v>248</v>
      </c>
      <c r="E82" s="220">
        <f>SUM(E207+E213)</f>
        <v>0</v>
      </c>
      <c r="F82" s="298"/>
    </row>
    <row r="83" spans="2:6" ht="21.95" customHeight="1" x14ac:dyDescent="0.2">
      <c r="B83" s="223" t="s">
        <v>340</v>
      </c>
      <c r="C83" s="218">
        <v>360</v>
      </c>
      <c r="D83" s="217" t="s">
        <v>248</v>
      </c>
      <c r="E83" s="224">
        <f>SUM(E80:E82)</f>
        <v>0</v>
      </c>
      <c r="F83" s="1011">
        <f>SUM(F80:F82)</f>
        <v>0</v>
      </c>
    </row>
    <row r="84" spans="2:6" hidden="1" x14ac:dyDescent="0.2"/>
    <row r="85" spans="2:6" hidden="1" x14ac:dyDescent="0.2"/>
    <row r="86" spans="2:6" hidden="1" x14ac:dyDescent="0.2"/>
    <row r="87" spans="2:6" hidden="1" x14ac:dyDescent="0.2">
      <c r="C87" s="97"/>
      <c r="D87" s="97"/>
    </row>
    <row r="88" spans="2:6" hidden="1" x14ac:dyDescent="0.2">
      <c r="C88" s="97"/>
      <c r="D88" s="97"/>
    </row>
    <row r="89" spans="2:6" hidden="1" x14ac:dyDescent="0.2">
      <c r="C89" s="97"/>
      <c r="D89" s="97"/>
    </row>
    <row r="90" spans="2:6" ht="27" customHeight="1" x14ac:dyDescent="0.2">
      <c r="B90" s="354" t="s">
        <v>1699</v>
      </c>
      <c r="C90" s="418"/>
      <c r="D90" s="418"/>
      <c r="E90" s="418"/>
      <c r="F90" s="1002"/>
    </row>
    <row r="91" spans="2:6" ht="27" customHeight="1" x14ac:dyDescent="0.2">
      <c r="B91" s="354" t="s">
        <v>1684</v>
      </c>
      <c r="C91" s="417"/>
      <c r="D91" s="418"/>
      <c r="E91" s="419"/>
      <c r="F91" s="623"/>
    </row>
    <row r="92" spans="2:6" ht="21.95" customHeight="1" x14ac:dyDescent="0.2">
      <c r="B92" s="188" t="s">
        <v>1700</v>
      </c>
      <c r="C92" s="251">
        <v>380</v>
      </c>
      <c r="D92" s="250" t="s">
        <v>248</v>
      </c>
      <c r="E92" s="422"/>
      <c r="F92" s="307"/>
    </row>
    <row r="93" spans="2:6" ht="21.95" customHeight="1" x14ac:dyDescent="0.2">
      <c r="B93" s="213" t="s">
        <v>1701</v>
      </c>
      <c r="C93" s="234">
        <v>390</v>
      </c>
      <c r="D93" s="237" t="s">
        <v>248</v>
      </c>
      <c r="E93" s="396"/>
      <c r="F93" s="298"/>
    </row>
    <row r="94" spans="2:6" ht="21.95" customHeight="1" thickBot="1" x14ac:dyDescent="0.25">
      <c r="B94" s="232" t="s">
        <v>1702</v>
      </c>
      <c r="C94" s="236">
        <v>400</v>
      </c>
      <c r="D94" s="235" t="s">
        <v>248</v>
      </c>
      <c r="E94" s="371"/>
      <c r="F94" s="685"/>
    </row>
    <row r="95" spans="2:6" ht="13.5" thickTop="1" x14ac:dyDescent="0.2">
      <c r="C95" s="157"/>
      <c r="D95" s="157"/>
    </row>
    <row r="96" spans="2:6" x14ac:dyDescent="0.2">
      <c r="C96" s="157"/>
      <c r="D96" s="157"/>
    </row>
    <row r="97" spans="2:7" ht="13.5" thickBot="1" x14ac:dyDescent="0.25">
      <c r="C97" s="157"/>
      <c r="D97" s="157"/>
    </row>
    <row r="98" spans="2:7" ht="13.5" thickTop="1" x14ac:dyDescent="0.2">
      <c r="B98" s="242"/>
      <c r="C98" s="195" t="s">
        <v>238</v>
      </c>
      <c r="D98" s="195" t="s">
        <v>25</v>
      </c>
      <c r="E98" s="353" t="s">
        <v>235</v>
      </c>
      <c r="F98" s="293" t="s">
        <v>236</v>
      </c>
      <c r="G98" s="469"/>
    </row>
    <row r="99" spans="2:7" ht="25.5" x14ac:dyDescent="0.2">
      <c r="B99" s="355" t="s">
        <v>183</v>
      </c>
      <c r="C99" s="199" t="s">
        <v>242</v>
      </c>
      <c r="D99" s="199"/>
      <c r="E99" s="201" t="s">
        <v>300</v>
      </c>
      <c r="F99" s="202" t="s">
        <v>240</v>
      </c>
      <c r="G99" s="469"/>
    </row>
    <row r="100" spans="2:7" ht="13.5" thickBot="1" x14ac:dyDescent="0.25">
      <c r="B100" s="198" t="s">
        <v>1698</v>
      </c>
      <c r="C100" s="204"/>
      <c r="D100" s="204"/>
      <c r="E100" s="278" t="s">
        <v>243</v>
      </c>
      <c r="F100" s="202" t="s">
        <v>243</v>
      </c>
      <c r="G100" s="469"/>
    </row>
    <row r="101" spans="2:7" ht="21.95" customHeight="1" x14ac:dyDescent="0.2">
      <c r="B101" s="189" t="s">
        <v>1633</v>
      </c>
      <c r="C101" s="207">
        <v>410</v>
      </c>
      <c r="D101" s="206" t="s">
        <v>248</v>
      </c>
      <c r="E101" s="356"/>
      <c r="F101" s="304"/>
    </row>
    <row r="102" spans="2:7" ht="21.95" customHeight="1" x14ac:dyDescent="0.2">
      <c r="B102" s="213" t="s">
        <v>1682</v>
      </c>
      <c r="C102" s="218">
        <v>420</v>
      </c>
      <c r="D102" s="217" t="s">
        <v>248</v>
      </c>
      <c r="E102" s="228"/>
      <c r="F102" s="298"/>
    </row>
    <row r="103" spans="2:7" ht="21.95" customHeight="1" x14ac:dyDescent="0.2">
      <c r="B103" s="213" t="s">
        <v>1635</v>
      </c>
      <c r="C103" s="218">
        <v>430</v>
      </c>
      <c r="D103" s="217" t="s">
        <v>248</v>
      </c>
      <c r="E103" s="228"/>
      <c r="F103" s="298"/>
    </row>
    <row r="104" spans="2:7" ht="21.95" customHeight="1" x14ac:dyDescent="0.2">
      <c r="B104" s="226" t="s">
        <v>1477</v>
      </c>
      <c r="C104" s="218">
        <v>440</v>
      </c>
      <c r="D104" s="217" t="s">
        <v>248</v>
      </c>
      <c r="E104" s="224">
        <f>SUM(E101:E103)</f>
        <v>0</v>
      </c>
      <c r="F104" s="299">
        <f>SUM(F101:F103)</f>
        <v>0</v>
      </c>
    </row>
    <row r="105" spans="2:7" ht="21.95" customHeight="1" x14ac:dyDescent="0.2">
      <c r="B105" s="213" t="s">
        <v>1689</v>
      </c>
      <c r="C105" s="234">
        <v>450</v>
      </c>
      <c r="D105" s="237" t="s">
        <v>245</v>
      </c>
      <c r="E105" s="396"/>
      <c r="F105" s="298"/>
    </row>
    <row r="106" spans="2:7" ht="21.95" customHeight="1" thickBot="1" x14ac:dyDescent="0.25">
      <c r="B106" s="497" t="s">
        <v>1690</v>
      </c>
      <c r="C106" s="236">
        <v>460</v>
      </c>
      <c r="D106" s="235" t="s">
        <v>248</v>
      </c>
      <c r="E106" s="240">
        <f>SUM(E104:E105)</f>
        <v>0</v>
      </c>
      <c r="F106" s="301">
        <f>SUM(F104:F105)</f>
        <v>0</v>
      </c>
    </row>
    <row r="107" spans="2:7" ht="13.5" thickTop="1" x14ac:dyDescent="0.2">
      <c r="C107" s="157"/>
      <c r="D107" s="157"/>
    </row>
    <row r="108" spans="2:7" x14ac:dyDescent="0.2">
      <c r="C108" s="157"/>
      <c r="D108" s="157"/>
    </row>
    <row r="109" spans="2:7" ht="13.5" thickBot="1" x14ac:dyDescent="0.25">
      <c r="C109" s="157"/>
      <c r="D109" s="157"/>
    </row>
    <row r="110" spans="2:7" ht="13.5" thickTop="1" x14ac:dyDescent="0.2">
      <c r="B110" s="261"/>
      <c r="C110" s="195" t="s">
        <v>238</v>
      </c>
      <c r="D110" s="195" t="s">
        <v>25</v>
      </c>
      <c r="E110" s="195" t="s">
        <v>235</v>
      </c>
      <c r="F110" s="197" t="s">
        <v>236</v>
      </c>
    </row>
    <row r="111" spans="2:7" ht="25.5" x14ac:dyDescent="0.2">
      <c r="B111" s="355" t="s">
        <v>184</v>
      </c>
      <c r="C111" s="199" t="s">
        <v>242</v>
      </c>
      <c r="D111" s="199"/>
      <c r="E111" s="199" t="s">
        <v>300</v>
      </c>
      <c r="F111" s="210" t="s">
        <v>240</v>
      </c>
    </row>
    <row r="112" spans="2:7" ht="13.5" thickBot="1" x14ac:dyDescent="0.25">
      <c r="B112" s="264" t="s">
        <v>1698</v>
      </c>
      <c r="C112" s="204"/>
      <c r="D112" s="204"/>
      <c r="E112" s="204" t="s">
        <v>243</v>
      </c>
      <c r="F112" s="210" t="s">
        <v>243</v>
      </c>
    </row>
    <row r="113" spans="2:6" ht="21.95" customHeight="1" x14ac:dyDescent="0.2">
      <c r="B113" s="761" t="s">
        <v>1633</v>
      </c>
      <c r="C113" s="207">
        <v>465</v>
      </c>
      <c r="D113" s="208" t="s">
        <v>248</v>
      </c>
      <c r="E113" s="774"/>
      <c r="F113" s="1010"/>
    </row>
    <row r="114" spans="2:6" ht="21.95" customHeight="1" x14ac:dyDescent="0.2">
      <c r="B114" s="231" t="s">
        <v>1682</v>
      </c>
      <c r="C114" s="218">
        <v>470</v>
      </c>
      <c r="D114" s="219" t="s">
        <v>248</v>
      </c>
      <c r="E114" s="391"/>
      <c r="F114" s="566"/>
    </row>
    <row r="115" spans="2:6" ht="21.95" customHeight="1" x14ac:dyDescent="0.2">
      <c r="B115" s="231" t="s">
        <v>1635</v>
      </c>
      <c r="C115" s="234">
        <v>475</v>
      </c>
      <c r="D115" s="267" t="s">
        <v>248</v>
      </c>
      <c r="E115" s="501"/>
      <c r="F115" s="566"/>
    </row>
    <row r="116" spans="2:6" ht="21.95" customHeight="1" thickBot="1" x14ac:dyDescent="0.25">
      <c r="B116" s="497" t="s">
        <v>1690</v>
      </c>
      <c r="C116" s="236">
        <v>480</v>
      </c>
      <c r="D116" s="238" t="s">
        <v>248</v>
      </c>
      <c r="E116" s="502">
        <f>SUM(E113:E115)</f>
        <v>0</v>
      </c>
      <c r="F116" s="1012">
        <f>SUM(F113:F115)</f>
        <v>0</v>
      </c>
    </row>
    <row r="117" spans="2:6" ht="13.5" thickTop="1" x14ac:dyDescent="0.2">
      <c r="B117" s="100"/>
      <c r="C117" s="247"/>
      <c r="D117" s="247"/>
      <c r="E117" s="100"/>
      <c r="F117" s="100"/>
    </row>
    <row r="118" spans="2:6" ht="13.5" thickBot="1" x14ac:dyDescent="0.25">
      <c r="B118" s="100"/>
      <c r="C118" s="247"/>
      <c r="D118" s="247"/>
      <c r="E118" s="100"/>
      <c r="F118" s="100"/>
    </row>
    <row r="119" spans="2:6" ht="13.5" thickTop="1" x14ac:dyDescent="0.2">
      <c r="B119" s="261"/>
      <c r="C119" s="195"/>
      <c r="D119" s="195"/>
      <c r="E119" s="197" t="s">
        <v>235</v>
      </c>
      <c r="F119" s="100"/>
    </row>
    <row r="120" spans="2:6" x14ac:dyDescent="0.2">
      <c r="B120" s="264"/>
      <c r="C120" s="199" t="s">
        <v>238</v>
      </c>
      <c r="D120" s="199" t="s">
        <v>25</v>
      </c>
      <c r="E120" s="210" t="s">
        <v>340</v>
      </c>
      <c r="F120" s="100"/>
    </row>
    <row r="121" spans="2:6" ht="13.5" thickBot="1" x14ac:dyDescent="0.25">
      <c r="B121" s="264" t="s">
        <v>185</v>
      </c>
      <c r="C121" s="204" t="s">
        <v>242</v>
      </c>
      <c r="D121" s="204"/>
      <c r="E121" s="210" t="s">
        <v>891</v>
      </c>
      <c r="F121" s="100"/>
    </row>
    <row r="122" spans="2:6" ht="21.95" customHeight="1" x14ac:dyDescent="0.2">
      <c r="B122" s="761" t="s">
        <v>1704</v>
      </c>
      <c r="C122" s="366">
        <v>485</v>
      </c>
      <c r="D122" s="142" t="s">
        <v>248</v>
      </c>
      <c r="E122" s="1003"/>
      <c r="F122" s="100"/>
    </row>
    <row r="123" spans="2:6" ht="27" customHeight="1" thickBot="1" x14ac:dyDescent="0.25">
      <c r="B123" s="733" t="s">
        <v>1705</v>
      </c>
      <c r="C123" s="236">
        <v>490</v>
      </c>
      <c r="D123" s="238" t="s">
        <v>248</v>
      </c>
      <c r="E123" s="1004"/>
      <c r="F123" s="100"/>
    </row>
    <row r="124" spans="2:6" ht="13.5" thickTop="1" x14ac:dyDescent="0.2">
      <c r="B124" s="100"/>
      <c r="C124" s="247"/>
      <c r="D124" s="247"/>
      <c r="E124" s="100"/>
      <c r="F124" s="100"/>
    </row>
    <row r="125" spans="2:6" x14ac:dyDescent="0.2">
      <c r="B125" s="100"/>
      <c r="C125" s="247"/>
      <c r="D125" s="247"/>
      <c r="E125" s="100"/>
      <c r="F125" s="100"/>
    </row>
    <row r="126" spans="2:6" ht="13.5" thickBot="1" x14ac:dyDescent="0.25">
      <c r="B126" s="100"/>
      <c r="C126" s="247"/>
      <c r="D126" s="247"/>
      <c r="E126" s="100"/>
      <c r="F126" s="100"/>
    </row>
    <row r="127" spans="2:6" ht="13.5" thickTop="1" x14ac:dyDescent="0.2">
      <c r="B127" s="261"/>
      <c r="C127" s="195" t="s">
        <v>238</v>
      </c>
      <c r="D127" s="195" t="s">
        <v>25</v>
      </c>
      <c r="E127" s="195" t="s">
        <v>235</v>
      </c>
      <c r="F127" s="197" t="s">
        <v>236</v>
      </c>
    </row>
    <row r="128" spans="2:6" x14ac:dyDescent="0.2">
      <c r="B128" s="264" t="s">
        <v>186</v>
      </c>
      <c r="C128" s="199" t="s">
        <v>242</v>
      </c>
      <c r="D128" s="199"/>
      <c r="E128" s="199" t="s">
        <v>300</v>
      </c>
      <c r="F128" s="210" t="s">
        <v>240</v>
      </c>
    </row>
    <row r="129" spans="2:7" ht="13.5" thickBot="1" x14ac:dyDescent="0.25">
      <c r="B129" s="264" t="s">
        <v>1698</v>
      </c>
      <c r="C129" s="204"/>
      <c r="D129" s="204"/>
      <c r="E129" s="204" t="s">
        <v>243</v>
      </c>
      <c r="F129" s="210" t="s">
        <v>243</v>
      </c>
    </row>
    <row r="130" spans="2:7" ht="21.95" customHeight="1" x14ac:dyDescent="0.2">
      <c r="B130" s="761" t="s">
        <v>1633</v>
      </c>
      <c r="C130" s="207">
        <v>495</v>
      </c>
      <c r="D130" s="208" t="s">
        <v>248</v>
      </c>
      <c r="E130" s="774"/>
      <c r="F130" s="1010"/>
    </row>
    <row r="131" spans="2:7" ht="21.95" customHeight="1" x14ac:dyDescent="0.2">
      <c r="B131" s="231" t="s">
        <v>1682</v>
      </c>
      <c r="C131" s="218">
        <v>500</v>
      </c>
      <c r="D131" s="219" t="s">
        <v>248</v>
      </c>
      <c r="E131" s="391"/>
      <c r="F131" s="566"/>
    </row>
    <row r="132" spans="2:7" ht="21.95" customHeight="1" x14ac:dyDescent="0.2">
      <c r="B132" s="231" t="s">
        <v>1635</v>
      </c>
      <c r="C132" s="234">
        <v>502</v>
      </c>
      <c r="D132" s="267" t="s">
        <v>248</v>
      </c>
      <c r="E132" s="501"/>
      <c r="F132" s="566"/>
    </row>
    <row r="133" spans="2:7" ht="21.95" customHeight="1" thickBot="1" x14ac:dyDescent="0.25">
      <c r="B133" s="497" t="s">
        <v>340</v>
      </c>
      <c r="C133" s="236">
        <v>504</v>
      </c>
      <c r="D133" s="238" t="s">
        <v>248</v>
      </c>
      <c r="E133" s="502">
        <f>SUM(E130:E132)</f>
        <v>0</v>
      </c>
      <c r="F133" s="1012">
        <f>SUM(F130:F132)</f>
        <v>0</v>
      </c>
    </row>
    <row r="134" spans="2:7" ht="13.5" thickTop="1" x14ac:dyDescent="0.2">
      <c r="B134" s="100"/>
      <c r="C134" s="247"/>
      <c r="D134" s="247"/>
      <c r="E134" s="100"/>
      <c r="F134" s="100"/>
    </row>
    <row r="135" spans="2:7" ht="13.5" thickBot="1" x14ac:dyDescent="0.25">
      <c r="B135" s="100"/>
      <c r="C135" s="247"/>
      <c r="D135" s="247"/>
      <c r="E135" s="100"/>
      <c r="F135" s="100"/>
    </row>
    <row r="136" spans="2:7" ht="13.5" thickTop="1" x14ac:dyDescent="0.2">
      <c r="B136" s="261"/>
      <c r="C136" s="195"/>
      <c r="D136" s="195"/>
      <c r="E136" s="197" t="s">
        <v>235</v>
      </c>
      <c r="F136" s="100"/>
    </row>
    <row r="137" spans="2:7" x14ac:dyDescent="0.2">
      <c r="B137" s="264"/>
      <c r="C137" s="199" t="s">
        <v>238</v>
      </c>
      <c r="D137" s="199" t="s">
        <v>25</v>
      </c>
      <c r="E137" s="210" t="s">
        <v>340</v>
      </c>
      <c r="F137" s="100"/>
    </row>
    <row r="138" spans="2:7" ht="13.5" thickBot="1" x14ac:dyDescent="0.25">
      <c r="B138" s="264" t="s">
        <v>187</v>
      </c>
      <c r="C138" s="204" t="s">
        <v>242</v>
      </c>
      <c r="D138" s="204"/>
      <c r="E138" s="210" t="s">
        <v>891</v>
      </c>
      <c r="F138" s="100"/>
    </row>
    <row r="139" spans="2:7" ht="21.95" customHeight="1" x14ac:dyDescent="0.2">
      <c r="B139" s="761" t="s">
        <v>1706</v>
      </c>
      <c r="C139" s="366">
        <v>506</v>
      </c>
      <c r="D139" s="142" t="s">
        <v>248</v>
      </c>
      <c r="E139" s="1003"/>
      <c r="F139" s="100"/>
    </row>
    <row r="140" spans="2:7" ht="27" customHeight="1" thickBot="1" x14ac:dyDescent="0.25">
      <c r="B140" s="733" t="s">
        <v>1707</v>
      </c>
      <c r="C140" s="236">
        <v>508</v>
      </c>
      <c r="D140" s="238" t="s">
        <v>248</v>
      </c>
      <c r="E140" s="1004"/>
      <c r="F140" s="100"/>
    </row>
    <row r="141" spans="2:7" ht="13.5" thickTop="1" x14ac:dyDescent="0.2"/>
    <row r="143" spans="2:7" ht="13.5" thickBot="1" x14ac:dyDescent="0.25"/>
    <row r="144" spans="2:7" ht="51" customHeight="1" thickTop="1" x14ac:dyDescent="0.2">
      <c r="B144" s="791" t="s">
        <v>188</v>
      </c>
      <c r="C144" s="195" t="s">
        <v>238</v>
      </c>
      <c r="D144" s="195" t="s">
        <v>25</v>
      </c>
      <c r="E144" s="353" t="s">
        <v>235</v>
      </c>
      <c r="F144" s="353" t="s">
        <v>236</v>
      </c>
      <c r="G144" s="293" t="s">
        <v>293</v>
      </c>
    </row>
    <row r="145" spans="1:77" ht="25.5" x14ac:dyDescent="0.2">
      <c r="B145" s="198"/>
      <c r="C145" s="199" t="s">
        <v>242</v>
      </c>
      <c r="D145" s="199"/>
      <c r="E145" s="201" t="s">
        <v>1708</v>
      </c>
      <c r="F145" s="201" t="s">
        <v>1709</v>
      </c>
      <c r="G145" s="202" t="s">
        <v>240</v>
      </c>
    </row>
    <row r="146" spans="1:77" ht="13.5" thickBot="1" x14ac:dyDescent="0.25">
      <c r="B146" s="198" t="s">
        <v>1710</v>
      </c>
      <c r="C146" s="204"/>
      <c r="D146" s="204"/>
      <c r="E146" s="278" t="s">
        <v>243</v>
      </c>
      <c r="F146" s="278" t="s">
        <v>243</v>
      </c>
      <c r="G146" s="202" t="s">
        <v>243</v>
      </c>
    </row>
    <row r="147" spans="1:77" ht="30" customHeight="1" x14ac:dyDescent="0.2">
      <c r="B147" s="1005" t="s">
        <v>1711</v>
      </c>
      <c r="C147" s="763"/>
      <c r="D147" s="735"/>
      <c r="E147" s="735"/>
      <c r="F147" s="317"/>
      <c r="G147" s="318"/>
    </row>
    <row r="148" spans="1:77" ht="21.95" customHeight="1" x14ac:dyDescent="0.2">
      <c r="B148" s="188" t="s">
        <v>1712</v>
      </c>
      <c r="C148" s="251">
        <v>510</v>
      </c>
      <c r="D148" s="250" t="s">
        <v>248</v>
      </c>
      <c r="E148" s="321"/>
      <c r="F148" s="422"/>
      <c r="G148" s="307"/>
    </row>
    <row r="149" spans="1:77" ht="21.95" customHeight="1" x14ac:dyDescent="0.2">
      <c r="B149" s="213" t="s">
        <v>1713</v>
      </c>
      <c r="C149" s="218">
        <v>520</v>
      </c>
      <c r="D149" s="217" t="s">
        <v>248</v>
      </c>
      <c r="E149" s="324"/>
      <c r="F149" s="228"/>
      <c r="G149" s="298"/>
    </row>
    <row r="150" spans="1:77" ht="21.95" customHeight="1" x14ac:dyDescent="0.2">
      <c r="B150" s="213" t="s">
        <v>1714</v>
      </c>
      <c r="C150" s="218">
        <v>530</v>
      </c>
      <c r="D150" s="217" t="s">
        <v>251</v>
      </c>
      <c r="E150" s="324"/>
      <c r="F150" s="228"/>
      <c r="G150" s="298"/>
    </row>
    <row r="151" spans="1:77" ht="21.95" customHeight="1" x14ac:dyDescent="0.2">
      <c r="B151" s="213" t="s">
        <v>1715</v>
      </c>
      <c r="C151" s="218">
        <v>540</v>
      </c>
      <c r="D151" s="217" t="s">
        <v>251</v>
      </c>
      <c r="E151" s="324"/>
      <c r="F151" s="228"/>
      <c r="G151" s="298"/>
    </row>
    <row r="152" spans="1:77" ht="21.95" customHeight="1" x14ac:dyDescent="0.2">
      <c r="B152" s="213" t="s">
        <v>1716</v>
      </c>
      <c r="C152" s="218">
        <v>550</v>
      </c>
      <c r="D152" s="217" t="s">
        <v>248</v>
      </c>
      <c r="E152" s="324"/>
      <c r="F152" s="228"/>
      <c r="G152" s="298"/>
    </row>
    <row r="153" spans="1:77" ht="21.95" customHeight="1" x14ac:dyDescent="0.2">
      <c r="B153" s="213" t="s">
        <v>1717</v>
      </c>
      <c r="C153" s="218">
        <v>560</v>
      </c>
      <c r="D153" s="217" t="s">
        <v>245</v>
      </c>
      <c r="E153" s="228"/>
      <c r="F153" s="324"/>
      <c r="G153" s="298"/>
    </row>
    <row r="154" spans="1:77" ht="21.95" customHeight="1" x14ac:dyDescent="0.2">
      <c r="B154" s="213" t="s">
        <v>1718</v>
      </c>
      <c r="C154" s="218">
        <v>570</v>
      </c>
      <c r="D154" s="217" t="s">
        <v>251</v>
      </c>
      <c r="E154" s="324"/>
      <c r="F154" s="228"/>
      <c r="G154" s="298"/>
    </row>
    <row r="155" spans="1:77" ht="21.95" customHeight="1" x14ac:dyDescent="0.2">
      <c r="B155" s="226" t="s">
        <v>1719</v>
      </c>
      <c r="C155" s="218">
        <v>580</v>
      </c>
      <c r="D155" s="217" t="s">
        <v>248</v>
      </c>
      <c r="E155" s="224">
        <f>SUM(E148:E154)</f>
        <v>0</v>
      </c>
      <c r="F155" s="224">
        <f>SUM(F148:F154)</f>
        <v>0</v>
      </c>
      <c r="G155" s="299">
        <f>SUM(G148:G154)</f>
        <v>0</v>
      </c>
    </row>
    <row r="156" spans="1:77" ht="27" customHeight="1" x14ac:dyDescent="0.2">
      <c r="B156" s="245" t="s">
        <v>380</v>
      </c>
      <c r="C156" s="218">
        <v>590</v>
      </c>
      <c r="D156" s="217" t="s">
        <v>251</v>
      </c>
      <c r="E156" s="324"/>
      <c r="F156" s="228"/>
      <c r="G156" s="298"/>
    </row>
    <row r="157" spans="1:77" ht="21.95" customHeight="1" x14ac:dyDescent="0.2">
      <c r="B157" s="226" t="s">
        <v>1720</v>
      </c>
      <c r="C157" s="218">
        <v>600</v>
      </c>
      <c r="D157" s="217" t="s">
        <v>251</v>
      </c>
      <c r="E157" s="324"/>
      <c r="F157" s="224">
        <f>SUM(F155:F156)+E155</f>
        <v>0</v>
      </c>
      <c r="G157" s="299">
        <f>SUM(G155:G156)+F155</f>
        <v>0</v>
      </c>
    </row>
    <row r="158" spans="1:77" ht="30" customHeight="1" x14ac:dyDescent="0.2">
      <c r="B158" s="336" t="s">
        <v>1721</v>
      </c>
      <c r="C158" s="446"/>
      <c r="D158" s="579"/>
      <c r="E158" s="579"/>
      <c r="F158" s="258"/>
      <c r="G158" s="331"/>
    </row>
    <row r="159" spans="1:77" ht="21.95" customHeight="1" x14ac:dyDescent="0.2">
      <c r="B159" s="248" t="s">
        <v>1722</v>
      </c>
      <c r="C159" s="251">
        <v>620</v>
      </c>
      <c r="D159" s="250" t="s">
        <v>248</v>
      </c>
      <c r="E159" s="321"/>
      <c r="F159" s="422"/>
      <c r="G159" s="802"/>
      <c r="BY159" s="104"/>
    </row>
    <row r="160" spans="1:77" hidden="1" x14ac:dyDescent="0.2">
      <c r="A160" s="105"/>
      <c r="B160" s="108" t="s">
        <v>1723</v>
      </c>
      <c r="C160" s="97">
        <v>630</v>
      </c>
      <c r="D160" s="108" t="s">
        <v>251</v>
      </c>
    </row>
    <row r="161" spans="1:77" hidden="1" x14ac:dyDescent="0.2">
      <c r="A161" s="105"/>
      <c r="B161" s="108" t="s">
        <v>1724</v>
      </c>
      <c r="C161" s="97">
        <v>640</v>
      </c>
      <c r="D161" s="108" t="s">
        <v>248</v>
      </c>
    </row>
    <row r="162" spans="1:77" ht="27" customHeight="1" thickBot="1" x14ac:dyDescent="0.25">
      <c r="B162" s="1117" t="s">
        <v>1725</v>
      </c>
      <c r="C162" s="426">
        <v>650</v>
      </c>
      <c r="D162" s="425" t="s">
        <v>248</v>
      </c>
      <c r="E162" s="878"/>
      <c r="F162" s="741"/>
      <c r="G162" s="753"/>
      <c r="BY162" s="104"/>
    </row>
    <row r="163" spans="1:77" ht="13.5" thickTop="1" x14ac:dyDescent="0.2">
      <c r="C163" s="157"/>
      <c r="D163" s="157"/>
    </row>
    <row r="164" spans="1:77" hidden="1" x14ac:dyDescent="0.2">
      <c r="A164" s="99"/>
      <c r="B164" s="97" t="s">
        <v>1726</v>
      </c>
      <c r="C164" s="108"/>
      <c r="D164" s="108"/>
    </row>
    <row r="165" spans="1:77" hidden="1" x14ac:dyDescent="0.2">
      <c r="A165" s="105"/>
      <c r="B165" s="108" t="s">
        <v>1727</v>
      </c>
      <c r="C165" s="97">
        <v>660</v>
      </c>
      <c r="D165" s="108" t="s">
        <v>248</v>
      </c>
      <c r="E165" s="108"/>
    </row>
    <row r="166" spans="1:77" hidden="1" x14ac:dyDescent="0.2">
      <c r="A166" s="105"/>
      <c r="B166" s="108" t="s">
        <v>1728</v>
      </c>
      <c r="C166" s="97">
        <v>670</v>
      </c>
      <c r="D166" s="108" t="s">
        <v>248</v>
      </c>
      <c r="E166" s="108"/>
    </row>
    <row r="167" spans="1:77" hidden="1" x14ac:dyDescent="0.2">
      <c r="A167" s="105"/>
      <c r="B167" s="108" t="s">
        <v>1714</v>
      </c>
      <c r="C167" s="97">
        <v>680</v>
      </c>
      <c r="D167" s="108" t="s">
        <v>251</v>
      </c>
      <c r="E167" s="108"/>
    </row>
    <row r="168" spans="1:77" hidden="1" x14ac:dyDescent="0.2">
      <c r="A168" s="105"/>
      <c r="B168" s="108" t="s">
        <v>1715</v>
      </c>
      <c r="C168" s="97">
        <v>690</v>
      </c>
      <c r="D168" s="108" t="s">
        <v>251</v>
      </c>
      <c r="E168" s="108"/>
    </row>
    <row r="169" spans="1:77" hidden="1" x14ac:dyDescent="0.2">
      <c r="A169" s="105"/>
      <c r="B169" s="108" t="s">
        <v>1729</v>
      </c>
      <c r="C169" s="97">
        <v>700</v>
      </c>
      <c r="D169" s="108" t="s">
        <v>248</v>
      </c>
      <c r="E169" s="108"/>
    </row>
    <row r="170" spans="1:77" hidden="1" x14ac:dyDescent="0.2">
      <c r="A170" s="105"/>
      <c r="B170" s="108" t="s">
        <v>1718</v>
      </c>
      <c r="C170" s="97">
        <v>710</v>
      </c>
      <c r="D170" s="108" t="s">
        <v>248</v>
      </c>
      <c r="E170" s="108"/>
    </row>
    <row r="171" spans="1:77" hidden="1" x14ac:dyDescent="0.2">
      <c r="A171" s="105"/>
      <c r="B171" s="97" t="s">
        <v>1730</v>
      </c>
      <c r="C171" s="97">
        <v>720</v>
      </c>
      <c r="D171" s="108" t="s">
        <v>248</v>
      </c>
      <c r="E171" s="97"/>
      <c r="F171" s="97"/>
      <c r="G171" s="97"/>
      <c r="H171" s="97"/>
      <c r="I171" s="97"/>
      <c r="J171" s="97"/>
    </row>
    <row r="172" spans="1:77" hidden="1" x14ac:dyDescent="0.2">
      <c r="A172" s="105"/>
      <c r="B172" s="108" t="s">
        <v>1731</v>
      </c>
      <c r="C172" s="97">
        <v>730</v>
      </c>
      <c r="D172" s="108" t="s">
        <v>245</v>
      </c>
      <c r="E172" s="108"/>
    </row>
    <row r="173" spans="1:77" hidden="1" x14ac:dyDescent="0.2">
      <c r="A173" s="105"/>
      <c r="B173" s="97" t="s">
        <v>1732</v>
      </c>
      <c r="C173" s="97">
        <v>740</v>
      </c>
      <c r="D173" s="108" t="s">
        <v>251</v>
      </c>
      <c r="E173" s="97"/>
      <c r="F173" s="97"/>
      <c r="G173" s="97"/>
      <c r="H173" s="97"/>
      <c r="I173" s="97"/>
      <c r="J173" s="97"/>
    </row>
    <row r="174" spans="1:77" hidden="1" x14ac:dyDescent="0.2"/>
    <row r="175" spans="1:77" hidden="1" x14ac:dyDescent="0.2">
      <c r="A175" s="99"/>
      <c r="B175" s="97" t="s">
        <v>1733</v>
      </c>
      <c r="C175" s="108"/>
      <c r="D175" s="108"/>
    </row>
    <row r="176" spans="1:77" hidden="1" x14ac:dyDescent="0.2">
      <c r="A176" s="99"/>
      <c r="B176" s="108" t="s">
        <v>1734</v>
      </c>
      <c r="C176" s="97">
        <v>750</v>
      </c>
      <c r="D176" s="108" t="s">
        <v>248</v>
      </c>
    </row>
    <row r="177" spans="1:5" hidden="1" x14ac:dyDescent="0.2">
      <c r="A177" s="99"/>
      <c r="B177" s="108" t="s">
        <v>1735</v>
      </c>
      <c r="C177" s="97">
        <v>760</v>
      </c>
      <c r="D177" s="108" t="s">
        <v>248</v>
      </c>
    </row>
    <row r="178" spans="1:5" hidden="1" x14ac:dyDescent="0.2">
      <c r="A178" s="99"/>
      <c r="B178" s="108" t="s">
        <v>1736</v>
      </c>
      <c r="C178" s="97">
        <v>770</v>
      </c>
      <c r="D178" s="108" t="s">
        <v>248</v>
      </c>
    </row>
    <row r="179" spans="1:5" hidden="1" x14ac:dyDescent="0.2">
      <c r="A179" s="99"/>
      <c r="B179" s="108" t="s">
        <v>1737</v>
      </c>
      <c r="C179" s="97">
        <v>780</v>
      </c>
      <c r="D179" s="108" t="s">
        <v>248</v>
      </c>
    </row>
    <row r="180" spans="1:5" hidden="1" x14ac:dyDescent="0.2"/>
    <row r="181" spans="1:5" ht="13.5" hidden="1" thickBot="1" x14ac:dyDescent="0.25"/>
    <row r="182" spans="1:5" ht="13.5" hidden="1" thickTop="1" x14ac:dyDescent="0.2">
      <c r="B182" s="505"/>
      <c r="C182" s="274" t="s">
        <v>238</v>
      </c>
      <c r="D182" s="274" t="s">
        <v>25</v>
      </c>
      <c r="E182" s="311" t="s">
        <v>235</v>
      </c>
    </row>
    <row r="183" spans="1:5" hidden="1" x14ac:dyDescent="0.2">
      <c r="B183" s="508" t="s">
        <v>1738</v>
      </c>
      <c r="C183" s="199" t="s">
        <v>242</v>
      </c>
      <c r="D183" s="199"/>
      <c r="E183" s="539" t="s">
        <v>300</v>
      </c>
    </row>
    <row r="184" spans="1:5" ht="13.5" hidden="1" thickBot="1" x14ac:dyDescent="0.25">
      <c r="B184" s="156"/>
      <c r="C184" s="204"/>
      <c r="D184" s="204"/>
      <c r="E184" s="313" t="s">
        <v>243</v>
      </c>
    </row>
    <row r="185" spans="1:5" ht="21.95" hidden="1" customHeight="1" x14ac:dyDescent="0.2">
      <c r="B185" s="170" t="s">
        <v>1739</v>
      </c>
      <c r="C185" s="964"/>
      <c r="D185" s="964"/>
      <c r="E185" s="1006"/>
    </row>
    <row r="186" spans="1:5" ht="30" hidden="1" customHeight="1" x14ac:dyDescent="0.2">
      <c r="B186" s="508" t="s">
        <v>1740</v>
      </c>
      <c r="C186" s="625"/>
      <c r="D186" s="625"/>
      <c r="E186" s="1007"/>
    </row>
    <row r="187" spans="1:5" ht="21.95" hidden="1" customHeight="1" x14ac:dyDescent="0.2">
      <c r="B187" s="531" t="s">
        <v>1633</v>
      </c>
      <c r="C187" s="251">
        <v>800</v>
      </c>
      <c r="D187" s="252" t="s">
        <v>248</v>
      </c>
      <c r="E187" s="534"/>
    </row>
    <row r="188" spans="1:5" ht="21.95" hidden="1" customHeight="1" x14ac:dyDescent="0.2">
      <c r="B188" s="524" t="s">
        <v>1682</v>
      </c>
      <c r="C188" s="218">
        <v>810</v>
      </c>
      <c r="D188" s="219" t="s">
        <v>248</v>
      </c>
      <c r="E188" s="526"/>
    </row>
    <row r="189" spans="1:5" ht="21.95" hidden="1" customHeight="1" x14ac:dyDescent="0.2">
      <c r="B189" s="524" t="s">
        <v>1635</v>
      </c>
      <c r="C189" s="218">
        <v>820</v>
      </c>
      <c r="D189" s="219" t="s">
        <v>248</v>
      </c>
      <c r="E189" s="526"/>
    </row>
    <row r="190" spans="1:5" ht="21.95" hidden="1" customHeight="1" thickBot="1" x14ac:dyDescent="0.25">
      <c r="B190" s="544" t="s">
        <v>340</v>
      </c>
      <c r="C190" s="358">
        <v>830</v>
      </c>
      <c r="D190" s="545" t="s">
        <v>248</v>
      </c>
      <c r="E190" s="1008">
        <f>SUM(E187:E189)</f>
        <v>0</v>
      </c>
    </row>
    <row r="191" spans="1:5" ht="21.95" hidden="1" customHeight="1" x14ac:dyDescent="0.2">
      <c r="B191" s="170" t="s">
        <v>1741</v>
      </c>
      <c r="C191" s="763"/>
      <c r="D191" s="964"/>
      <c r="E191" s="1006"/>
    </row>
    <row r="192" spans="1:5" ht="30" hidden="1" customHeight="1" x14ac:dyDescent="0.2">
      <c r="B192" s="508" t="s">
        <v>1742</v>
      </c>
      <c r="C192" s="417"/>
      <c r="D192" s="625"/>
      <c r="E192" s="1007"/>
    </row>
    <row r="193" spans="2:5" ht="21.95" hidden="1" customHeight="1" x14ac:dyDescent="0.2">
      <c r="B193" s="531" t="s">
        <v>1633</v>
      </c>
      <c r="C193" s="251">
        <v>840</v>
      </c>
      <c r="D193" s="252" t="s">
        <v>248</v>
      </c>
      <c r="E193" s="534"/>
    </row>
    <row r="194" spans="2:5" ht="21.95" hidden="1" customHeight="1" x14ac:dyDescent="0.2">
      <c r="B194" s="524" t="s">
        <v>1682</v>
      </c>
      <c r="C194" s="218">
        <v>850</v>
      </c>
      <c r="D194" s="219" t="s">
        <v>248</v>
      </c>
      <c r="E194" s="526"/>
    </row>
    <row r="195" spans="2:5" ht="21.95" hidden="1" customHeight="1" x14ac:dyDescent="0.2">
      <c r="B195" s="524" t="s">
        <v>1635</v>
      </c>
      <c r="C195" s="218">
        <v>860</v>
      </c>
      <c r="D195" s="219" t="s">
        <v>248</v>
      </c>
      <c r="E195" s="526"/>
    </row>
    <row r="196" spans="2:5" ht="21.95" hidden="1" customHeight="1" thickBot="1" x14ac:dyDescent="0.25">
      <c r="B196" s="1009" t="s">
        <v>340</v>
      </c>
      <c r="C196" s="289">
        <v>870</v>
      </c>
      <c r="D196" s="290" t="s">
        <v>248</v>
      </c>
      <c r="E196" s="819">
        <f>SUM(E193:E195)</f>
        <v>0</v>
      </c>
    </row>
    <row r="197" spans="2:5" ht="13.5" hidden="1" thickTop="1" x14ac:dyDescent="0.2">
      <c r="B197" s="100"/>
      <c r="C197" s="247"/>
      <c r="D197" s="247"/>
      <c r="E197" s="100"/>
    </row>
    <row r="198" spans="2:5" hidden="1" x14ac:dyDescent="0.2">
      <c r="B198" s="100"/>
      <c r="C198" s="247"/>
      <c r="D198" s="247"/>
      <c r="E198" s="100"/>
    </row>
    <row r="199" spans="2:5" ht="13.5" hidden="1" thickBot="1" x14ac:dyDescent="0.25">
      <c r="B199" s="100"/>
      <c r="C199" s="247"/>
      <c r="D199" s="247"/>
      <c r="E199" s="102"/>
    </row>
    <row r="200" spans="2:5" ht="13.5" hidden="1" thickTop="1" x14ac:dyDescent="0.2">
      <c r="B200" s="505"/>
      <c r="C200" s="274" t="s">
        <v>238</v>
      </c>
      <c r="D200" s="274" t="s">
        <v>25</v>
      </c>
      <c r="E200" s="311" t="s">
        <v>235</v>
      </c>
    </row>
    <row r="201" spans="2:5" hidden="1" x14ac:dyDescent="0.2">
      <c r="B201" s="508" t="s">
        <v>1743</v>
      </c>
      <c r="C201" s="199" t="s">
        <v>242</v>
      </c>
      <c r="D201" s="199"/>
      <c r="E201" s="539" t="s">
        <v>300</v>
      </c>
    </row>
    <row r="202" spans="2:5" ht="13.5" hidden="1" thickBot="1" x14ac:dyDescent="0.25">
      <c r="B202" s="156"/>
      <c r="C202" s="204"/>
      <c r="D202" s="204"/>
      <c r="E202" s="313" t="s">
        <v>243</v>
      </c>
    </row>
    <row r="203" spans="2:5" ht="21.95" hidden="1" customHeight="1" x14ac:dyDescent="0.2">
      <c r="B203" s="170" t="s">
        <v>1739</v>
      </c>
      <c r="C203" s="964"/>
      <c r="D203" s="964"/>
      <c r="E203" s="1006"/>
    </row>
    <row r="204" spans="2:5" ht="30" hidden="1" customHeight="1" x14ac:dyDescent="0.2">
      <c r="B204" s="508" t="s">
        <v>1744</v>
      </c>
      <c r="C204" s="625"/>
      <c r="D204" s="625"/>
      <c r="E204" s="1007"/>
    </row>
    <row r="205" spans="2:5" ht="21.95" hidden="1" customHeight="1" x14ac:dyDescent="0.2">
      <c r="B205" s="531" t="s">
        <v>1633</v>
      </c>
      <c r="C205" s="251">
        <v>880</v>
      </c>
      <c r="D205" s="252" t="s">
        <v>248</v>
      </c>
      <c r="E205" s="534"/>
    </row>
    <row r="206" spans="2:5" ht="21.95" hidden="1" customHeight="1" x14ac:dyDescent="0.2">
      <c r="B206" s="524" t="s">
        <v>1682</v>
      </c>
      <c r="C206" s="218">
        <v>890</v>
      </c>
      <c r="D206" s="219" t="s">
        <v>248</v>
      </c>
      <c r="E206" s="526"/>
    </row>
    <row r="207" spans="2:5" ht="21.95" hidden="1" customHeight="1" x14ac:dyDescent="0.2">
      <c r="B207" s="524" t="s">
        <v>1635</v>
      </c>
      <c r="C207" s="218">
        <v>900</v>
      </c>
      <c r="D207" s="219" t="s">
        <v>248</v>
      </c>
      <c r="E207" s="526"/>
    </row>
    <row r="208" spans="2:5" ht="21.95" hidden="1" customHeight="1" thickBot="1" x14ac:dyDescent="0.25">
      <c r="B208" s="544" t="s">
        <v>340</v>
      </c>
      <c r="C208" s="358">
        <v>910</v>
      </c>
      <c r="D208" s="545" t="s">
        <v>248</v>
      </c>
      <c r="E208" s="1008">
        <f>SUM(E205:E207)</f>
        <v>0</v>
      </c>
    </row>
    <row r="209" spans="2:5" ht="21.95" hidden="1" customHeight="1" x14ac:dyDescent="0.2">
      <c r="B209" s="170" t="s">
        <v>1741</v>
      </c>
      <c r="C209" s="763"/>
      <c r="D209" s="964"/>
      <c r="E209" s="1006"/>
    </row>
    <row r="210" spans="2:5" ht="30" hidden="1" customHeight="1" x14ac:dyDescent="0.2">
      <c r="B210" s="508" t="s">
        <v>1745</v>
      </c>
      <c r="C210" s="417"/>
      <c r="D210" s="625"/>
      <c r="E210" s="1007"/>
    </row>
    <row r="211" spans="2:5" ht="21.95" hidden="1" customHeight="1" x14ac:dyDescent="0.2">
      <c r="B211" s="531" t="s">
        <v>1633</v>
      </c>
      <c r="C211" s="251">
        <v>920</v>
      </c>
      <c r="D211" s="252" t="s">
        <v>248</v>
      </c>
      <c r="E211" s="534"/>
    </row>
    <row r="212" spans="2:5" ht="21.95" hidden="1" customHeight="1" x14ac:dyDescent="0.2">
      <c r="B212" s="524" t="s">
        <v>1682</v>
      </c>
      <c r="C212" s="218">
        <v>930</v>
      </c>
      <c r="D212" s="219" t="s">
        <v>248</v>
      </c>
      <c r="E212" s="526"/>
    </row>
    <row r="213" spans="2:5" ht="21.95" hidden="1" customHeight="1" x14ac:dyDescent="0.2">
      <c r="B213" s="524" t="s">
        <v>1635</v>
      </c>
      <c r="C213" s="218">
        <v>940</v>
      </c>
      <c r="D213" s="219" t="s">
        <v>248</v>
      </c>
      <c r="E213" s="526"/>
    </row>
    <row r="214" spans="2:5" ht="21.95" hidden="1" customHeight="1" thickBot="1" x14ac:dyDescent="0.25">
      <c r="B214" s="1009" t="s">
        <v>340</v>
      </c>
      <c r="C214" s="289">
        <v>950</v>
      </c>
      <c r="D214" s="290" t="s">
        <v>248</v>
      </c>
      <c r="E214" s="819">
        <f>SUM(E211:E213)</f>
        <v>0</v>
      </c>
    </row>
    <row r="215" spans="2:5" ht="13.5" hidden="1" thickTop="1" x14ac:dyDescent="0.2"/>
  </sheetData>
  <sheetProtection password="8EBD" sheet="1" objects="1" scenarios="1"/>
  <dataValidations count="3">
    <dataValidation type="decimal" allowBlank="1" showErrorMessage="1" errorTitle="Number Only" error="Error : This cell can only accept a numeric value with a max of 12 digits." sqref="A1 E214 E208 E196 E190 A165:A173 BY162 G162 A160:A161 BY159 G159 F157 E155:F155 G148:G157 E133 F130:F132 E116 F113:F115 E106 E104 F101:F106 F91:F94 E80:F83 E75:F77 E61 F58:F60 E43 F40:F43 E34 E32 F29:F34 F19:F22 E14:F17 E10:F12">
      <formula1>-1000000000000</formula1>
      <formula2>1000000000000</formula2>
    </dataValidation>
    <dataValidation type="whole" allowBlank="1" showErrorMessage="1" errorTitle="Number Only" error="Error : This cell can only accept a numeric value with a max of 12 digits." sqref="B5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211:E213 E205:E207 E193:E195 E187:E189 F162 F159 F156 F154 E153 F148:F152 E139:E140 E130:E132 E122:E123 E113:E115 E105 E101:E103 E92:E94 E68:E69 E58:E60 E50:E51 E40:E42 E33 E29:E31 E20:E22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65" fitToHeight="3" orientation="portrait" horizontalDpi="90" verticalDpi="90" r:id="rId1"/>
  <rowBreaks count="2" manualBreakCount="2">
    <brk id="70" max="55" man="1"/>
    <brk id="142" max="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BZ77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4" customWidth="1"/>
    <col min="2" max="2" width="57.7109375" customWidth="1"/>
    <col min="3" max="4" width="10.140625" customWidth="1"/>
    <col min="5" max="5" width="16.85546875" customWidth="1"/>
    <col min="6" max="14" width="15.85546875" customWidth="1"/>
    <col min="15" max="78" width="3" hidden="1" customWidth="1"/>
  </cols>
  <sheetData>
    <row r="1" spans="1:9" ht="15.75" x14ac:dyDescent="0.25">
      <c r="A1" s="1131" t="s">
        <v>3726</v>
      </c>
      <c r="B1" s="1139" t="str">
        <f>OrgName</f>
        <v>ZZZ NHS TRUST</v>
      </c>
      <c r="C1" s="1133"/>
      <c r="D1" s="1122"/>
      <c r="E1" s="1177" t="str">
        <f>HYPERLINK(CHAR(35)&amp;"1415TRU_Index_P13"&amp;"!A1","GoTo Index tab")</f>
        <v>GoTo Index tab</v>
      </c>
    </row>
    <row r="2" spans="1:9" x14ac:dyDescent="0.2">
      <c r="A2" s="1131" t="s">
        <v>3727</v>
      </c>
      <c r="B2" s="1137" t="str">
        <f>"Org Code: " &amp; Orgcode</f>
        <v>Org Code: ZZZ</v>
      </c>
      <c r="C2" s="1118"/>
      <c r="D2" s="1119"/>
      <c r="E2" s="1135"/>
    </row>
    <row r="3" spans="1:9" x14ac:dyDescent="0.2">
      <c r="A3" s="1131" t="s">
        <v>3748</v>
      </c>
      <c r="B3" s="1138" t="s">
        <v>3725</v>
      </c>
      <c r="C3" s="1141"/>
      <c r="D3" s="1125"/>
      <c r="E3" s="1136"/>
    </row>
    <row r="4" spans="1:9" x14ac:dyDescent="0.2">
      <c r="B4" s="97" t="s">
        <v>1749</v>
      </c>
      <c r="C4" s="97"/>
    </row>
    <row r="5" spans="1:9" x14ac:dyDescent="0.2">
      <c r="B5" s="103" t="s">
        <v>66</v>
      </c>
      <c r="C5" s="97"/>
    </row>
    <row r="6" spans="1:9" ht="13.5" thickBot="1" x14ac:dyDescent="0.25">
      <c r="C6" s="97"/>
      <c r="I6" s="187"/>
    </row>
    <row r="7" spans="1:9" ht="13.5" thickTop="1" x14ac:dyDescent="0.2">
      <c r="B7" s="242"/>
      <c r="C7" s="195"/>
      <c r="D7" s="195" t="s">
        <v>25</v>
      </c>
      <c r="E7" s="195" t="s">
        <v>235</v>
      </c>
      <c r="F7" s="195" t="s">
        <v>236</v>
      </c>
      <c r="G7" s="195" t="s">
        <v>293</v>
      </c>
      <c r="H7" s="197" t="s">
        <v>294</v>
      </c>
      <c r="I7" s="172"/>
    </row>
    <row r="8" spans="1:9" ht="38.25" x14ac:dyDescent="0.2">
      <c r="B8" s="198" t="s">
        <v>192</v>
      </c>
      <c r="C8" s="199" t="s">
        <v>238</v>
      </c>
      <c r="D8" s="200"/>
      <c r="E8" s="201" t="s">
        <v>1750</v>
      </c>
      <c r="F8" s="201" t="s">
        <v>1751</v>
      </c>
      <c r="G8" s="201" t="s">
        <v>1752</v>
      </c>
      <c r="H8" s="210" t="s">
        <v>358</v>
      </c>
      <c r="I8" s="97"/>
    </row>
    <row r="9" spans="1:9" ht="13.5" thickBot="1" x14ac:dyDescent="0.25">
      <c r="B9" s="198"/>
      <c r="C9" s="1017" t="s">
        <v>242</v>
      </c>
      <c r="D9" s="205"/>
      <c r="E9" s="204" t="s">
        <v>243</v>
      </c>
      <c r="F9" s="204" t="s">
        <v>243</v>
      </c>
      <c r="G9" s="204" t="s">
        <v>243</v>
      </c>
      <c r="H9" s="420"/>
      <c r="I9" s="97"/>
    </row>
    <row r="10" spans="1:9" ht="21.95" customHeight="1" x14ac:dyDescent="0.2">
      <c r="B10" s="314" t="s">
        <v>1753</v>
      </c>
      <c r="C10" s="317"/>
      <c r="D10" s="316"/>
      <c r="E10" s="317"/>
      <c r="F10" s="317"/>
      <c r="G10" s="317"/>
      <c r="H10" s="318"/>
    </row>
    <row r="11" spans="1:9" ht="21.95" customHeight="1" x14ac:dyDescent="0.2">
      <c r="B11" s="188" t="s">
        <v>1754</v>
      </c>
      <c r="C11" s="251">
        <v>100</v>
      </c>
      <c r="D11" s="252" t="s">
        <v>248</v>
      </c>
      <c r="E11" s="422"/>
      <c r="F11" s="622"/>
      <c r="G11" s="622"/>
      <c r="H11" s="255">
        <f t="shared" ref="H11:H23" si="0">SUM(E11:G11)</f>
        <v>0</v>
      </c>
      <c r="I11" s="247"/>
    </row>
    <row r="12" spans="1:9" ht="21.95" customHeight="1" x14ac:dyDescent="0.2">
      <c r="B12" s="213" t="s">
        <v>1755</v>
      </c>
      <c r="C12" s="218">
        <v>110</v>
      </c>
      <c r="D12" s="219" t="s">
        <v>248</v>
      </c>
      <c r="E12" s="334"/>
      <c r="F12" s="228"/>
      <c r="G12" s="334"/>
      <c r="H12" s="222">
        <f t="shared" si="0"/>
        <v>0</v>
      </c>
      <c r="I12" s="247"/>
    </row>
    <row r="13" spans="1:9" ht="21.95" customHeight="1" x14ac:dyDescent="0.2">
      <c r="B13" s="213" t="s">
        <v>1756</v>
      </c>
      <c r="C13" s="218">
        <v>120</v>
      </c>
      <c r="D13" s="219" t="s">
        <v>248</v>
      </c>
      <c r="E13" s="334"/>
      <c r="F13" s="228"/>
      <c r="G13" s="334"/>
      <c r="H13" s="222">
        <f t="shared" si="0"/>
        <v>0</v>
      </c>
      <c r="I13" s="247"/>
    </row>
    <row r="14" spans="1:9" ht="21.95" customHeight="1" x14ac:dyDescent="0.2">
      <c r="B14" s="213" t="s">
        <v>1757</v>
      </c>
      <c r="C14" s="218">
        <v>130</v>
      </c>
      <c r="D14" s="219" t="s">
        <v>248</v>
      </c>
      <c r="E14" s="334"/>
      <c r="F14" s="228"/>
      <c r="G14" s="334"/>
      <c r="H14" s="222">
        <f t="shared" si="0"/>
        <v>0</v>
      </c>
      <c r="I14" s="247"/>
    </row>
    <row r="15" spans="1:9" ht="21.95" customHeight="1" x14ac:dyDescent="0.2">
      <c r="B15" s="213" t="s">
        <v>312</v>
      </c>
      <c r="C15" s="218">
        <v>140</v>
      </c>
      <c r="D15" s="219" t="s">
        <v>248</v>
      </c>
      <c r="E15" s="228"/>
      <c r="F15" s="228"/>
      <c r="G15" s="228"/>
      <c r="H15" s="222">
        <f t="shared" si="0"/>
        <v>0</v>
      </c>
      <c r="I15" s="247"/>
    </row>
    <row r="16" spans="1:9" ht="21.95" customHeight="1" thickBot="1" x14ac:dyDescent="0.25">
      <c r="B16" s="226" t="s">
        <v>1092</v>
      </c>
      <c r="C16" s="289">
        <v>150</v>
      </c>
      <c r="D16" s="290" t="s">
        <v>248</v>
      </c>
      <c r="E16" s="342">
        <f>SUM(E11:E15)</f>
        <v>0</v>
      </c>
      <c r="F16" s="342">
        <f>SUM(F11:F15)</f>
        <v>0</v>
      </c>
      <c r="G16" s="342">
        <f>SUM(G11:G15)</f>
        <v>0</v>
      </c>
      <c r="H16" s="227">
        <f t="shared" si="0"/>
        <v>0</v>
      </c>
      <c r="I16" s="247"/>
    </row>
    <row r="17" spans="2:9" ht="21.95" customHeight="1" thickTop="1" x14ac:dyDescent="0.2">
      <c r="B17" s="411" t="s">
        <v>240</v>
      </c>
      <c r="C17" s="414"/>
      <c r="D17" s="414"/>
      <c r="E17" s="414"/>
      <c r="F17" s="414"/>
      <c r="G17" s="414"/>
      <c r="H17" s="968"/>
    </row>
    <row r="18" spans="2:9" ht="21.95" customHeight="1" x14ac:dyDescent="0.2">
      <c r="B18" s="188" t="s">
        <v>1754</v>
      </c>
      <c r="C18" s="251">
        <v>160</v>
      </c>
      <c r="D18" s="252" t="s">
        <v>248</v>
      </c>
      <c r="E18" s="306"/>
      <c r="F18" s="622"/>
      <c r="G18" s="622"/>
      <c r="H18" s="307">
        <f t="shared" si="0"/>
        <v>0</v>
      </c>
      <c r="I18" s="247"/>
    </row>
    <row r="19" spans="2:9" ht="21.95" customHeight="1" x14ac:dyDescent="0.2">
      <c r="B19" s="213" t="s">
        <v>1755</v>
      </c>
      <c r="C19" s="218">
        <v>170</v>
      </c>
      <c r="D19" s="219" t="s">
        <v>248</v>
      </c>
      <c r="E19" s="334"/>
      <c r="F19" s="300"/>
      <c r="G19" s="334"/>
      <c r="H19" s="298">
        <f t="shared" si="0"/>
        <v>0</v>
      </c>
      <c r="I19" s="247"/>
    </row>
    <row r="20" spans="2:9" ht="21.95" customHeight="1" x14ac:dyDescent="0.2">
      <c r="B20" s="213" t="s">
        <v>1758</v>
      </c>
      <c r="C20" s="218">
        <v>180</v>
      </c>
      <c r="D20" s="219" t="s">
        <v>248</v>
      </c>
      <c r="E20" s="334"/>
      <c r="F20" s="300"/>
      <c r="G20" s="334"/>
      <c r="H20" s="298">
        <f t="shared" si="0"/>
        <v>0</v>
      </c>
      <c r="I20" s="247"/>
    </row>
    <row r="21" spans="2:9" ht="21.95" customHeight="1" x14ac:dyDescent="0.2">
      <c r="B21" s="213" t="s">
        <v>1757</v>
      </c>
      <c r="C21" s="218">
        <v>190</v>
      </c>
      <c r="D21" s="219" t="s">
        <v>248</v>
      </c>
      <c r="E21" s="334"/>
      <c r="F21" s="300"/>
      <c r="G21" s="334"/>
      <c r="H21" s="298">
        <f t="shared" si="0"/>
        <v>0</v>
      </c>
      <c r="I21" s="247"/>
    </row>
    <row r="22" spans="2:9" ht="21.95" customHeight="1" x14ac:dyDescent="0.2">
      <c r="B22" s="213" t="s">
        <v>312</v>
      </c>
      <c r="C22" s="234">
        <v>200</v>
      </c>
      <c r="D22" s="267" t="s">
        <v>248</v>
      </c>
      <c r="E22" s="403"/>
      <c r="F22" s="403"/>
      <c r="G22" s="403"/>
      <c r="H22" s="298">
        <f t="shared" si="0"/>
        <v>0</v>
      </c>
      <c r="I22" s="247"/>
    </row>
    <row r="23" spans="2:9" ht="21.95" customHeight="1" thickBot="1" x14ac:dyDescent="0.25">
      <c r="B23" s="233" t="s">
        <v>1263</v>
      </c>
      <c r="C23" s="236">
        <v>210</v>
      </c>
      <c r="D23" s="238" t="s">
        <v>248</v>
      </c>
      <c r="E23" s="464">
        <f>SUM(E18:E22)</f>
        <v>0</v>
      </c>
      <c r="F23" s="464">
        <f>SUM(F18:F22)</f>
        <v>0</v>
      </c>
      <c r="G23" s="464">
        <f>SUM(G18:G22)</f>
        <v>0</v>
      </c>
      <c r="H23" s="301">
        <f t="shared" si="0"/>
        <v>0</v>
      </c>
      <c r="I23" s="247"/>
    </row>
    <row r="24" spans="2:9" ht="13.5" thickTop="1" x14ac:dyDescent="0.2"/>
    <row r="26" spans="2:9" ht="13.5" thickBot="1" x14ac:dyDescent="0.25">
      <c r="C26" s="97"/>
    </row>
    <row r="27" spans="2:9" ht="13.5" thickTop="1" x14ac:dyDescent="0.2">
      <c r="B27" s="242"/>
      <c r="C27" s="193"/>
      <c r="D27" s="195" t="s">
        <v>25</v>
      </c>
      <c r="E27" s="195" t="s">
        <v>235</v>
      </c>
      <c r="F27" s="195" t="s">
        <v>236</v>
      </c>
      <c r="G27" s="197" t="s">
        <v>293</v>
      </c>
      <c r="H27" s="172"/>
    </row>
    <row r="28" spans="2:9" ht="38.25" x14ac:dyDescent="0.2">
      <c r="B28" s="198" t="s">
        <v>193</v>
      </c>
      <c r="C28" s="199" t="s">
        <v>238</v>
      </c>
      <c r="D28" s="200"/>
      <c r="E28" s="201" t="s">
        <v>1750</v>
      </c>
      <c r="F28" s="199" t="s">
        <v>352</v>
      </c>
      <c r="G28" s="210" t="s">
        <v>358</v>
      </c>
      <c r="H28" s="97"/>
    </row>
    <row r="29" spans="2:9" ht="13.5" thickBot="1" x14ac:dyDescent="0.25">
      <c r="B29" s="198"/>
      <c r="C29" s="204" t="s">
        <v>242</v>
      </c>
      <c r="D29" s="205"/>
      <c r="E29" s="204" t="s">
        <v>243</v>
      </c>
      <c r="F29" s="204" t="s">
        <v>243</v>
      </c>
      <c r="G29" s="420"/>
      <c r="H29" s="97"/>
    </row>
    <row r="30" spans="2:9" ht="21.95" customHeight="1" x14ac:dyDescent="0.2">
      <c r="B30" s="314" t="s">
        <v>1759</v>
      </c>
      <c r="C30" s="315"/>
      <c r="D30" s="316"/>
      <c r="E30" s="317"/>
      <c r="F30" s="317"/>
      <c r="G30" s="318"/>
    </row>
    <row r="31" spans="2:9" ht="21.95" customHeight="1" x14ac:dyDescent="0.2">
      <c r="B31" s="188" t="s">
        <v>1754</v>
      </c>
      <c r="C31" s="251">
        <v>220</v>
      </c>
      <c r="D31" s="252" t="s">
        <v>248</v>
      </c>
      <c r="E31" s="422"/>
      <c r="F31" s="622"/>
      <c r="G31" s="843">
        <f t="shared" ref="G31:G37" si="1">SUM(E31:F31)</f>
        <v>0</v>
      </c>
      <c r="H31" s="157"/>
    </row>
    <row r="32" spans="2:9" ht="21.95" customHeight="1" x14ac:dyDescent="0.2">
      <c r="B32" s="213" t="s">
        <v>913</v>
      </c>
      <c r="C32" s="218">
        <v>230</v>
      </c>
      <c r="D32" s="219" t="s">
        <v>248</v>
      </c>
      <c r="E32" s="334"/>
      <c r="F32" s="228"/>
      <c r="G32" s="661">
        <f t="shared" si="1"/>
        <v>0</v>
      </c>
      <c r="H32" s="157"/>
    </row>
    <row r="33" spans="2:8" ht="21.95" customHeight="1" x14ac:dyDescent="0.2">
      <c r="B33" s="213" t="s">
        <v>1760</v>
      </c>
      <c r="C33" s="218">
        <v>240</v>
      </c>
      <c r="D33" s="219" t="s">
        <v>248</v>
      </c>
      <c r="E33" s="334"/>
      <c r="F33" s="228"/>
      <c r="G33" s="661">
        <f t="shared" si="1"/>
        <v>0</v>
      </c>
      <c r="H33" s="157"/>
    </row>
    <row r="34" spans="2:8" ht="21.95" customHeight="1" x14ac:dyDescent="0.2">
      <c r="B34" s="213" t="s">
        <v>1761</v>
      </c>
      <c r="C34" s="218">
        <v>250</v>
      </c>
      <c r="D34" s="219" t="s">
        <v>248</v>
      </c>
      <c r="E34" s="334"/>
      <c r="F34" s="228"/>
      <c r="G34" s="661">
        <f t="shared" si="1"/>
        <v>0</v>
      </c>
      <c r="H34" s="157"/>
    </row>
    <row r="35" spans="2:8" ht="21.95" customHeight="1" x14ac:dyDescent="0.2">
      <c r="B35" s="213" t="s">
        <v>1762</v>
      </c>
      <c r="C35" s="218">
        <v>260</v>
      </c>
      <c r="D35" s="219" t="s">
        <v>248</v>
      </c>
      <c r="E35" s="334"/>
      <c r="F35" s="228"/>
      <c r="G35" s="661">
        <f t="shared" si="1"/>
        <v>0</v>
      </c>
      <c r="H35" s="157"/>
    </row>
    <row r="36" spans="2:8" ht="21.95" customHeight="1" x14ac:dyDescent="0.2">
      <c r="B36" s="213" t="s">
        <v>325</v>
      </c>
      <c r="C36" s="218">
        <v>270</v>
      </c>
      <c r="D36" s="219" t="s">
        <v>248</v>
      </c>
      <c r="E36" s="228"/>
      <c r="F36" s="228"/>
      <c r="G36" s="661">
        <f t="shared" si="1"/>
        <v>0</v>
      </c>
      <c r="H36" s="157"/>
    </row>
    <row r="37" spans="2:8" ht="21.95" customHeight="1" thickBot="1" x14ac:dyDescent="0.25">
      <c r="B37" s="226" t="s">
        <v>1092</v>
      </c>
      <c r="C37" s="289">
        <v>280</v>
      </c>
      <c r="D37" s="290" t="s">
        <v>248</v>
      </c>
      <c r="E37" s="342">
        <f>SUM(E31:E36)</f>
        <v>0</v>
      </c>
      <c r="F37" s="342">
        <f>SUM(F31:F36)</f>
        <v>0</v>
      </c>
      <c r="G37" s="227">
        <f t="shared" si="1"/>
        <v>0</v>
      </c>
      <c r="H37" s="157"/>
    </row>
    <row r="38" spans="2:8" ht="21.95" customHeight="1" thickTop="1" x14ac:dyDescent="0.2">
      <c r="B38" s="411" t="s">
        <v>240</v>
      </c>
      <c r="C38" s="414"/>
      <c r="D38" s="414"/>
      <c r="E38" s="414"/>
      <c r="F38" s="414"/>
      <c r="G38" s="968"/>
    </row>
    <row r="39" spans="2:8" ht="21.95" customHeight="1" x14ac:dyDescent="0.2">
      <c r="B39" s="188" t="s">
        <v>1754</v>
      </c>
      <c r="C39" s="251">
        <v>290</v>
      </c>
      <c r="D39" s="252" t="s">
        <v>248</v>
      </c>
      <c r="E39" s="306">
        <f>'1314TRU21_FAL_P16'!E31</f>
        <v>0</v>
      </c>
      <c r="F39" s="622"/>
      <c r="G39" s="1021">
        <f>'1314TRU21_FAL_P16'!G31</f>
        <v>0</v>
      </c>
      <c r="H39" s="157"/>
    </row>
    <row r="40" spans="2:8" ht="21.95" customHeight="1" x14ac:dyDescent="0.2">
      <c r="B40" s="213" t="s">
        <v>913</v>
      </c>
      <c r="C40" s="218">
        <v>300</v>
      </c>
      <c r="D40" s="219" t="s">
        <v>248</v>
      </c>
      <c r="E40" s="334"/>
      <c r="F40" s="300">
        <f>'1314TRU21_FAL_P16'!F32</f>
        <v>0</v>
      </c>
      <c r="G40" s="1022">
        <f>'1314TRU21_FAL_P16'!G32</f>
        <v>0</v>
      </c>
      <c r="H40" s="157"/>
    </row>
    <row r="41" spans="2:8" ht="21.95" customHeight="1" x14ac:dyDescent="0.2">
      <c r="B41" s="213" t="s">
        <v>1760</v>
      </c>
      <c r="C41" s="218">
        <v>310</v>
      </c>
      <c r="D41" s="219" t="s">
        <v>248</v>
      </c>
      <c r="E41" s="334"/>
      <c r="F41" s="300">
        <f>'1314TRU21_FAL_P16'!F33</f>
        <v>0</v>
      </c>
      <c r="G41" s="1022">
        <f>'1314TRU21_FAL_P16'!G33</f>
        <v>0</v>
      </c>
      <c r="H41" s="157"/>
    </row>
    <row r="42" spans="2:8" ht="21.95" customHeight="1" x14ac:dyDescent="0.2">
      <c r="B42" s="213" t="s">
        <v>1761</v>
      </c>
      <c r="C42" s="218">
        <v>320</v>
      </c>
      <c r="D42" s="219" t="s">
        <v>248</v>
      </c>
      <c r="E42" s="334"/>
      <c r="F42" s="300">
        <f>'1314TRU21_FAL_P16'!F34</f>
        <v>0</v>
      </c>
      <c r="G42" s="1022">
        <f>'1314TRU21_FAL_P16'!G34</f>
        <v>0</v>
      </c>
      <c r="H42" s="157"/>
    </row>
    <row r="43" spans="2:8" ht="21.95" customHeight="1" x14ac:dyDescent="0.2">
      <c r="B43" s="213" t="s">
        <v>1762</v>
      </c>
      <c r="C43" s="218">
        <v>330</v>
      </c>
      <c r="D43" s="219" t="s">
        <v>248</v>
      </c>
      <c r="E43" s="334"/>
      <c r="F43" s="300">
        <f>'1314TRU21_FAL_P16'!F35</f>
        <v>0</v>
      </c>
      <c r="G43" s="1022">
        <f>'1314TRU21_FAL_P16'!G35</f>
        <v>0</v>
      </c>
      <c r="H43" s="157"/>
    </row>
    <row r="44" spans="2:8" ht="21.95" customHeight="1" x14ac:dyDescent="0.2">
      <c r="B44" s="213" t="s">
        <v>325</v>
      </c>
      <c r="C44" s="234">
        <v>340</v>
      </c>
      <c r="D44" s="267" t="s">
        <v>248</v>
      </c>
      <c r="E44" s="403">
        <f>'1314TRU21_FAL_P16'!E36</f>
        <v>0</v>
      </c>
      <c r="F44" s="403">
        <f>'1314TRU21_FAL_P16'!F36</f>
        <v>0</v>
      </c>
      <c r="G44" s="1022">
        <f>'1314TRU21_FAL_P16'!G36</f>
        <v>0</v>
      </c>
      <c r="H44" s="157"/>
    </row>
    <row r="45" spans="2:8" ht="21.95" customHeight="1" thickBot="1" x14ac:dyDescent="0.25">
      <c r="B45" s="233" t="s">
        <v>1263</v>
      </c>
      <c r="C45" s="236">
        <v>350</v>
      </c>
      <c r="D45" s="238" t="s">
        <v>248</v>
      </c>
      <c r="E45" s="464">
        <f>'1314TRU21_FAL_P16'!E37</f>
        <v>0</v>
      </c>
      <c r="F45" s="464">
        <f>'1314TRU21_FAL_P16'!F37</f>
        <v>0</v>
      </c>
      <c r="G45" s="301">
        <f>'1314TRU21_FAL_P16'!G37</f>
        <v>0</v>
      </c>
      <c r="H45" s="157"/>
    </row>
    <row r="46" spans="2:8" ht="13.5" thickTop="1" x14ac:dyDescent="0.2">
      <c r="C46" s="97"/>
    </row>
    <row r="48" spans="2:8" ht="13.5" thickBot="1" x14ac:dyDescent="0.25"/>
    <row r="49" spans="2:7" ht="13.5" thickTop="1" x14ac:dyDescent="0.2">
      <c r="B49" s="467" t="s">
        <v>194</v>
      </c>
      <c r="C49" s="195" t="s">
        <v>238</v>
      </c>
      <c r="D49" s="195" t="s">
        <v>25</v>
      </c>
      <c r="E49" s="197" t="s">
        <v>235</v>
      </c>
    </row>
    <row r="50" spans="2:7" ht="13.5" thickBot="1" x14ac:dyDescent="0.25">
      <c r="B50" s="1018" t="s">
        <v>1763</v>
      </c>
      <c r="C50" s="199" t="s">
        <v>242</v>
      </c>
      <c r="D50" s="112"/>
      <c r="E50" s="196"/>
    </row>
    <row r="51" spans="2:7" ht="21.95" customHeight="1" thickBot="1" x14ac:dyDescent="0.25">
      <c r="B51" s="811" t="s">
        <v>1764</v>
      </c>
      <c r="C51" s="814">
        <v>400</v>
      </c>
      <c r="D51" s="815" t="s">
        <v>251</v>
      </c>
      <c r="E51" s="914"/>
    </row>
    <row r="52" spans="2:7" ht="13.5" thickTop="1" x14ac:dyDescent="0.2"/>
    <row r="53" spans="2:7" ht="13.5" thickBot="1" x14ac:dyDescent="0.25"/>
    <row r="54" spans="2:7" ht="13.5" thickTop="1" x14ac:dyDescent="0.2">
      <c r="B54" s="1019"/>
      <c r="C54" s="1020"/>
      <c r="D54" s="195" t="s">
        <v>25</v>
      </c>
      <c r="E54" s="195" t="s">
        <v>235</v>
      </c>
      <c r="F54" s="195" t="s">
        <v>236</v>
      </c>
      <c r="G54" s="197" t="s">
        <v>293</v>
      </c>
    </row>
    <row r="55" spans="2:7" x14ac:dyDescent="0.2">
      <c r="B55" s="264" t="s">
        <v>195</v>
      </c>
      <c r="C55" s="199" t="s">
        <v>238</v>
      </c>
      <c r="D55" s="144"/>
      <c r="E55" s="199" t="s">
        <v>1765</v>
      </c>
      <c r="F55" s="199" t="s">
        <v>1766</v>
      </c>
      <c r="G55" s="210" t="s">
        <v>340</v>
      </c>
    </row>
    <row r="56" spans="2:7" ht="13.5" thickBot="1" x14ac:dyDescent="0.25">
      <c r="B56" s="254"/>
      <c r="C56" s="204" t="s">
        <v>242</v>
      </c>
      <c r="D56" s="146"/>
      <c r="E56" s="204" t="s">
        <v>243</v>
      </c>
      <c r="F56" s="204" t="s">
        <v>243</v>
      </c>
      <c r="G56" s="210" t="s">
        <v>243</v>
      </c>
    </row>
    <row r="57" spans="2:7" ht="21.95" customHeight="1" x14ac:dyDescent="0.2">
      <c r="B57" s="761" t="s">
        <v>292</v>
      </c>
      <c r="C57" s="207">
        <v>450</v>
      </c>
      <c r="D57" s="208" t="s">
        <v>248</v>
      </c>
      <c r="E57" s="356"/>
      <c r="F57" s="356"/>
      <c r="G57" s="793">
        <f>E57+F57</f>
        <v>0</v>
      </c>
    </row>
    <row r="58" spans="2:7" ht="21.95" customHeight="1" x14ac:dyDescent="0.2">
      <c r="B58" s="231" t="s">
        <v>1237</v>
      </c>
      <c r="C58" s="218">
        <v>460</v>
      </c>
      <c r="D58" s="219" t="s">
        <v>245</v>
      </c>
      <c r="E58" s="228"/>
      <c r="F58" s="228"/>
      <c r="G58" s="222">
        <f>E58+F58</f>
        <v>0</v>
      </c>
    </row>
    <row r="59" spans="2:7" ht="21.95" customHeight="1" x14ac:dyDescent="0.2">
      <c r="B59" s="231" t="s">
        <v>1767</v>
      </c>
      <c r="C59" s="218">
        <v>470</v>
      </c>
      <c r="D59" s="219" t="s">
        <v>245</v>
      </c>
      <c r="E59" s="228"/>
      <c r="F59" s="228"/>
      <c r="G59" s="222">
        <f>E59+F59</f>
        <v>0</v>
      </c>
    </row>
    <row r="60" spans="2:7" ht="21.95" customHeight="1" x14ac:dyDescent="0.2">
      <c r="B60" s="231" t="s">
        <v>1768</v>
      </c>
      <c r="C60" s="218">
        <v>480</v>
      </c>
      <c r="D60" s="219" t="s">
        <v>251</v>
      </c>
      <c r="E60" s="228"/>
      <c r="F60" s="228"/>
      <c r="G60" s="222">
        <f>E60+F60</f>
        <v>0</v>
      </c>
    </row>
    <row r="61" spans="2:7" ht="27" customHeight="1" x14ac:dyDescent="0.2">
      <c r="B61" s="266" t="s">
        <v>1769</v>
      </c>
      <c r="C61" s="218">
        <v>490</v>
      </c>
      <c r="D61" s="219" t="s">
        <v>245</v>
      </c>
      <c r="E61" s="228"/>
      <c r="F61" s="228"/>
      <c r="G61" s="222">
        <f>E61+F61</f>
        <v>0</v>
      </c>
    </row>
    <row r="62" spans="2:7" ht="21.95" customHeight="1" thickBot="1" x14ac:dyDescent="0.25">
      <c r="B62" s="445" t="s">
        <v>1092</v>
      </c>
      <c r="C62" s="358">
        <v>500</v>
      </c>
      <c r="D62" s="545" t="s">
        <v>251</v>
      </c>
      <c r="E62" s="834">
        <f>SUM(E57:E61)+E69</f>
        <v>0</v>
      </c>
      <c r="F62" s="834">
        <f>SUM(F57:F61)+F69</f>
        <v>0</v>
      </c>
      <c r="G62" s="227">
        <f>SUM(G57:G61)+G69</f>
        <v>0</v>
      </c>
    </row>
    <row r="63" spans="2:7" ht="21.95" customHeight="1" x14ac:dyDescent="0.2">
      <c r="B63" s="474" t="s">
        <v>1770</v>
      </c>
      <c r="C63" s="207">
        <v>510</v>
      </c>
      <c r="D63" s="208" t="s">
        <v>248</v>
      </c>
      <c r="E63" s="463"/>
      <c r="F63" s="463"/>
      <c r="G63" s="1023">
        <f t="shared" ref="G63:G68" si="2">E63+F63</f>
        <v>0</v>
      </c>
    </row>
    <row r="64" spans="2:7" ht="21.95" customHeight="1" x14ac:dyDescent="0.2">
      <c r="B64" s="231" t="s">
        <v>292</v>
      </c>
      <c r="C64" s="218">
        <v>520</v>
      </c>
      <c r="D64" s="219" t="s">
        <v>248</v>
      </c>
      <c r="E64" s="664"/>
      <c r="F64" s="664"/>
      <c r="G64" s="1022">
        <f t="shared" si="2"/>
        <v>0</v>
      </c>
    </row>
    <row r="65" spans="2:13" ht="21.95" customHeight="1" x14ac:dyDescent="0.2">
      <c r="B65" s="231" t="s">
        <v>1237</v>
      </c>
      <c r="C65" s="218">
        <v>530</v>
      </c>
      <c r="D65" s="219" t="s">
        <v>245</v>
      </c>
      <c r="E65" s="664"/>
      <c r="F65" s="664"/>
      <c r="G65" s="1022">
        <f t="shared" si="2"/>
        <v>0</v>
      </c>
    </row>
    <row r="66" spans="2:13" ht="21.95" customHeight="1" x14ac:dyDescent="0.2">
      <c r="B66" s="231" t="s">
        <v>1767</v>
      </c>
      <c r="C66" s="218">
        <v>540</v>
      </c>
      <c r="D66" s="219" t="s">
        <v>245</v>
      </c>
      <c r="E66" s="664"/>
      <c r="F66" s="664"/>
      <c r="G66" s="1022">
        <f t="shared" si="2"/>
        <v>0</v>
      </c>
    </row>
    <row r="67" spans="2:13" ht="21.95" customHeight="1" x14ac:dyDescent="0.2">
      <c r="B67" s="231" t="s">
        <v>1768</v>
      </c>
      <c r="C67" s="218">
        <v>550</v>
      </c>
      <c r="D67" s="219" t="s">
        <v>251</v>
      </c>
      <c r="E67" s="664"/>
      <c r="F67" s="664"/>
      <c r="G67" s="1022">
        <f t="shared" si="2"/>
        <v>0</v>
      </c>
    </row>
    <row r="68" spans="2:13" ht="27" customHeight="1" x14ac:dyDescent="0.2">
      <c r="B68" s="266" t="s">
        <v>1769</v>
      </c>
      <c r="C68" s="234">
        <v>560</v>
      </c>
      <c r="D68" s="267" t="s">
        <v>245</v>
      </c>
      <c r="E68" s="751"/>
      <c r="F68" s="751"/>
      <c r="G68" s="1022">
        <f t="shared" si="2"/>
        <v>0</v>
      </c>
    </row>
    <row r="69" spans="2:13" ht="21.95" customHeight="1" thickBot="1" x14ac:dyDescent="0.25">
      <c r="B69" s="497" t="s">
        <v>1771</v>
      </c>
      <c r="C69" s="236">
        <v>570</v>
      </c>
      <c r="D69" s="238" t="s">
        <v>248</v>
      </c>
      <c r="E69" s="464">
        <f>SUM(E64:E68)+E76</f>
        <v>0</v>
      </c>
      <c r="F69" s="464">
        <f>SUM(F64:F68)+F76</f>
        <v>0</v>
      </c>
      <c r="G69" s="301">
        <f>SUM(G64:G68)+G76</f>
        <v>0</v>
      </c>
    </row>
    <row r="70" spans="2:13" ht="13.5" thickTop="1" x14ac:dyDescent="0.2"/>
    <row r="72" spans="2:13" hidden="1" x14ac:dyDescent="0.2">
      <c r="E72" s="916" t="s">
        <v>1400</v>
      </c>
      <c r="F72" s="271"/>
      <c r="G72" s="271"/>
      <c r="H72" s="271"/>
      <c r="I72" s="916" t="s">
        <v>1401</v>
      </c>
      <c r="J72" s="271"/>
      <c r="K72" s="271"/>
      <c r="L72" s="271"/>
      <c r="M72" s="271"/>
    </row>
    <row r="73" spans="2:13" hidden="1" x14ac:dyDescent="0.2">
      <c r="C73" s="100"/>
      <c r="D73" s="172" t="s">
        <v>25</v>
      </c>
      <c r="E73" s="469" t="s">
        <v>235</v>
      </c>
      <c r="F73" s="469" t="s">
        <v>236</v>
      </c>
      <c r="G73" s="469" t="s">
        <v>293</v>
      </c>
      <c r="H73" s="469" t="s">
        <v>294</v>
      </c>
      <c r="I73" s="469" t="s">
        <v>295</v>
      </c>
      <c r="J73" s="469" t="s">
        <v>296</v>
      </c>
      <c r="K73" s="469" t="s">
        <v>342</v>
      </c>
      <c r="L73" s="469" t="s">
        <v>297</v>
      </c>
      <c r="M73" s="469" t="s">
        <v>298</v>
      </c>
    </row>
    <row r="74" spans="2:13" ht="76.5" hidden="1" x14ac:dyDescent="0.2">
      <c r="B74" s="97" t="s">
        <v>1772</v>
      </c>
      <c r="C74" s="172" t="s">
        <v>238</v>
      </c>
      <c r="E74" s="469" t="s">
        <v>239</v>
      </c>
      <c r="F74" s="469" t="s">
        <v>1773</v>
      </c>
      <c r="G74" s="469" t="s">
        <v>1774</v>
      </c>
      <c r="H74" s="469" t="s">
        <v>302</v>
      </c>
      <c r="I74" s="469" t="s">
        <v>1775</v>
      </c>
      <c r="J74" s="469" t="s">
        <v>387</v>
      </c>
      <c r="K74" s="469" t="s">
        <v>1776</v>
      </c>
      <c r="L74" s="469" t="s">
        <v>1777</v>
      </c>
      <c r="M74" s="469" t="s">
        <v>421</v>
      </c>
    </row>
    <row r="75" spans="2:13" hidden="1" x14ac:dyDescent="0.2">
      <c r="C75" s="172" t="s">
        <v>242</v>
      </c>
      <c r="E75" s="469" t="s">
        <v>243</v>
      </c>
      <c r="F75" s="469" t="s">
        <v>243</v>
      </c>
      <c r="G75" s="469" t="s">
        <v>243</v>
      </c>
      <c r="H75" s="469" t="s">
        <v>243</v>
      </c>
      <c r="I75" s="469" t="s">
        <v>243</v>
      </c>
      <c r="J75" s="469" t="s">
        <v>243</v>
      </c>
      <c r="K75" s="469" t="s">
        <v>243</v>
      </c>
      <c r="L75" s="469" t="s">
        <v>243</v>
      </c>
      <c r="M75" s="469" t="s">
        <v>243</v>
      </c>
    </row>
    <row r="76" spans="2:13" hidden="1" x14ac:dyDescent="0.2">
      <c r="B76" s="100" t="s">
        <v>1778</v>
      </c>
      <c r="C76" s="172">
        <v>600</v>
      </c>
      <c r="D76" s="247" t="s">
        <v>248</v>
      </c>
      <c r="J76" s="104"/>
      <c r="K76" s="104"/>
      <c r="L76" s="104"/>
      <c r="M76" s="104"/>
    </row>
    <row r="77" spans="2:13" x14ac:dyDescent="0.2">
      <c r="C77" s="172"/>
      <c r="D77" s="247"/>
      <c r="E77" s="99"/>
      <c r="F77" s="99"/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 B49:B50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J76:M76 E62:F69 G57:G69 E39:G45 E37:F37 G32:G37 E32:E35 F31:G31 E18:H23 E16:G16 H15:H16 G12:H14 E12:E14 F11:H11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11 E57:F61 E51 E36 F32:F36 E31 G15 E15 F12:F15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BZ58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4.28515625" customWidth="1"/>
    <col min="2" max="2" width="57.7109375" customWidth="1"/>
    <col min="3" max="4" width="10.140625" customWidth="1"/>
    <col min="5" max="7" width="14.42578125" customWidth="1"/>
    <col min="8" max="78" width="2.7109375" hidden="1" customWidth="1"/>
  </cols>
  <sheetData>
    <row r="1" spans="1:7" ht="15.75" x14ac:dyDescent="0.25">
      <c r="A1" s="1131" t="s">
        <v>3726</v>
      </c>
      <c r="B1" s="1139" t="str">
        <f>OrgName</f>
        <v>ZZZ NHS TRUST</v>
      </c>
      <c r="C1" s="1133"/>
      <c r="D1" s="1122"/>
      <c r="E1" s="1177" t="str">
        <f>HYPERLINK(CHAR(35)&amp;"1415TRU_Index_P13"&amp;"!A1","GoTo Index tab")</f>
        <v>GoTo Index tab</v>
      </c>
    </row>
    <row r="2" spans="1:7" x14ac:dyDescent="0.2">
      <c r="A2" s="1131" t="s">
        <v>3727</v>
      </c>
      <c r="B2" s="1137" t="str">
        <f>"Org Code: " &amp; Orgcode</f>
        <v>Org Code: ZZZ</v>
      </c>
      <c r="C2" s="1118"/>
      <c r="D2" s="1119"/>
      <c r="E2" s="1135"/>
    </row>
    <row r="3" spans="1:7" x14ac:dyDescent="0.2">
      <c r="A3" s="1131" t="s">
        <v>3749</v>
      </c>
      <c r="B3" s="1138" t="s">
        <v>3725</v>
      </c>
      <c r="C3" s="1141"/>
      <c r="D3" s="1125"/>
      <c r="E3" s="1136"/>
    </row>
    <row r="4" spans="1:7" x14ac:dyDescent="0.2">
      <c r="B4" s="97" t="s">
        <v>1779</v>
      </c>
      <c r="C4" s="97"/>
    </row>
    <row r="5" spans="1:7" x14ac:dyDescent="0.2">
      <c r="B5" s="103" t="s">
        <v>66</v>
      </c>
      <c r="C5" s="97"/>
      <c r="G5" s="187"/>
    </row>
    <row r="6" spans="1:7" ht="13.5" thickBot="1" x14ac:dyDescent="0.25">
      <c r="C6" s="97"/>
    </row>
    <row r="7" spans="1:7" ht="13.5" thickTop="1" x14ac:dyDescent="0.2">
      <c r="B7" s="242" t="s">
        <v>1780</v>
      </c>
      <c r="C7" s="193"/>
      <c r="D7" s="195" t="s">
        <v>25</v>
      </c>
      <c r="E7" s="195" t="s">
        <v>235</v>
      </c>
      <c r="F7" s="195" t="s">
        <v>236</v>
      </c>
      <c r="G7" s="197" t="s">
        <v>293</v>
      </c>
    </row>
    <row r="8" spans="1:7" x14ac:dyDescent="0.2">
      <c r="B8" s="1025"/>
      <c r="C8" s="1026"/>
      <c r="D8" s="200"/>
      <c r="E8" s="199"/>
      <c r="F8" s="199"/>
      <c r="G8" s="210"/>
    </row>
    <row r="9" spans="1:7" x14ac:dyDescent="0.2">
      <c r="B9" s="1025" t="s">
        <v>1781</v>
      </c>
      <c r="C9" s="1026"/>
      <c r="D9" s="200"/>
      <c r="E9" s="1027" t="s">
        <v>1782</v>
      </c>
      <c r="F9" s="199" t="s">
        <v>1783</v>
      </c>
      <c r="G9" s="210" t="s">
        <v>1782</v>
      </c>
    </row>
    <row r="10" spans="1:7" x14ac:dyDescent="0.2">
      <c r="B10" s="1025"/>
      <c r="C10" s="1027" t="s">
        <v>238</v>
      </c>
      <c r="D10" s="200"/>
      <c r="E10" s="1027" t="s">
        <v>1784</v>
      </c>
      <c r="F10" s="199" t="s">
        <v>1784</v>
      </c>
      <c r="G10" s="210" t="s">
        <v>1784</v>
      </c>
    </row>
    <row r="11" spans="1:7" ht="13.5" thickBot="1" x14ac:dyDescent="0.25">
      <c r="B11" s="1025"/>
      <c r="C11" s="1028" t="s">
        <v>242</v>
      </c>
      <c r="D11" s="205"/>
      <c r="E11" s="1028" t="s">
        <v>1785</v>
      </c>
      <c r="F11" s="204" t="s">
        <v>891</v>
      </c>
      <c r="G11" s="210" t="s">
        <v>1786</v>
      </c>
    </row>
    <row r="12" spans="1:7" ht="21.95" customHeight="1" x14ac:dyDescent="0.2">
      <c r="B12" s="1029" t="s">
        <v>1787</v>
      </c>
      <c r="C12" s="1030"/>
      <c r="D12" s="316"/>
      <c r="E12" s="1031"/>
      <c r="F12" s="317"/>
      <c r="G12" s="318"/>
    </row>
    <row r="13" spans="1:7" ht="21.95" customHeight="1" x14ac:dyDescent="0.2">
      <c r="B13" s="1024" t="s">
        <v>1788</v>
      </c>
      <c r="C13" s="1032"/>
      <c r="D13" s="673"/>
      <c r="E13" s="1033"/>
      <c r="F13" s="419"/>
      <c r="G13" s="578"/>
    </row>
    <row r="14" spans="1:7" ht="21.95" customHeight="1" x14ac:dyDescent="0.2">
      <c r="B14" s="1024" t="s">
        <v>1789</v>
      </c>
      <c r="C14" s="1034">
        <v>100</v>
      </c>
      <c r="D14" s="252" t="s">
        <v>248</v>
      </c>
      <c r="E14" s="1035"/>
      <c r="F14" s="422"/>
      <c r="G14" s="1002"/>
    </row>
    <row r="15" spans="1:7" ht="21.95" customHeight="1" x14ac:dyDescent="0.2">
      <c r="B15" s="1036" t="s">
        <v>1790</v>
      </c>
      <c r="C15" s="1037">
        <v>110</v>
      </c>
      <c r="D15" s="219" t="s">
        <v>248</v>
      </c>
      <c r="E15" s="1038"/>
      <c r="F15" s="228"/>
      <c r="G15" s="1001"/>
    </row>
    <row r="16" spans="1:7" ht="21.95" customHeight="1" x14ac:dyDescent="0.2">
      <c r="B16" s="1036" t="s">
        <v>1791</v>
      </c>
      <c r="C16" s="1037">
        <v>120</v>
      </c>
      <c r="D16" s="219" t="s">
        <v>248</v>
      </c>
      <c r="E16" s="1038"/>
      <c r="F16" s="228"/>
      <c r="G16" s="1001"/>
    </row>
    <row r="17" spans="2:7" ht="21.95" customHeight="1" x14ac:dyDescent="0.2">
      <c r="B17" s="1036" t="s">
        <v>1792</v>
      </c>
      <c r="C17" s="1037">
        <v>130</v>
      </c>
      <c r="D17" s="219" t="s">
        <v>248</v>
      </c>
      <c r="E17" s="1038"/>
      <c r="F17" s="228"/>
      <c r="G17" s="1001"/>
    </row>
    <row r="18" spans="2:7" ht="21.95" customHeight="1" x14ac:dyDescent="0.2">
      <c r="B18" s="1036" t="s">
        <v>1793</v>
      </c>
      <c r="C18" s="1039"/>
      <c r="D18" s="257"/>
      <c r="E18" s="1040"/>
      <c r="F18" s="258"/>
      <c r="G18" s="331"/>
    </row>
    <row r="19" spans="2:7" ht="21.95" customHeight="1" x14ac:dyDescent="0.2">
      <c r="B19" s="1024" t="s">
        <v>1794</v>
      </c>
      <c r="C19" s="1034">
        <v>140</v>
      </c>
      <c r="D19" s="252" t="s">
        <v>248</v>
      </c>
      <c r="E19" s="1035"/>
      <c r="F19" s="422"/>
      <c r="G19" s="1002"/>
    </row>
    <row r="20" spans="2:7" ht="21.95" customHeight="1" x14ac:dyDescent="0.2">
      <c r="B20" s="1036" t="s">
        <v>1795</v>
      </c>
      <c r="C20" s="1037">
        <v>150</v>
      </c>
      <c r="D20" s="219" t="s">
        <v>248</v>
      </c>
      <c r="E20" s="1038"/>
      <c r="F20" s="228"/>
      <c r="G20" s="1001"/>
    </row>
    <row r="21" spans="2:7" ht="21.95" customHeight="1" x14ac:dyDescent="0.2">
      <c r="B21" s="1036" t="s">
        <v>1796</v>
      </c>
      <c r="C21" s="1037">
        <v>160</v>
      </c>
      <c r="D21" s="219" t="s">
        <v>248</v>
      </c>
      <c r="E21" s="1038"/>
      <c r="F21" s="228"/>
      <c r="G21" s="1001"/>
    </row>
    <row r="22" spans="2:7" ht="21.95" customHeight="1" x14ac:dyDescent="0.2">
      <c r="B22" s="1036" t="s">
        <v>1797</v>
      </c>
      <c r="C22" s="1039"/>
      <c r="D22" s="257"/>
      <c r="E22" s="1040"/>
      <c r="F22" s="258"/>
      <c r="G22" s="331"/>
    </row>
    <row r="23" spans="2:7" ht="21.95" customHeight="1" x14ac:dyDescent="0.2">
      <c r="B23" s="1024" t="s">
        <v>1789</v>
      </c>
      <c r="C23" s="1034">
        <v>170</v>
      </c>
      <c r="D23" s="252" t="s">
        <v>248</v>
      </c>
      <c r="E23" s="1035"/>
      <c r="F23" s="422"/>
      <c r="G23" s="1002"/>
    </row>
    <row r="24" spans="2:7" ht="21.95" customHeight="1" x14ac:dyDescent="0.2">
      <c r="B24" s="1036" t="s">
        <v>1798</v>
      </c>
      <c r="C24" s="1037">
        <v>180</v>
      </c>
      <c r="D24" s="219" t="s">
        <v>248</v>
      </c>
      <c r="E24" s="1038"/>
      <c r="F24" s="228"/>
      <c r="G24" s="1001"/>
    </row>
    <row r="25" spans="2:7" ht="21.95" customHeight="1" thickBot="1" x14ac:dyDescent="0.25">
      <c r="B25" s="1043" t="s">
        <v>1799</v>
      </c>
      <c r="C25" s="1041">
        <v>190</v>
      </c>
      <c r="D25" s="545" t="s">
        <v>248</v>
      </c>
      <c r="E25" s="1042">
        <f>E14+E15+E16+E17+E19+E20+E21+E23+E24</f>
        <v>0</v>
      </c>
      <c r="F25" s="834">
        <f>F14+F15+F16+F17+F19+F20+F21+F23+F24</f>
        <v>0</v>
      </c>
      <c r="G25" s="442">
        <f>E25/1000</f>
        <v>0</v>
      </c>
    </row>
    <row r="26" spans="2:7" ht="21.95" customHeight="1" x14ac:dyDescent="0.2">
      <c r="B26" s="1029" t="s">
        <v>1800</v>
      </c>
      <c r="C26" s="1030"/>
      <c r="D26" s="316"/>
      <c r="E26" s="1031"/>
      <c r="F26" s="317"/>
      <c r="G26" s="318"/>
    </row>
    <row r="27" spans="2:7" ht="21.95" customHeight="1" x14ac:dyDescent="0.2">
      <c r="B27" s="1024" t="s">
        <v>1801</v>
      </c>
      <c r="C27" s="1034">
        <v>200</v>
      </c>
      <c r="D27" s="252" t="s">
        <v>248</v>
      </c>
      <c r="E27" s="1035"/>
      <c r="F27" s="422"/>
      <c r="G27" s="1002"/>
    </row>
    <row r="28" spans="2:7" ht="21.95" customHeight="1" x14ac:dyDescent="0.2">
      <c r="B28" s="1036" t="s">
        <v>1802</v>
      </c>
      <c r="C28" s="1037">
        <v>210</v>
      </c>
      <c r="D28" s="219" t="s">
        <v>248</v>
      </c>
      <c r="E28" s="1038"/>
      <c r="F28" s="228"/>
      <c r="G28" s="1001"/>
    </row>
    <row r="29" spans="2:7" ht="21.95" customHeight="1" x14ac:dyDescent="0.2">
      <c r="B29" s="1036" t="s">
        <v>1803</v>
      </c>
      <c r="C29" s="1039"/>
      <c r="D29" s="257"/>
      <c r="E29" s="1040"/>
      <c r="F29" s="258"/>
      <c r="G29" s="331"/>
    </row>
    <row r="30" spans="2:7" ht="21.95" customHeight="1" x14ac:dyDescent="0.2">
      <c r="B30" s="1024" t="s">
        <v>1804</v>
      </c>
      <c r="C30" s="1034">
        <v>220</v>
      </c>
      <c r="D30" s="252" t="s">
        <v>248</v>
      </c>
      <c r="E30" s="1035"/>
      <c r="F30" s="422"/>
      <c r="G30" s="1002"/>
    </row>
    <row r="31" spans="2:7" ht="21.95" customHeight="1" x14ac:dyDescent="0.2">
      <c r="B31" s="1036" t="s">
        <v>1805</v>
      </c>
      <c r="C31" s="1037">
        <v>230</v>
      </c>
      <c r="D31" s="219" t="s">
        <v>248</v>
      </c>
      <c r="E31" s="1038"/>
      <c r="F31" s="228"/>
      <c r="G31" s="1001"/>
    </row>
    <row r="32" spans="2:7" ht="21.95" customHeight="1" x14ac:dyDescent="0.2">
      <c r="B32" s="1036" t="s">
        <v>1806</v>
      </c>
      <c r="C32" s="1037">
        <v>240</v>
      </c>
      <c r="D32" s="219" t="s">
        <v>248</v>
      </c>
      <c r="E32" s="1038"/>
      <c r="F32" s="228"/>
      <c r="G32" s="1001"/>
    </row>
    <row r="33" spans="2:8" ht="21.95" customHeight="1" x14ac:dyDescent="0.2">
      <c r="B33" s="213" t="s">
        <v>1807</v>
      </c>
      <c r="C33" s="1037">
        <v>245</v>
      </c>
      <c r="D33" s="219" t="s">
        <v>248</v>
      </c>
      <c r="E33" s="1038"/>
      <c r="F33" s="228"/>
      <c r="G33" s="1001"/>
      <c r="H33" s="212"/>
    </row>
    <row r="34" spans="2:8" ht="21.95" customHeight="1" x14ac:dyDescent="0.2">
      <c r="B34" s="1036" t="s">
        <v>1808</v>
      </c>
      <c r="C34" s="1037">
        <v>250</v>
      </c>
      <c r="D34" s="219" t="s">
        <v>248</v>
      </c>
      <c r="E34" s="1038"/>
      <c r="F34" s="228"/>
      <c r="G34" s="1001"/>
    </row>
    <row r="35" spans="2:8" ht="21.95" customHeight="1" x14ac:dyDescent="0.2">
      <c r="B35" s="1036" t="s">
        <v>1809</v>
      </c>
      <c r="C35" s="1037">
        <v>260</v>
      </c>
      <c r="D35" s="219" t="s">
        <v>248</v>
      </c>
      <c r="E35" s="1038"/>
      <c r="F35" s="228"/>
      <c r="G35" s="1001"/>
    </row>
    <row r="36" spans="2:8" ht="21.95" customHeight="1" x14ac:dyDescent="0.2">
      <c r="B36" s="1036" t="s">
        <v>1810</v>
      </c>
      <c r="C36" s="1037">
        <v>270</v>
      </c>
      <c r="D36" s="219" t="s">
        <v>248</v>
      </c>
      <c r="E36" s="1038"/>
      <c r="F36" s="228"/>
      <c r="G36" s="1001"/>
    </row>
    <row r="37" spans="2:8" ht="21.95" customHeight="1" x14ac:dyDescent="0.2">
      <c r="B37" s="213" t="s">
        <v>1811</v>
      </c>
      <c r="C37" s="1037">
        <v>275</v>
      </c>
      <c r="D37" s="219" t="s">
        <v>248</v>
      </c>
      <c r="E37" s="1038"/>
      <c r="F37" s="228"/>
      <c r="G37" s="1001"/>
    </row>
    <row r="38" spans="2:8" ht="21.95" customHeight="1" x14ac:dyDescent="0.2">
      <c r="B38" s="1036" t="s">
        <v>1812</v>
      </c>
      <c r="C38" s="1037">
        <v>280</v>
      </c>
      <c r="D38" s="219" t="s">
        <v>248</v>
      </c>
      <c r="E38" s="1038"/>
      <c r="F38" s="228"/>
      <c r="G38" s="1001"/>
    </row>
    <row r="39" spans="2:8" ht="21.95" customHeight="1" thickBot="1" x14ac:dyDescent="0.25">
      <c r="B39" s="1043" t="s">
        <v>1813</v>
      </c>
      <c r="C39" s="1041">
        <v>290</v>
      </c>
      <c r="D39" s="545" t="s">
        <v>248</v>
      </c>
      <c r="E39" s="1042">
        <f>E27+E28+E30+E31+E32+E33+E34+E35+E36+E37+E38</f>
        <v>0</v>
      </c>
      <c r="F39" s="834">
        <f>F27+F28+F30+F31+F32+F33+F34+F35+F36+F37+F38</f>
        <v>0</v>
      </c>
      <c r="G39" s="442">
        <f>E39/1000</f>
        <v>0</v>
      </c>
    </row>
    <row r="40" spans="2:8" ht="21.95" customHeight="1" thickBot="1" x14ac:dyDescent="0.25">
      <c r="B40" s="1029" t="s">
        <v>1814</v>
      </c>
      <c r="C40" s="1044">
        <v>300</v>
      </c>
      <c r="D40" s="178" t="s">
        <v>248</v>
      </c>
      <c r="E40" s="1045">
        <f>E25+E39</f>
        <v>0</v>
      </c>
      <c r="F40" s="559">
        <f>F25+F39</f>
        <v>0</v>
      </c>
      <c r="G40" s="851">
        <f>G25+G39</f>
        <v>0</v>
      </c>
    </row>
    <row r="41" spans="2:8" ht="27" customHeight="1" x14ac:dyDescent="0.2">
      <c r="B41" s="1046" t="s">
        <v>1815</v>
      </c>
      <c r="C41" s="1030"/>
      <c r="D41" s="316"/>
      <c r="E41" s="1031"/>
      <c r="F41" s="317"/>
      <c r="G41" s="318"/>
    </row>
    <row r="42" spans="2:8" ht="21.95" customHeight="1" x14ac:dyDescent="0.2">
      <c r="B42" s="1024" t="s">
        <v>1816</v>
      </c>
      <c r="C42" s="1034">
        <v>310</v>
      </c>
      <c r="D42" s="252" t="s">
        <v>248</v>
      </c>
      <c r="E42" s="1047"/>
      <c r="F42" s="677"/>
      <c r="G42" s="483">
        <f t="shared" ref="G42:G49" si="0">E42/1000</f>
        <v>0</v>
      </c>
    </row>
    <row r="43" spans="2:8" ht="21.95" customHeight="1" x14ac:dyDescent="0.2">
      <c r="B43" s="1036" t="s">
        <v>1792</v>
      </c>
      <c r="C43" s="1037">
        <v>320</v>
      </c>
      <c r="D43" s="219" t="s">
        <v>248</v>
      </c>
      <c r="E43" s="1048"/>
      <c r="F43" s="580"/>
      <c r="G43" s="485">
        <f t="shared" si="0"/>
        <v>0</v>
      </c>
    </row>
    <row r="44" spans="2:8" ht="21.95" customHeight="1" x14ac:dyDescent="0.2">
      <c r="B44" s="1036" t="s">
        <v>1817</v>
      </c>
      <c r="C44" s="1037">
        <v>330</v>
      </c>
      <c r="D44" s="219" t="s">
        <v>248</v>
      </c>
      <c r="E44" s="1048"/>
      <c r="F44" s="580"/>
      <c r="G44" s="485">
        <f t="shared" si="0"/>
        <v>0</v>
      </c>
    </row>
    <row r="45" spans="2:8" ht="21.95" customHeight="1" x14ac:dyDescent="0.2">
      <c r="B45" s="1036" t="s">
        <v>1818</v>
      </c>
      <c r="C45" s="1037">
        <v>340</v>
      </c>
      <c r="D45" s="219" t="s">
        <v>248</v>
      </c>
      <c r="E45" s="1048"/>
      <c r="F45" s="580"/>
      <c r="G45" s="485">
        <f t="shared" si="0"/>
        <v>0</v>
      </c>
    </row>
    <row r="46" spans="2:8" ht="21.95" customHeight="1" x14ac:dyDescent="0.2">
      <c r="B46" s="1036" t="s">
        <v>1801</v>
      </c>
      <c r="C46" s="1037">
        <v>350</v>
      </c>
      <c r="D46" s="219" t="s">
        <v>248</v>
      </c>
      <c r="E46" s="1048"/>
      <c r="F46" s="580"/>
      <c r="G46" s="485">
        <f t="shared" si="0"/>
        <v>0</v>
      </c>
    </row>
    <row r="47" spans="2:8" ht="21.95" customHeight="1" x14ac:dyDescent="0.2">
      <c r="B47" s="1036" t="s">
        <v>1802</v>
      </c>
      <c r="C47" s="1037">
        <v>360</v>
      </c>
      <c r="D47" s="219" t="s">
        <v>248</v>
      </c>
      <c r="E47" s="1048"/>
      <c r="F47" s="580"/>
      <c r="G47" s="485">
        <f t="shared" si="0"/>
        <v>0</v>
      </c>
    </row>
    <row r="48" spans="2:8" ht="21.95" customHeight="1" x14ac:dyDescent="0.2">
      <c r="B48" s="1036" t="s">
        <v>1819</v>
      </c>
      <c r="C48" s="1049">
        <v>370</v>
      </c>
      <c r="D48" s="267" t="s">
        <v>248</v>
      </c>
      <c r="E48" s="1050"/>
      <c r="F48" s="684"/>
      <c r="G48" s="485">
        <f t="shared" si="0"/>
        <v>0</v>
      </c>
    </row>
    <row r="49" spans="2:7" ht="21.95" customHeight="1" thickBot="1" x14ac:dyDescent="0.25">
      <c r="B49" s="232" t="s">
        <v>1820</v>
      </c>
      <c r="C49" s="236">
        <v>380</v>
      </c>
      <c r="D49" s="238" t="s">
        <v>248</v>
      </c>
      <c r="E49" s="681"/>
      <c r="F49" s="681"/>
      <c r="G49" s="930">
        <f t="shared" si="0"/>
        <v>0</v>
      </c>
    </row>
    <row r="50" spans="2:7" ht="14.25" thickTop="1" thickBot="1" x14ac:dyDescent="0.25">
      <c r="C50" s="97"/>
    </row>
    <row r="51" spans="2:7" ht="13.5" thickTop="1" x14ac:dyDescent="0.2">
      <c r="B51" s="190"/>
      <c r="C51" s="193"/>
      <c r="D51" s="195" t="s">
        <v>25</v>
      </c>
      <c r="E51" s="195" t="s">
        <v>235</v>
      </c>
      <c r="F51" s="192"/>
      <c r="G51" s="197"/>
    </row>
    <row r="52" spans="2:7" ht="25.5" x14ac:dyDescent="0.2">
      <c r="B52" s="1024"/>
      <c r="C52" s="1027" t="s">
        <v>238</v>
      </c>
      <c r="D52" s="100"/>
      <c r="E52" s="1051" t="s">
        <v>1821</v>
      </c>
      <c r="G52" s="196"/>
    </row>
    <row r="53" spans="2:7" ht="13.5" thickBot="1" x14ac:dyDescent="0.25">
      <c r="B53" s="1025" t="s">
        <v>1822</v>
      </c>
      <c r="C53" s="1027" t="s">
        <v>242</v>
      </c>
      <c r="D53" s="144"/>
      <c r="E53" s="1027" t="s">
        <v>1785</v>
      </c>
      <c r="F53" s="112"/>
      <c r="G53" s="196"/>
    </row>
    <row r="54" spans="2:7" ht="21.95" customHeight="1" thickBot="1" x14ac:dyDescent="0.25">
      <c r="B54" s="994" t="s">
        <v>1823</v>
      </c>
      <c r="C54" s="814">
        <v>390</v>
      </c>
      <c r="D54" s="815" t="s">
        <v>248</v>
      </c>
      <c r="E54" s="1052"/>
      <c r="F54" s="844"/>
      <c r="G54" s="1053"/>
    </row>
    <row r="55" spans="2:7" ht="13.5" thickTop="1" x14ac:dyDescent="0.2">
      <c r="C55" s="97"/>
    </row>
    <row r="56" spans="2:7" x14ac:dyDescent="0.2">
      <c r="B56" s="1054" t="s">
        <v>1824</v>
      </c>
      <c r="C56" s="97"/>
    </row>
    <row r="57" spans="2:7" x14ac:dyDescent="0.2">
      <c r="C57" s="97"/>
    </row>
    <row r="58" spans="2:7" x14ac:dyDescent="0.2">
      <c r="C58" s="97"/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 H33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G42:G49 E39:G40 E25:G25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54 E42:F49 E30:F38 E27:F28 E23:F24 E19:F21 E14:F17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CA108"/>
  <sheetViews>
    <sheetView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2" max="2" width="57.7109375" customWidth="1"/>
    <col min="3" max="4" width="10.140625" customWidth="1"/>
    <col min="5" max="7" width="15.140625" customWidth="1"/>
    <col min="8" max="8" width="17" customWidth="1"/>
    <col min="10" max="10" width="3.140625" hidden="1" customWidth="1"/>
    <col min="11" max="78" width="2.28515625" hidden="1" customWidth="1"/>
  </cols>
  <sheetData>
    <row r="1" spans="1:8" ht="15.75" x14ac:dyDescent="0.25">
      <c r="A1" s="1131" t="s">
        <v>3726</v>
      </c>
      <c r="B1" s="1139" t="str">
        <f>OrgName</f>
        <v>ZZZ NHS TRUST</v>
      </c>
      <c r="C1" s="1149"/>
      <c r="D1" s="1149"/>
      <c r="E1" s="1177" t="str">
        <f>HYPERLINK(CHAR(35)&amp;"1415TRU_Index_P13"&amp;"!A1","GoTo Index tab")</f>
        <v>GoTo Index tab</v>
      </c>
    </row>
    <row r="2" spans="1:8" x14ac:dyDescent="0.2">
      <c r="A2" s="1131" t="s">
        <v>3727</v>
      </c>
      <c r="B2" s="1137" t="str">
        <f>"Org Code: " &amp; Orgcode</f>
        <v>Org Code: ZZZ</v>
      </c>
      <c r="C2" s="1148"/>
      <c r="D2" s="1148"/>
      <c r="E2" s="1135"/>
    </row>
    <row r="3" spans="1:8" x14ac:dyDescent="0.2">
      <c r="A3" s="1131" t="s">
        <v>3750</v>
      </c>
      <c r="B3" s="1138" t="s">
        <v>3725</v>
      </c>
      <c r="C3" s="1150"/>
      <c r="D3" s="1150"/>
      <c r="E3" s="1136"/>
    </row>
    <row r="4" spans="1:8" x14ac:dyDescent="0.2">
      <c r="B4" s="97" t="s">
        <v>1825</v>
      </c>
      <c r="C4" s="157"/>
      <c r="D4" s="157"/>
    </row>
    <row r="5" spans="1:8" x14ac:dyDescent="0.2">
      <c r="B5" s="97" t="s">
        <v>66</v>
      </c>
      <c r="C5" s="157"/>
      <c r="D5" s="157"/>
    </row>
    <row r="6" spans="1:8" ht="13.5" thickBot="1" x14ac:dyDescent="0.25">
      <c r="C6" s="157"/>
      <c r="D6" s="157"/>
    </row>
    <row r="7" spans="1:8" ht="13.5" thickTop="1" x14ac:dyDescent="0.2">
      <c r="B7" s="273" t="s">
        <v>200</v>
      </c>
      <c r="C7" s="275" t="s">
        <v>1560</v>
      </c>
      <c r="D7" s="274" t="s">
        <v>1561</v>
      </c>
      <c r="E7" s="114"/>
      <c r="F7" s="119"/>
      <c r="G7" s="124"/>
    </row>
    <row r="8" spans="1:8" ht="13.5" thickBot="1" x14ac:dyDescent="0.25">
      <c r="B8" s="136"/>
      <c r="C8" s="138"/>
      <c r="D8" s="138"/>
      <c r="E8" s="137"/>
      <c r="F8" s="701"/>
      <c r="G8" s="1055"/>
    </row>
    <row r="9" spans="1:8" ht="21.95" customHeight="1" x14ac:dyDescent="0.2">
      <c r="B9" s="280" t="s">
        <v>1826</v>
      </c>
      <c r="C9" s="207">
        <v>100</v>
      </c>
      <c r="D9" s="206" t="s">
        <v>1827</v>
      </c>
      <c r="E9" s="978"/>
      <c r="F9" s="979"/>
      <c r="G9" s="1056"/>
    </row>
    <row r="10" spans="1:8" ht="21.95" customHeight="1" thickBot="1" x14ac:dyDescent="0.25">
      <c r="B10" s="285" t="s">
        <v>1828</v>
      </c>
      <c r="C10" s="289">
        <v>110</v>
      </c>
      <c r="D10" s="288" t="s">
        <v>1827</v>
      </c>
      <c r="E10" s="747"/>
      <c r="F10" s="748"/>
      <c r="G10" s="749"/>
    </row>
    <row r="11" spans="1:8" ht="13.5" thickTop="1" x14ac:dyDescent="0.2">
      <c r="B11" t="s">
        <v>1829</v>
      </c>
    </row>
    <row r="13" spans="1:8" ht="13.5" thickBot="1" x14ac:dyDescent="0.25"/>
    <row r="14" spans="1:8" ht="13.5" thickTop="1" x14ac:dyDescent="0.2">
      <c r="B14" s="273"/>
      <c r="C14" s="275" t="s">
        <v>1560</v>
      </c>
      <c r="D14" s="274" t="s">
        <v>1561</v>
      </c>
      <c r="E14" s="275" t="s">
        <v>235</v>
      </c>
      <c r="F14" s="275" t="s">
        <v>236</v>
      </c>
      <c r="G14" s="275" t="s">
        <v>293</v>
      </c>
      <c r="H14" s="276" t="s">
        <v>294</v>
      </c>
    </row>
    <row r="15" spans="1:8" ht="25.5" x14ac:dyDescent="0.2">
      <c r="B15" s="130" t="s">
        <v>201</v>
      </c>
      <c r="C15" s="199"/>
      <c r="D15" s="199"/>
      <c r="E15" s="201" t="s">
        <v>1830</v>
      </c>
      <c r="F15" s="201" t="s">
        <v>1831</v>
      </c>
      <c r="G15" s="201" t="s">
        <v>1267</v>
      </c>
      <c r="H15" s="277" t="s">
        <v>1832</v>
      </c>
    </row>
    <row r="16" spans="1:8" ht="13.5" thickBot="1" x14ac:dyDescent="0.25">
      <c r="B16" s="150"/>
      <c r="C16" s="204"/>
      <c r="D16" s="204"/>
      <c r="E16" s="278" t="s">
        <v>243</v>
      </c>
      <c r="F16" s="278" t="s">
        <v>243</v>
      </c>
      <c r="G16" s="278" t="s">
        <v>243</v>
      </c>
      <c r="H16" s="279" t="s">
        <v>243</v>
      </c>
    </row>
    <row r="17" spans="1:79" ht="21.95" customHeight="1" x14ac:dyDescent="0.2">
      <c r="B17" s="126" t="s">
        <v>201</v>
      </c>
      <c r="C17" s="735"/>
      <c r="D17" s="735"/>
      <c r="E17" s="317"/>
      <c r="F17" s="317"/>
      <c r="G17" s="317"/>
      <c r="H17" s="320"/>
    </row>
    <row r="18" spans="1:79" ht="21.95" customHeight="1" x14ac:dyDescent="0.2">
      <c r="B18" s="516" t="s">
        <v>1833</v>
      </c>
      <c r="C18" s="251">
        <v>120</v>
      </c>
      <c r="D18" s="250" t="s">
        <v>248</v>
      </c>
      <c r="E18" s="422"/>
      <c r="F18" s="321"/>
      <c r="G18" s="321"/>
      <c r="H18" s="807"/>
    </row>
    <row r="19" spans="1:79" ht="21.95" customHeight="1" x14ac:dyDescent="0.2">
      <c r="A19" s="99"/>
      <c r="B19" s="533" t="s">
        <v>1834</v>
      </c>
      <c r="C19" s="218">
        <v>130</v>
      </c>
      <c r="D19" s="217" t="s">
        <v>245</v>
      </c>
      <c r="E19" s="448">
        <f>F19</f>
        <v>0</v>
      </c>
      <c r="F19" s="580"/>
      <c r="G19" s="767"/>
      <c r="H19" s="1057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</row>
    <row r="20" spans="1:79" ht="30" customHeight="1" x14ac:dyDescent="0.2">
      <c r="B20" s="1013" t="s">
        <v>1835</v>
      </c>
      <c r="C20" s="218">
        <v>140</v>
      </c>
      <c r="D20" s="217" t="s">
        <v>245</v>
      </c>
      <c r="E20" s="448">
        <f>F20</f>
        <v>0</v>
      </c>
      <c r="F20" s="228"/>
      <c r="G20" s="324"/>
      <c r="H20" s="589"/>
    </row>
    <row r="21" spans="1:79" ht="21.95" customHeight="1" x14ac:dyDescent="0.2">
      <c r="B21" s="745" t="s">
        <v>1836</v>
      </c>
      <c r="C21" s="218">
        <v>150</v>
      </c>
      <c r="D21" s="217" t="s">
        <v>245</v>
      </c>
      <c r="E21" s="448">
        <f>F21</f>
        <v>0</v>
      </c>
      <c r="F21" s="224">
        <f>SUM(F19:F20)</f>
        <v>0</v>
      </c>
      <c r="G21" s="324"/>
      <c r="H21" s="589"/>
    </row>
    <row r="22" spans="1:79" ht="30" customHeight="1" x14ac:dyDescent="0.2">
      <c r="B22" s="1013" t="s">
        <v>1837</v>
      </c>
      <c r="C22" s="218">
        <v>160</v>
      </c>
      <c r="D22" s="217" t="s">
        <v>245</v>
      </c>
      <c r="E22" s="448">
        <f>SUM(F22:H22)</f>
        <v>0</v>
      </c>
      <c r="F22" s="228"/>
      <c r="G22" s="228"/>
      <c r="H22" s="594"/>
    </row>
    <row r="23" spans="1:79" ht="30" customHeight="1" x14ac:dyDescent="0.2">
      <c r="B23" s="1013" t="s">
        <v>1838</v>
      </c>
      <c r="C23" s="218">
        <v>170</v>
      </c>
      <c r="D23" s="217" t="s">
        <v>245</v>
      </c>
      <c r="E23" s="448">
        <f>SUM(F23:H23)</f>
        <v>0</v>
      </c>
      <c r="F23" s="228"/>
      <c r="G23" s="228"/>
      <c r="H23" s="594"/>
    </row>
    <row r="24" spans="1:79" ht="30" customHeight="1" thickBot="1" x14ac:dyDescent="0.25">
      <c r="B24" s="1013" t="s">
        <v>1839</v>
      </c>
      <c r="C24" s="218">
        <v>180</v>
      </c>
      <c r="D24" s="217" t="s">
        <v>245</v>
      </c>
      <c r="E24" s="224">
        <f>SUM(F24:H24)</f>
        <v>0</v>
      </c>
      <c r="F24" s="342">
        <f>SUM(F22:F23)</f>
        <v>0</v>
      </c>
      <c r="G24" s="342">
        <f>SUM(G22:G23)</f>
        <v>0</v>
      </c>
      <c r="H24" s="696">
        <f>SUM(H22:H23)</f>
        <v>0</v>
      </c>
    </row>
    <row r="25" spans="1:79" ht="21.95" customHeight="1" thickTop="1" x14ac:dyDescent="0.2">
      <c r="B25" s="522" t="s">
        <v>1840</v>
      </c>
      <c r="C25" s="218">
        <v>190</v>
      </c>
      <c r="D25" s="217" t="s">
        <v>245</v>
      </c>
      <c r="E25" s="594"/>
    </row>
    <row r="26" spans="1:79" ht="21.95" customHeight="1" x14ac:dyDescent="0.2">
      <c r="B26" s="745" t="s">
        <v>1841</v>
      </c>
      <c r="C26" s="218">
        <v>200</v>
      </c>
      <c r="D26" s="217" t="s">
        <v>245</v>
      </c>
      <c r="E26" s="617">
        <f>SUM(E21+E24+E25)</f>
        <v>0</v>
      </c>
    </row>
    <row r="27" spans="1:79" ht="21.95" customHeight="1" x14ac:dyDescent="0.2">
      <c r="B27" s="522" t="s">
        <v>1842</v>
      </c>
      <c r="C27" s="218">
        <v>210</v>
      </c>
      <c r="D27" s="217" t="s">
        <v>251</v>
      </c>
      <c r="E27" s="617">
        <f>SUM(E18+E26)</f>
        <v>0</v>
      </c>
    </row>
    <row r="28" spans="1:79" ht="21.95" customHeight="1" x14ac:dyDescent="0.2">
      <c r="B28" s="522" t="s">
        <v>1843</v>
      </c>
      <c r="C28" s="218">
        <v>220</v>
      </c>
      <c r="D28" s="217" t="s">
        <v>251</v>
      </c>
      <c r="E28" s="617">
        <f>SUM(E63+E73)</f>
        <v>0</v>
      </c>
    </row>
    <row r="29" spans="1:79" ht="21.95" customHeight="1" x14ac:dyDescent="0.2">
      <c r="B29" s="522" t="s">
        <v>1844</v>
      </c>
      <c r="C29" s="218">
        <v>230</v>
      </c>
      <c r="D29" s="217" t="s">
        <v>251</v>
      </c>
      <c r="E29" s="617">
        <f>E30-(E27+E28)</f>
        <v>0</v>
      </c>
    </row>
    <row r="30" spans="1:79" ht="21.95" customHeight="1" thickBot="1" x14ac:dyDescent="0.25">
      <c r="B30" s="818" t="s">
        <v>1845</v>
      </c>
      <c r="C30" s="289">
        <v>240</v>
      </c>
      <c r="D30" s="288" t="s">
        <v>251</v>
      </c>
      <c r="E30" s="696">
        <f>SUM(E48-F48)</f>
        <v>0</v>
      </c>
    </row>
    <row r="31" spans="1:79" ht="13.5" thickTop="1" x14ac:dyDescent="0.2">
      <c r="C31" s="157"/>
      <c r="D31" s="157"/>
    </row>
    <row r="32" spans="1:79" x14ac:dyDescent="0.2">
      <c r="C32" s="157"/>
      <c r="D32" s="157"/>
    </row>
    <row r="33" spans="2:8" ht="13.5" thickBot="1" x14ac:dyDescent="0.25">
      <c r="C33" s="157"/>
      <c r="D33" s="157"/>
    </row>
    <row r="34" spans="2:8" ht="13.5" thickTop="1" x14ac:dyDescent="0.2">
      <c r="B34" s="273"/>
      <c r="C34" s="275" t="s">
        <v>1560</v>
      </c>
      <c r="D34" s="274" t="s">
        <v>1561</v>
      </c>
      <c r="E34" s="275" t="s">
        <v>235</v>
      </c>
      <c r="F34" s="275" t="s">
        <v>236</v>
      </c>
      <c r="G34" s="275" t="s">
        <v>293</v>
      </c>
      <c r="H34" s="276" t="s">
        <v>294</v>
      </c>
    </row>
    <row r="35" spans="2:8" ht="81" customHeight="1" x14ac:dyDescent="0.2">
      <c r="B35" s="130" t="s">
        <v>202</v>
      </c>
      <c r="C35" s="199"/>
      <c r="D35" s="199"/>
      <c r="E35" s="201" t="s">
        <v>1846</v>
      </c>
      <c r="F35" s="201" t="s">
        <v>1847</v>
      </c>
      <c r="G35" s="201" t="s">
        <v>1848</v>
      </c>
      <c r="H35" s="277" t="s">
        <v>1849</v>
      </c>
    </row>
    <row r="36" spans="2:8" ht="13.5" thickBot="1" x14ac:dyDescent="0.25">
      <c r="B36" s="150"/>
      <c r="C36" s="204"/>
      <c r="D36" s="204"/>
      <c r="E36" s="278" t="s">
        <v>243</v>
      </c>
      <c r="F36" s="278" t="s">
        <v>243</v>
      </c>
      <c r="G36" s="278" t="s">
        <v>243</v>
      </c>
      <c r="H36" s="279" t="s">
        <v>243</v>
      </c>
    </row>
    <row r="37" spans="2:8" ht="21.95" customHeight="1" x14ac:dyDescent="0.2">
      <c r="B37" s="126" t="s">
        <v>1850</v>
      </c>
      <c r="C37" s="735"/>
      <c r="D37" s="735"/>
      <c r="E37" s="317"/>
      <c r="F37" s="317"/>
      <c r="G37" s="317"/>
      <c r="H37" s="320"/>
    </row>
    <row r="38" spans="2:8" ht="21.95" customHeight="1" x14ac:dyDescent="0.2">
      <c r="B38" s="516" t="s">
        <v>1851</v>
      </c>
      <c r="C38" s="251">
        <v>250</v>
      </c>
      <c r="D38" s="250" t="s">
        <v>248</v>
      </c>
      <c r="E38" s="253">
        <f>E68</f>
        <v>0</v>
      </c>
      <c r="F38" s="253">
        <f>E60</f>
        <v>0</v>
      </c>
      <c r="G38" s="253">
        <f>F38-H38</f>
        <v>0</v>
      </c>
      <c r="H38" s="1183">
        <v>0</v>
      </c>
    </row>
    <row r="39" spans="2:8" ht="21.95" customHeight="1" x14ac:dyDescent="0.2">
      <c r="B39" s="522" t="s">
        <v>1852</v>
      </c>
      <c r="C39" s="218">
        <v>260</v>
      </c>
      <c r="D39" s="217" t="s">
        <v>248</v>
      </c>
      <c r="E39" s="220">
        <f>E78</f>
        <v>0</v>
      </c>
      <c r="F39" s="220">
        <f>E70</f>
        <v>0</v>
      </c>
      <c r="G39" s="220">
        <f>F39-H39</f>
        <v>0</v>
      </c>
      <c r="H39" s="1184">
        <v>0</v>
      </c>
    </row>
    <row r="40" spans="2:8" ht="21.95" customHeight="1" x14ac:dyDescent="0.2">
      <c r="B40" s="745" t="s">
        <v>1853</v>
      </c>
      <c r="C40" s="218">
        <v>270</v>
      </c>
      <c r="D40" s="217" t="s">
        <v>248</v>
      </c>
      <c r="E40" s="224">
        <f>SUM(E38:E39)</f>
        <v>0</v>
      </c>
      <c r="F40" s="224">
        <f>SUM(F38:F39)</f>
        <v>0</v>
      </c>
      <c r="G40" s="224">
        <f>SUM(G38:G39)</f>
        <v>0</v>
      </c>
      <c r="H40" s="617">
        <f>SUM(H38:H39)</f>
        <v>0</v>
      </c>
    </row>
    <row r="41" spans="2:8" ht="21.95" customHeight="1" x14ac:dyDescent="0.2">
      <c r="B41" s="522" t="s">
        <v>1854</v>
      </c>
      <c r="C41" s="218">
        <v>280</v>
      </c>
      <c r="D41" s="217" t="s">
        <v>248</v>
      </c>
      <c r="E41" s="228"/>
      <c r="F41" s="228"/>
      <c r="G41" s="220">
        <f>F41-H41</f>
        <v>0</v>
      </c>
      <c r="H41" s="1184">
        <v>0</v>
      </c>
    </row>
    <row r="42" spans="2:8" ht="21.95" customHeight="1" x14ac:dyDescent="0.2">
      <c r="B42" s="522" t="s">
        <v>142</v>
      </c>
      <c r="C42" s="218">
        <v>290</v>
      </c>
      <c r="D42" s="217" t="s">
        <v>248</v>
      </c>
      <c r="E42" s="228"/>
      <c r="F42" s="228"/>
      <c r="G42" s="220">
        <f>F42-H42</f>
        <v>0</v>
      </c>
      <c r="H42" s="1184">
        <v>0</v>
      </c>
    </row>
    <row r="43" spans="2:8" ht="21.95" customHeight="1" x14ac:dyDescent="0.2">
      <c r="B43" s="522" t="s">
        <v>1855</v>
      </c>
      <c r="C43" s="218">
        <v>300</v>
      </c>
      <c r="D43" s="217" t="s">
        <v>245</v>
      </c>
      <c r="E43" s="228"/>
      <c r="F43" s="228"/>
      <c r="G43" s="220">
        <f>F43-H43</f>
        <v>0</v>
      </c>
      <c r="H43" s="1184">
        <v>0</v>
      </c>
    </row>
    <row r="44" spans="2:8" ht="21.95" customHeight="1" x14ac:dyDescent="0.2">
      <c r="B44" s="522" t="s">
        <v>1856</v>
      </c>
      <c r="C44" s="218">
        <v>310</v>
      </c>
      <c r="D44" s="217" t="s">
        <v>245</v>
      </c>
      <c r="E44" s="228"/>
      <c r="F44" s="228"/>
      <c r="G44" s="220">
        <f>F44-H44</f>
        <v>0</v>
      </c>
      <c r="H44" s="1184">
        <v>0</v>
      </c>
    </row>
    <row r="45" spans="2:8" ht="21.95" customHeight="1" x14ac:dyDescent="0.2">
      <c r="B45" s="745" t="s">
        <v>1857</v>
      </c>
      <c r="C45" s="218">
        <v>320</v>
      </c>
      <c r="D45" s="217" t="s">
        <v>248</v>
      </c>
      <c r="E45" s="224">
        <f>SUM(E40:E44)</f>
        <v>0</v>
      </c>
      <c r="F45" s="224">
        <f>SUM(F40:F44)</f>
        <v>0</v>
      </c>
      <c r="G45" s="224">
        <f>SUM(G40:G44)</f>
        <v>0</v>
      </c>
      <c r="H45" s="617">
        <f>SUM(H40:H44)</f>
        <v>0</v>
      </c>
    </row>
    <row r="46" spans="2:8" ht="21.95" customHeight="1" x14ac:dyDescent="0.2">
      <c r="B46" s="522" t="s">
        <v>1858</v>
      </c>
      <c r="C46" s="218">
        <v>330</v>
      </c>
      <c r="D46" s="217" t="s">
        <v>248</v>
      </c>
      <c r="E46" s="220">
        <f>E91</f>
        <v>0</v>
      </c>
      <c r="F46" s="220">
        <f>E85</f>
        <v>0</v>
      </c>
      <c r="G46" s="220">
        <f>F46-H46</f>
        <v>0</v>
      </c>
      <c r="H46" s="1184">
        <v>0</v>
      </c>
    </row>
    <row r="47" spans="2:8" ht="21.95" customHeight="1" x14ac:dyDescent="0.2">
      <c r="B47" s="522" t="s">
        <v>1859</v>
      </c>
      <c r="C47" s="218">
        <v>340</v>
      </c>
      <c r="D47" s="217" t="s">
        <v>248</v>
      </c>
      <c r="E47" s="220">
        <f>F91</f>
        <v>0</v>
      </c>
      <c r="F47" s="220">
        <f>F85</f>
        <v>0</v>
      </c>
      <c r="G47" s="220">
        <f>F47-H47</f>
        <v>0</v>
      </c>
      <c r="H47" s="1184">
        <v>0</v>
      </c>
    </row>
    <row r="48" spans="2:8" ht="21.95" customHeight="1" thickBot="1" x14ac:dyDescent="0.25">
      <c r="B48" s="818" t="s">
        <v>1860</v>
      </c>
      <c r="C48" s="289">
        <v>350</v>
      </c>
      <c r="D48" s="288" t="s">
        <v>248</v>
      </c>
      <c r="E48" s="342">
        <f>SUM(E46:E47)</f>
        <v>0</v>
      </c>
      <c r="F48" s="342">
        <f>SUM(F46:F47)</f>
        <v>0</v>
      </c>
      <c r="G48" s="342">
        <f>SUM(G46:G47)</f>
        <v>0</v>
      </c>
      <c r="H48" s="696">
        <f>SUM(H46:H47)</f>
        <v>0</v>
      </c>
    </row>
    <row r="49" spans="2:8" ht="13.5" thickTop="1" x14ac:dyDescent="0.2">
      <c r="C49" s="157"/>
      <c r="D49" s="157"/>
    </row>
    <row r="50" spans="2:8" x14ac:dyDescent="0.2">
      <c r="C50" s="157"/>
      <c r="D50" s="157"/>
    </row>
    <row r="51" spans="2:8" ht="13.5" thickBot="1" x14ac:dyDescent="0.25">
      <c r="C51" s="157"/>
      <c r="D51" s="157"/>
    </row>
    <row r="52" spans="2:8" ht="39.75" thickTop="1" thickBot="1" x14ac:dyDescent="0.25">
      <c r="B52" s="1058" t="s">
        <v>1861</v>
      </c>
      <c r="C52" s="1060">
        <v>355</v>
      </c>
      <c r="D52" s="1059" t="s">
        <v>1827</v>
      </c>
      <c r="E52" s="1061"/>
      <c r="F52" s="1062"/>
      <c r="G52" s="1062"/>
      <c r="H52" s="1063"/>
    </row>
    <row r="53" spans="2:8" ht="13.5" thickTop="1" x14ac:dyDescent="0.2"/>
    <row r="55" spans="2:8" ht="13.5" thickBot="1" x14ac:dyDescent="0.25"/>
    <row r="56" spans="2:8" ht="13.5" thickTop="1" x14ac:dyDescent="0.2">
      <c r="B56" s="273"/>
      <c r="C56" s="275" t="s">
        <v>1560</v>
      </c>
      <c r="D56" s="274" t="s">
        <v>1561</v>
      </c>
      <c r="E56" s="276" t="s">
        <v>235</v>
      </c>
    </row>
    <row r="57" spans="2:8" x14ac:dyDescent="0.2">
      <c r="B57" s="130" t="s">
        <v>203</v>
      </c>
      <c r="C57" s="199"/>
      <c r="D57" s="199"/>
      <c r="E57" s="277" t="s">
        <v>1830</v>
      </c>
    </row>
    <row r="58" spans="2:8" ht="13.5" thickBot="1" x14ac:dyDescent="0.25">
      <c r="B58" s="150"/>
      <c r="C58" s="204"/>
      <c r="D58" s="204"/>
      <c r="E58" s="279" t="s">
        <v>243</v>
      </c>
    </row>
    <row r="59" spans="2:8" ht="21.95" customHeight="1" x14ac:dyDescent="0.2">
      <c r="B59" s="126" t="s">
        <v>1851</v>
      </c>
      <c r="C59" s="735"/>
      <c r="D59" s="735"/>
      <c r="E59" s="320"/>
    </row>
    <row r="60" spans="2:8" ht="21.95" customHeight="1" x14ac:dyDescent="0.2">
      <c r="B60" s="1064" t="s">
        <v>1862</v>
      </c>
      <c r="C60" s="251">
        <v>360</v>
      </c>
      <c r="D60" s="250" t="s">
        <v>248</v>
      </c>
      <c r="E60" s="1014"/>
    </row>
    <row r="61" spans="2:8" ht="21.95" customHeight="1" x14ac:dyDescent="0.2">
      <c r="B61" s="522" t="s">
        <v>1863</v>
      </c>
      <c r="C61" s="218">
        <v>370</v>
      </c>
      <c r="D61" s="217" t="s">
        <v>248</v>
      </c>
      <c r="E61" s="594"/>
    </row>
    <row r="62" spans="2:8" ht="21.95" customHeight="1" x14ac:dyDescent="0.2">
      <c r="B62" s="522" t="s">
        <v>1237</v>
      </c>
      <c r="C62" s="218">
        <v>380</v>
      </c>
      <c r="D62" s="217" t="s">
        <v>245</v>
      </c>
      <c r="E62" s="594"/>
    </row>
    <row r="63" spans="2:8" ht="21.95" customHeight="1" x14ac:dyDescent="0.2">
      <c r="B63" s="522" t="s">
        <v>1864</v>
      </c>
      <c r="C63" s="218">
        <v>390</v>
      </c>
      <c r="D63" s="217" t="s">
        <v>251</v>
      </c>
      <c r="E63" s="594"/>
    </row>
    <row r="64" spans="2:8" ht="21.95" customHeight="1" x14ac:dyDescent="0.2">
      <c r="B64" s="522" t="s">
        <v>1865</v>
      </c>
      <c r="C64" s="218">
        <v>400</v>
      </c>
      <c r="D64" s="217" t="s">
        <v>251</v>
      </c>
      <c r="E64" s="594"/>
    </row>
    <row r="65" spans="2:5" ht="27" customHeight="1" x14ac:dyDescent="0.2">
      <c r="B65" s="938" t="s">
        <v>1866</v>
      </c>
      <c r="C65" s="218">
        <v>410</v>
      </c>
      <c r="D65" s="217" t="s">
        <v>251</v>
      </c>
      <c r="E65" s="594"/>
    </row>
    <row r="66" spans="2:5" ht="21.95" customHeight="1" x14ac:dyDescent="0.2">
      <c r="B66" s="522" t="s">
        <v>1867</v>
      </c>
      <c r="C66" s="218">
        <v>420</v>
      </c>
      <c r="D66" s="217" t="s">
        <v>251</v>
      </c>
      <c r="E66" s="594"/>
    </row>
    <row r="67" spans="2:5" ht="21.95" customHeight="1" x14ac:dyDescent="0.2">
      <c r="B67" s="522" t="s">
        <v>427</v>
      </c>
      <c r="C67" s="218">
        <v>430</v>
      </c>
      <c r="D67" s="217" t="s">
        <v>251</v>
      </c>
      <c r="E67" s="594"/>
    </row>
    <row r="68" spans="2:5" ht="21.95" customHeight="1" x14ac:dyDescent="0.2">
      <c r="B68" s="745" t="s">
        <v>1868</v>
      </c>
      <c r="C68" s="218">
        <v>440</v>
      </c>
      <c r="D68" s="217" t="s">
        <v>248</v>
      </c>
      <c r="E68" s="617">
        <f>SUM(E60:E67)</f>
        <v>0</v>
      </c>
    </row>
    <row r="69" spans="2:5" ht="21.95" customHeight="1" x14ac:dyDescent="0.2">
      <c r="B69" s="1065" t="s">
        <v>1869</v>
      </c>
      <c r="C69" s="446"/>
      <c r="D69" s="579"/>
      <c r="E69" s="530"/>
    </row>
    <row r="70" spans="2:5" ht="21.95" customHeight="1" x14ac:dyDescent="0.2">
      <c r="B70" s="1064" t="s">
        <v>1862</v>
      </c>
      <c r="C70" s="251">
        <v>450</v>
      </c>
      <c r="D70" s="250" t="s">
        <v>248</v>
      </c>
      <c r="E70" s="1014"/>
    </row>
    <row r="71" spans="2:5" ht="21.95" customHeight="1" x14ac:dyDescent="0.2">
      <c r="B71" s="522" t="s">
        <v>1863</v>
      </c>
      <c r="C71" s="218">
        <v>460</v>
      </c>
      <c r="D71" s="217" t="s">
        <v>248</v>
      </c>
      <c r="E71" s="594"/>
    </row>
    <row r="72" spans="2:5" ht="21.95" customHeight="1" x14ac:dyDescent="0.2">
      <c r="B72" s="522" t="s">
        <v>1237</v>
      </c>
      <c r="C72" s="218">
        <v>470</v>
      </c>
      <c r="D72" s="217" t="s">
        <v>245</v>
      </c>
      <c r="E72" s="594"/>
    </row>
    <row r="73" spans="2:5" ht="21.95" customHeight="1" x14ac:dyDescent="0.2">
      <c r="B73" s="522" t="s">
        <v>1864</v>
      </c>
      <c r="C73" s="218">
        <v>480</v>
      </c>
      <c r="D73" s="217" t="s">
        <v>251</v>
      </c>
      <c r="E73" s="594"/>
    </row>
    <row r="74" spans="2:5" ht="27" customHeight="1" x14ac:dyDescent="0.2">
      <c r="B74" s="938" t="s">
        <v>1866</v>
      </c>
      <c r="C74" s="218">
        <v>490</v>
      </c>
      <c r="D74" s="217" t="s">
        <v>251</v>
      </c>
      <c r="E74" s="594"/>
    </row>
    <row r="75" spans="2:5" ht="21.95" customHeight="1" x14ac:dyDescent="0.2">
      <c r="B75" s="522" t="s">
        <v>1867</v>
      </c>
      <c r="C75" s="218">
        <v>500</v>
      </c>
      <c r="D75" s="217" t="s">
        <v>251</v>
      </c>
      <c r="E75" s="594"/>
    </row>
    <row r="76" spans="2:5" ht="21.95" customHeight="1" x14ac:dyDescent="0.2">
      <c r="B76" s="522" t="s">
        <v>1865</v>
      </c>
      <c r="C76" s="218">
        <v>510</v>
      </c>
      <c r="D76" s="217" t="s">
        <v>245</v>
      </c>
      <c r="E76" s="594"/>
    </row>
    <row r="77" spans="2:5" ht="21.95" customHeight="1" x14ac:dyDescent="0.2">
      <c r="B77" s="522" t="s">
        <v>427</v>
      </c>
      <c r="C77" s="218">
        <v>520</v>
      </c>
      <c r="D77" s="217" t="s">
        <v>251</v>
      </c>
      <c r="E77" s="594"/>
    </row>
    <row r="78" spans="2:5" ht="21.95" customHeight="1" thickBot="1" x14ac:dyDescent="0.25">
      <c r="B78" s="818" t="s">
        <v>1868</v>
      </c>
      <c r="C78" s="289">
        <v>530</v>
      </c>
      <c r="D78" s="288" t="s">
        <v>248</v>
      </c>
      <c r="E78" s="696">
        <f>SUM(E70:E77)</f>
        <v>0</v>
      </c>
    </row>
    <row r="79" spans="2:5" ht="13.5" thickTop="1" x14ac:dyDescent="0.2">
      <c r="C79" s="157"/>
      <c r="D79" s="157"/>
    </row>
    <row r="80" spans="2:5" x14ac:dyDescent="0.2">
      <c r="C80" s="157"/>
      <c r="D80" s="157"/>
    </row>
    <row r="81" spans="2:8" ht="13.5" thickBot="1" x14ac:dyDescent="0.25">
      <c r="C81" s="157"/>
      <c r="D81" s="157"/>
    </row>
    <row r="82" spans="2:8" ht="13.5" thickTop="1" x14ac:dyDescent="0.2">
      <c r="B82" s="273"/>
      <c r="C82" s="275" t="s">
        <v>1560</v>
      </c>
      <c r="D82" s="274" t="s">
        <v>1561</v>
      </c>
      <c r="E82" s="275" t="s">
        <v>235</v>
      </c>
      <c r="F82" s="276" t="s">
        <v>236</v>
      </c>
    </row>
    <row r="83" spans="2:8" ht="25.5" x14ac:dyDescent="0.2">
      <c r="B83" s="130" t="s">
        <v>204</v>
      </c>
      <c r="C83" s="199"/>
      <c r="D83" s="199"/>
      <c r="E83" s="201" t="s">
        <v>1870</v>
      </c>
      <c r="F83" s="277" t="s">
        <v>1871</v>
      </c>
    </row>
    <row r="84" spans="2:8" ht="13.5" thickBot="1" x14ac:dyDescent="0.25">
      <c r="B84" s="150"/>
      <c r="C84" s="204"/>
      <c r="D84" s="204"/>
      <c r="E84" s="278" t="s">
        <v>243</v>
      </c>
      <c r="F84" s="279" t="s">
        <v>243</v>
      </c>
    </row>
    <row r="85" spans="2:8" ht="21.95" customHeight="1" x14ac:dyDescent="0.2">
      <c r="B85" s="1066" t="s">
        <v>1862</v>
      </c>
      <c r="C85" s="207">
        <v>540</v>
      </c>
      <c r="D85" s="206" t="s">
        <v>248</v>
      </c>
      <c r="E85" s="356"/>
      <c r="F85" s="1067"/>
    </row>
    <row r="86" spans="2:8" ht="21.95" customHeight="1" x14ac:dyDescent="0.2">
      <c r="B86" s="522" t="s">
        <v>1842</v>
      </c>
      <c r="C86" s="218">
        <v>550</v>
      </c>
      <c r="D86" s="217" t="s">
        <v>251</v>
      </c>
      <c r="E86" s="228"/>
      <c r="F86" s="594"/>
    </row>
    <row r="87" spans="2:8" ht="21.95" customHeight="1" x14ac:dyDescent="0.2">
      <c r="B87" s="522" t="s">
        <v>1872</v>
      </c>
      <c r="C87" s="218">
        <v>560</v>
      </c>
      <c r="D87" s="217" t="s">
        <v>251</v>
      </c>
      <c r="E87" s="228"/>
      <c r="F87" s="594"/>
    </row>
    <row r="88" spans="2:8" ht="21.95" customHeight="1" x14ac:dyDescent="0.2">
      <c r="B88" s="522" t="s">
        <v>1873</v>
      </c>
      <c r="C88" s="218">
        <v>570</v>
      </c>
      <c r="D88" s="217" t="s">
        <v>251</v>
      </c>
      <c r="E88" s="228"/>
      <c r="F88" s="594"/>
    </row>
    <row r="89" spans="2:8" ht="21.95" customHeight="1" x14ac:dyDescent="0.2">
      <c r="B89" s="522" t="s">
        <v>1867</v>
      </c>
      <c r="C89" s="218">
        <v>580</v>
      </c>
      <c r="D89" s="217" t="s">
        <v>251</v>
      </c>
      <c r="E89" s="228"/>
      <c r="F89" s="594"/>
    </row>
    <row r="90" spans="2:8" ht="21.95" customHeight="1" x14ac:dyDescent="0.2">
      <c r="B90" s="522" t="s">
        <v>1874</v>
      </c>
      <c r="C90" s="218">
        <v>590</v>
      </c>
      <c r="D90" s="217" t="s">
        <v>251</v>
      </c>
      <c r="E90" s="228"/>
      <c r="F90" s="594"/>
    </row>
    <row r="91" spans="2:8" ht="21.95" customHeight="1" thickBot="1" x14ac:dyDescent="0.25">
      <c r="B91" s="818" t="s">
        <v>1875</v>
      </c>
      <c r="C91" s="289">
        <v>600</v>
      </c>
      <c r="D91" s="288" t="s">
        <v>248</v>
      </c>
      <c r="E91" s="342">
        <f>SUM(E85:E90)</f>
        <v>0</v>
      </c>
      <c r="F91" s="696">
        <f>SUM(F85:F90)</f>
        <v>0</v>
      </c>
    </row>
    <row r="92" spans="2:8" ht="13.5" thickTop="1" x14ac:dyDescent="0.2">
      <c r="C92" s="157"/>
      <c r="D92" s="157"/>
    </row>
    <row r="93" spans="2:8" x14ac:dyDescent="0.2">
      <c r="C93" s="157"/>
      <c r="D93" s="157"/>
    </row>
    <row r="94" spans="2:8" ht="13.5" thickBot="1" x14ac:dyDescent="0.25">
      <c r="C94" s="157"/>
      <c r="D94" s="157"/>
    </row>
    <row r="95" spans="2:8" ht="13.5" thickTop="1" x14ac:dyDescent="0.2">
      <c r="B95" s="273"/>
      <c r="C95" s="275" t="s">
        <v>1560</v>
      </c>
      <c r="D95" s="274" t="s">
        <v>1561</v>
      </c>
      <c r="E95" s="275" t="s">
        <v>235</v>
      </c>
      <c r="F95" s="275" t="s">
        <v>236</v>
      </c>
      <c r="G95" s="275" t="s">
        <v>293</v>
      </c>
      <c r="H95" s="276" t="s">
        <v>294</v>
      </c>
    </row>
    <row r="96" spans="2:8" x14ac:dyDescent="0.2">
      <c r="B96" s="130" t="s">
        <v>1876</v>
      </c>
      <c r="C96" s="199"/>
      <c r="D96" s="199"/>
      <c r="E96" s="697"/>
      <c r="F96" s="697"/>
      <c r="G96" s="697"/>
      <c r="H96" s="1068"/>
    </row>
    <row r="97" spans="2:8" ht="13.5" thickBot="1" x14ac:dyDescent="0.25">
      <c r="B97" s="136"/>
      <c r="C97" s="138"/>
      <c r="D97" s="138"/>
      <c r="E97" s="137"/>
      <c r="F97" s="137"/>
      <c r="G97" s="137"/>
      <c r="H97" s="139"/>
    </row>
    <row r="98" spans="2:8" x14ac:dyDescent="0.2">
      <c r="B98" s="126" t="s">
        <v>1877</v>
      </c>
      <c r="C98" s="113"/>
      <c r="D98" s="113"/>
      <c r="E98" s="113"/>
      <c r="F98" s="113"/>
      <c r="G98" s="113"/>
      <c r="H98" s="115"/>
    </row>
    <row r="99" spans="2:8" ht="38.25" x14ac:dyDescent="0.2">
      <c r="B99" s="518" t="s">
        <v>1878</v>
      </c>
      <c r="C99" s="250"/>
      <c r="D99" s="250"/>
      <c r="E99" s="932" t="s">
        <v>340</v>
      </c>
      <c r="F99" s="932" t="s">
        <v>1879</v>
      </c>
      <c r="G99" s="932" t="s">
        <v>1880</v>
      </c>
      <c r="H99" s="1069" t="s">
        <v>1881</v>
      </c>
    </row>
    <row r="100" spans="2:8" ht="21.95" customHeight="1" x14ac:dyDescent="0.2">
      <c r="B100" s="522" t="s">
        <v>1882</v>
      </c>
      <c r="C100" s="218">
        <v>610</v>
      </c>
      <c r="D100" s="217" t="s">
        <v>251</v>
      </c>
      <c r="E100" s="224">
        <f>SUM(F100:H100)</f>
        <v>0</v>
      </c>
      <c r="F100" s="228"/>
      <c r="G100" s="228"/>
      <c r="H100" s="594"/>
    </row>
    <row r="101" spans="2:8" x14ac:dyDescent="0.2">
      <c r="B101" s="1065" t="s">
        <v>1883</v>
      </c>
      <c r="C101" s="215"/>
      <c r="D101" s="215"/>
      <c r="E101" s="215"/>
      <c r="F101" s="215"/>
      <c r="G101" s="215"/>
      <c r="H101" s="529"/>
    </row>
    <row r="102" spans="2:8" ht="38.25" x14ac:dyDescent="0.2">
      <c r="B102" s="518" t="s">
        <v>1884</v>
      </c>
      <c r="C102" s="250"/>
      <c r="D102" s="250"/>
      <c r="E102" s="932" t="s">
        <v>340</v>
      </c>
      <c r="F102" s="932" t="s">
        <v>1885</v>
      </c>
      <c r="G102" s="932" t="s">
        <v>1886</v>
      </c>
      <c r="H102" s="1069" t="s">
        <v>1881</v>
      </c>
    </row>
    <row r="103" spans="2:8" ht="21.95" customHeight="1" x14ac:dyDescent="0.2">
      <c r="B103" s="522" t="s">
        <v>1887</v>
      </c>
      <c r="C103" s="218">
        <v>620</v>
      </c>
      <c r="D103" s="217" t="s">
        <v>251</v>
      </c>
      <c r="E103" s="224">
        <f>SUM(F103:H103)</f>
        <v>0</v>
      </c>
      <c r="F103" s="228"/>
      <c r="G103" s="228"/>
      <c r="H103" s="594"/>
    </row>
    <row r="104" spans="2:8" ht="21.95" customHeight="1" thickBot="1" x14ac:dyDescent="0.25">
      <c r="B104" s="285" t="s">
        <v>1888</v>
      </c>
      <c r="C104" s="289">
        <v>630</v>
      </c>
      <c r="D104" s="288" t="s">
        <v>251</v>
      </c>
      <c r="E104" s="342">
        <f>SUM(F104:H104)</f>
        <v>0</v>
      </c>
      <c r="F104" s="1070"/>
      <c r="G104" s="1070"/>
      <c r="H104" s="1071"/>
    </row>
    <row r="105" spans="2:8" ht="13.5" thickTop="1" x14ac:dyDescent="0.2">
      <c r="C105" s="157"/>
      <c r="D105" s="157"/>
    </row>
    <row r="106" spans="2:8" x14ac:dyDescent="0.2">
      <c r="C106" s="157"/>
      <c r="D106" s="157"/>
    </row>
    <row r="107" spans="2:8" x14ac:dyDescent="0.2">
      <c r="C107" s="157"/>
      <c r="D107" s="157"/>
    </row>
    <row r="108" spans="2:8" x14ac:dyDescent="0.2">
      <c r="C108" s="157"/>
      <c r="D108" s="157"/>
    </row>
  </sheetData>
  <sheetProtection password="8EBD" sheet="1" objects="1" scenarios="1"/>
  <dataValidations count="2">
    <dataValidation type="decimal" allowBlank="1" showErrorMessage="1" errorTitle="Number Only" error="Error : This cell can only accept a numeric value with a max of 12 digits." sqref="E103:E104 E100 E91:F91 E78 E68 H48 E45:F48 H45 G41:G48 H40 E38:G40 E26:E30 F24:H24 F21 E19:E24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18 F103:H104 F100:H100 E85:F90 E70:E77 E60:E67 H46:H47 E41:F44 H41:H44 H38:H39 E25 F22:H23 F19:F20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9" fitToHeight="2" orientation="landscape" horizontalDpi="90" verticalDpi="90" r:id="rId1"/>
  <rowBreaks count="1" manualBreakCount="1">
    <brk id="48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BZ89"/>
  <sheetViews>
    <sheetView zoomScale="70" zoomScaleNormal="70" workbookViewId="0">
      <pane xSplit="4" topLeftCell="E1" activePane="topRight" state="frozen"/>
      <selection pane="topRight" activeCell="CJ17" sqref="CJ17"/>
    </sheetView>
  </sheetViews>
  <sheetFormatPr defaultRowHeight="12.75" x14ac:dyDescent="0.2"/>
  <cols>
    <col min="1" max="1" width="5.42578125" customWidth="1"/>
    <col min="2" max="2" width="57.7109375" hidden="1" customWidth="1"/>
    <col min="3" max="4" width="10.140625" hidden="1" customWidth="1"/>
    <col min="5" max="5" width="15" hidden="1" customWidth="1"/>
    <col min="6" max="6" width="0" hidden="1" customWidth="1"/>
    <col min="7" max="78" width="2.7109375" hidden="1" customWidth="1"/>
  </cols>
  <sheetData>
    <row r="1" spans="1:5" ht="15.75" x14ac:dyDescent="0.25">
      <c r="A1" s="1131" t="s">
        <v>3726</v>
      </c>
      <c r="B1" s="1139" t="str">
        <f>OrgName</f>
        <v>ZZZ NHS TRUST</v>
      </c>
      <c r="C1" s="1162"/>
      <c r="D1" s="1170"/>
      <c r="E1" s="1177" t="str">
        <f>HYPERLINK(CHAR(35)&amp;"1415TRU_Index_P13"&amp;"!A1","GoTo Index tab")</f>
        <v>GoTo Index tab</v>
      </c>
    </row>
    <row r="2" spans="1:5" x14ac:dyDescent="0.2">
      <c r="A2" s="1131" t="s">
        <v>3727</v>
      </c>
      <c r="B2" s="1137" t="str">
        <f>"Org Code: " &amp; Orgcode</f>
        <v>Org Code: ZZZ</v>
      </c>
      <c r="C2" s="1161"/>
      <c r="D2" s="1169"/>
      <c r="E2" s="1135"/>
    </row>
    <row r="3" spans="1:5" x14ac:dyDescent="0.2">
      <c r="A3" s="1131" t="s">
        <v>3751</v>
      </c>
      <c r="B3" s="1138" t="s">
        <v>3725</v>
      </c>
      <c r="C3" s="1163"/>
      <c r="D3" s="1171"/>
      <c r="E3" s="1136"/>
    </row>
    <row r="4" spans="1:5" x14ac:dyDescent="0.2">
      <c r="B4" s="97" t="s">
        <v>1889</v>
      </c>
      <c r="C4" s="172"/>
      <c r="D4" s="247"/>
    </row>
    <row r="5" spans="1:5" x14ac:dyDescent="0.2">
      <c r="B5" s="103" t="s">
        <v>66</v>
      </c>
      <c r="C5" s="172"/>
      <c r="D5" s="102"/>
    </row>
    <row r="6" spans="1:5" ht="13.5" thickBot="1" x14ac:dyDescent="0.25">
      <c r="A6" s="108"/>
      <c r="B6" s="97" t="s">
        <v>1890</v>
      </c>
      <c r="C6" s="172"/>
      <c r="D6" s="247"/>
    </row>
    <row r="7" spans="1:5" ht="26.25" thickTop="1" x14ac:dyDescent="0.2">
      <c r="B7" s="967" t="s">
        <v>208</v>
      </c>
      <c r="C7" s="274" t="s">
        <v>238</v>
      </c>
      <c r="D7" s="274" t="s">
        <v>1561</v>
      </c>
      <c r="E7" s="311" t="s">
        <v>235</v>
      </c>
    </row>
    <row r="8" spans="1:5" ht="13.5" thickBot="1" x14ac:dyDescent="0.25">
      <c r="B8" s="136"/>
      <c r="C8" s="204" t="s">
        <v>242</v>
      </c>
      <c r="D8" s="204"/>
      <c r="E8" s="313" t="s">
        <v>243</v>
      </c>
    </row>
    <row r="9" spans="1:5" ht="21.95" customHeight="1" x14ac:dyDescent="0.2">
      <c r="A9" s="108"/>
      <c r="B9" s="126" t="s">
        <v>1891</v>
      </c>
      <c r="C9" s="763"/>
      <c r="D9" s="964"/>
      <c r="E9" s="320"/>
    </row>
    <row r="10" spans="1:5" ht="21.95" customHeight="1" x14ac:dyDescent="0.2">
      <c r="B10" s="516" t="s">
        <v>1892</v>
      </c>
      <c r="C10" s="251">
        <v>100</v>
      </c>
      <c r="D10" s="252" t="s">
        <v>248</v>
      </c>
      <c r="E10" s="1014"/>
    </row>
    <row r="11" spans="1:5" ht="21.95" customHeight="1" x14ac:dyDescent="0.2">
      <c r="B11" s="522" t="s">
        <v>1893</v>
      </c>
      <c r="C11" s="218">
        <v>110</v>
      </c>
      <c r="D11" s="219" t="s">
        <v>248</v>
      </c>
      <c r="E11" s="594"/>
    </row>
    <row r="12" spans="1:5" ht="21.95" customHeight="1" x14ac:dyDescent="0.2">
      <c r="B12" s="745" t="s">
        <v>340</v>
      </c>
      <c r="C12" s="218">
        <v>120</v>
      </c>
      <c r="D12" s="219" t="s">
        <v>248</v>
      </c>
      <c r="E12" s="617">
        <f>SUM(E10:E11)</f>
        <v>0</v>
      </c>
    </row>
    <row r="13" spans="1:5" ht="21.95" customHeight="1" x14ac:dyDescent="0.2">
      <c r="B13" s="1065" t="s">
        <v>1894</v>
      </c>
      <c r="C13" s="446"/>
      <c r="D13" s="900"/>
      <c r="E13" s="530"/>
    </row>
    <row r="14" spans="1:5" ht="21.95" customHeight="1" x14ac:dyDescent="0.2">
      <c r="B14" s="516" t="s">
        <v>1895</v>
      </c>
      <c r="C14" s="251">
        <v>130</v>
      </c>
      <c r="D14" s="252" t="s">
        <v>248</v>
      </c>
      <c r="E14" s="1014"/>
    </row>
    <row r="15" spans="1:5" ht="21.95" customHeight="1" x14ac:dyDescent="0.2">
      <c r="B15" s="522" t="s">
        <v>1896</v>
      </c>
      <c r="C15" s="218">
        <v>140</v>
      </c>
      <c r="D15" s="219" t="s">
        <v>248</v>
      </c>
      <c r="E15" s="594"/>
    </row>
    <row r="16" spans="1:5" ht="27" customHeight="1" x14ac:dyDescent="0.2">
      <c r="B16" s="938" t="s">
        <v>1897</v>
      </c>
      <c r="C16" s="218">
        <v>150</v>
      </c>
      <c r="D16" s="219" t="s">
        <v>248</v>
      </c>
      <c r="E16" s="594"/>
    </row>
    <row r="17" spans="2:5" ht="21.95" customHeight="1" x14ac:dyDescent="0.2">
      <c r="B17" s="522" t="s">
        <v>1898</v>
      </c>
      <c r="C17" s="218">
        <v>160</v>
      </c>
      <c r="D17" s="219" t="s">
        <v>248</v>
      </c>
      <c r="E17" s="594"/>
    </row>
    <row r="18" spans="2:5" ht="27" customHeight="1" x14ac:dyDescent="0.2">
      <c r="B18" s="938" t="s">
        <v>1899</v>
      </c>
      <c r="C18" s="218">
        <v>170</v>
      </c>
      <c r="D18" s="219" t="s">
        <v>248</v>
      </c>
      <c r="E18" s="594"/>
    </row>
    <row r="19" spans="2:5" ht="27" customHeight="1" x14ac:dyDescent="0.2">
      <c r="B19" s="938" t="s">
        <v>1900</v>
      </c>
      <c r="C19" s="218">
        <v>180</v>
      </c>
      <c r="D19" s="219" t="s">
        <v>248</v>
      </c>
      <c r="E19" s="594"/>
    </row>
    <row r="20" spans="2:5" ht="27" customHeight="1" x14ac:dyDescent="0.2">
      <c r="B20" s="938" t="s">
        <v>1901</v>
      </c>
      <c r="C20" s="218">
        <v>190</v>
      </c>
      <c r="D20" s="219" t="s">
        <v>251</v>
      </c>
      <c r="E20" s="594"/>
    </row>
    <row r="21" spans="2:5" ht="21.95" customHeight="1" x14ac:dyDescent="0.2">
      <c r="B21" s="745" t="s">
        <v>340</v>
      </c>
      <c r="C21" s="218">
        <v>200</v>
      </c>
      <c r="D21" s="219" t="s">
        <v>248</v>
      </c>
      <c r="E21" s="617">
        <f>SUM(E14:E20)</f>
        <v>0</v>
      </c>
    </row>
    <row r="22" spans="2:5" x14ac:dyDescent="0.2">
      <c r="B22" s="283"/>
      <c r="C22" s="446"/>
      <c r="D22" s="900"/>
      <c r="E22" s="530"/>
    </row>
    <row r="23" spans="2:5" ht="21.95" customHeight="1" thickBot="1" x14ac:dyDescent="0.25">
      <c r="B23" s="1072" t="s">
        <v>1902</v>
      </c>
      <c r="C23" s="409">
        <v>210</v>
      </c>
      <c r="D23" s="432" t="s">
        <v>248</v>
      </c>
      <c r="E23" s="1073">
        <f>E12-E21</f>
        <v>0</v>
      </c>
    </row>
    <row r="24" spans="2:5" ht="13.5" thickTop="1" x14ac:dyDescent="0.2">
      <c r="C24" s="172"/>
      <c r="D24" s="247"/>
    </row>
    <row r="25" spans="2:5" x14ac:dyDescent="0.2">
      <c r="D25" s="100"/>
    </row>
    <row r="26" spans="2:5" ht="13.5" thickBot="1" x14ac:dyDescent="0.25">
      <c r="C26" s="172"/>
      <c r="D26" s="247"/>
    </row>
    <row r="27" spans="2:5" ht="13.5" thickTop="1" x14ac:dyDescent="0.2">
      <c r="B27" s="273" t="s">
        <v>209</v>
      </c>
      <c r="C27" s="274" t="s">
        <v>238</v>
      </c>
      <c r="D27" s="274" t="s">
        <v>1561</v>
      </c>
      <c r="E27" s="311" t="s">
        <v>235</v>
      </c>
    </row>
    <row r="28" spans="2:5" ht="13.5" thickBot="1" x14ac:dyDescent="0.25">
      <c r="B28" s="136"/>
      <c r="C28" s="204" t="s">
        <v>242</v>
      </c>
      <c r="D28" s="204"/>
      <c r="E28" s="313" t="s">
        <v>243</v>
      </c>
    </row>
    <row r="29" spans="2:5" ht="21.95" customHeight="1" x14ac:dyDescent="0.2">
      <c r="B29" s="280" t="s">
        <v>1903</v>
      </c>
      <c r="C29" s="207">
        <v>220</v>
      </c>
      <c r="D29" s="208" t="s">
        <v>248</v>
      </c>
      <c r="E29" s="555">
        <f>E14</f>
        <v>0</v>
      </c>
    </row>
    <row r="30" spans="2:5" ht="21.95" customHeight="1" x14ac:dyDescent="0.2">
      <c r="B30" s="522" t="s">
        <v>1904</v>
      </c>
      <c r="C30" s="218">
        <v>230</v>
      </c>
      <c r="D30" s="219" t="s">
        <v>248</v>
      </c>
      <c r="E30" s="594"/>
    </row>
    <row r="31" spans="2:5" ht="21.95" customHeight="1" x14ac:dyDescent="0.2">
      <c r="B31" s="522" t="s">
        <v>1905</v>
      </c>
      <c r="C31" s="218">
        <v>240</v>
      </c>
      <c r="D31" s="219" t="s">
        <v>248</v>
      </c>
      <c r="E31" s="594"/>
    </row>
    <row r="32" spans="2:5" ht="21.95" customHeight="1" thickBot="1" x14ac:dyDescent="0.25">
      <c r="B32" s="818" t="s">
        <v>340</v>
      </c>
      <c r="C32" s="289">
        <v>250</v>
      </c>
      <c r="D32" s="290" t="s">
        <v>248</v>
      </c>
      <c r="E32" s="696">
        <f>SUM(E29:E31)</f>
        <v>0</v>
      </c>
    </row>
    <row r="33" spans="2:5" ht="13.5" thickTop="1" x14ac:dyDescent="0.2">
      <c r="C33" s="172"/>
      <c r="D33" s="247"/>
    </row>
    <row r="34" spans="2:5" x14ac:dyDescent="0.2">
      <c r="D34" s="100"/>
    </row>
    <row r="35" spans="2:5" ht="13.5" thickBot="1" x14ac:dyDescent="0.25">
      <c r="C35" s="172"/>
      <c r="D35" s="247"/>
    </row>
    <row r="36" spans="2:5" ht="13.5" thickTop="1" x14ac:dyDescent="0.2">
      <c r="B36" s="273" t="s">
        <v>210</v>
      </c>
      <c r="C36" s="274" t="s">
        <v>238</v>
      </c>
      <c r="D36" s="274" t="s">
        <v>1561</v>
      </c>
      <c r="E36" s="311" t="s">
        <v>235</v>
      </c>
    </row>
    <row r="37" spans="2:5" ht="13.5" thickBot="1" x14ac:dyDescent="0.25">
      <c r="B37" s="136"/>
      <c r="C37" s="204" t="s">
        <v>242</v>
      </c>
      <c r="D37" s="204"/>
      <c r="E37" s="313" t="s">
        <v>243</v>
      </c>
    </row>
    <row r="38" spans="2:5" ht="21.95" customHeight="1" x14ac:dyDescent="0.2">
      <c r="B38" s="280" t="s">
        <v>1903</v>
      </c>
      <c r="C38" s="207">
        <v>260</v>
      </c>
      <c r="D38" s="208" t="s">
        <v>248</v>
      </c>
      <c r="E38" s="555">
        <f>E17</f>
        <v>0</v>
      </c>
    </row>
    <row r="39" spans="2:5" ht="21.95" customHeight="1" x14ac:dyDescent="0.2">
      <c r="B39" s="522" t="s">
        <v>1904</v>
      </c>
      <c r="C39" s="218">
        <v>270</v>
      </c>
      <c r="D39" s="219" t="s">
        <v>248</v>
      </c>
      <c r="E39" s="594"/>
    </row>
    <row r="40" spans="2:5" ht="21.95" customHeight="1" x14ac:dyDescent="0.2">
      <c r="B40" s="522" t="s">
        <v>1905</v>
      </c>
      <c r="C40" s="218">
        <v>280</v>
      </c>
      <c r="D40" s="219" t="s">
        <v>248</v>
      </c>
      <c r="E40" s="594"/>
    </row>
    <row r="41" spans="2:5" ht="21.95" customHeight="1" thickBot="1" x14ac:dyDescent="0.25">
      <c r="B41" s="818" t="s">
        <v>340</v>
      </c>
      <c r="C41" s="289">
        <v>290</v>
      </c>
      <c r="D41" s="290" t="s">
        <v>248</v>
      </c>
      <c r="E41" s="696">
        <f>SUM(E38:E40)</f>
        <v>0</v>
      </c>
    </row>
    <row r="42" spans="2:5" ht="13.5" thickTop="1" x14ac:dyDescent="0.2">
      <c r="C42" s="172"/>
      <c r="D42" s="247"/>
    </row>
    <row r="43" spans="2:5" x14ac:dyDescent="0.2">
      <c r="D43" s="100"/>
    </row>
    <row r="44" spans="2:5" ht="13.5" thickBot="1" x14ac:dyDescent="0.25">
      <c r="C44" s="172"/>
      <c r="D44" s="247"/>
    </row>
    <row r="45" spans="2:5" ht="26.25" thickTop="1" x14ac:dyDescent="0.2">
      <c r="B45" s="967" t="s">
        <v>211</v>
      </c>
      <c r="C45" s="274" t="s">
        <v>238</v>
      </c>
      <c r="D45" s="274" t="s">
        <v>1561</v>
      </c>
      <c r="E45" s="311" t="s">
        <v>235</v>
      </c>
    </row>
    <row r="46" spans="2:5" ht="13.5" thickBot="1" x14ac:dyDescent="0.25">
      <c r="B46" s="136"/>
      <c r="C46" s="204" t="s">
        <v>242</v>
      </c>
      <c r="D46" s="204"/>
      <c r="E46" s="313" t="s">
        <v>243</v>
      </c>
    </row>
    <row r="47" spans="2:5" ht="21.95" customHeight="1" x14ac:dyDescent="0.2">
      <c r="B47" s="126" t="s">
        <v>1906</v>
      </c>
      <c r="C47" s="763"/>
      <c r="D47" s="964"/>
      <c r="E47" s="320"/>
    </row>
    <row r="48" spans="2:5" ht="21.95" customHeight="1" x14ac:dyDescent="0.2">
      <c r="B48" s="516" t="s">
        <v>458</v>
      </c>
      <c r="C48" s="251">
        <v>300</v>
      </c>
      <c r="D48" s="252" t="s">
        <v>248</v>
      </c>
      <c r="E48" s="1014"/>
    </row>
    <row r="49" spans="2:5" ht="27" customHeight="1" x14ac:dyDescent="0.2">
      <c r="B49" s="938" t="s">
        <v>1907</v>
      </c>
      <c r="C49" s="218">
        <v>310</v>
      </c>
      <c r="D49" s="219" t="s">
        <v>248</v>
      </c>
      <c r="E49" s="594"/>
    </row>
    <row r="50" spans="2:5" ht="21.95" customHeight="1" x14ac:dyDescent="0.2">
      <c r="B50" s="745" t="s">
        <v>340</v>
      </c>
      <c r="C50" s="218">
        <v>320</v>
      </c>
      <c r="D50" s="219" t="s">
        <v>248</v>
      </c>
      <c r="E50" s="617">
        <f>SUM(E48:E49)</f>
        <v>0</v>
      </c>
    </row>
    <row r="51" spans="2:5" ht="21.95" customHeight="1" x14ac:dyDescent="0.2">
      <c r="B51" s="1065" t="s">
        <v>1908</v>
      </c>
      <c r="C51" s="446"/>
      <c r="D51" s="900"/>
      <c r="E51" s="1074"/>
    </row>
    <row r="52" spans="2:5" ht="21.95" customHeight="1" x14ac:dyDescent="0.2">
      <c r="B52" s="516" t="s">
        <v>1909</v>
      </c>
      <c r="C52" s="251">
        <v>330</v>
      </c>
      <c r="D52" s="252" t="s">
        <v>248</v>
      </c>
      <c r="E52" s="1015">
        <f>('1415TRU12_PPE_P13'!M28*-1)</f>
        <v>0</v>
      </c>
    </row>
    <row r="53" spans="2:5" ht="21.95" customHeight="1" x14ac:dyDescent="0.2">
      <c r="B53" s="522" t="s">
        <v>1910</v>
      </c>
      <c r="C53" s="218">
        <v>340</v>
      </c>
      <c r="D53" s="219" t="s">
        <v>245</v>
      </c>
      <c r="E53" s="572">
        <f>'1415TRU12_PPE_P13'!M47</f>
        <v>0</v>
      </c>
    </row>
    <row r="54" spans="2:5" ht="21.95" customHeight="1" x14ac:dyDescent="0.2">
      <c r="B54" s="522" t="s">
        <v>1911</v>
      </c>
      <c r="C54" s="218">
        <v>350</v>
      </c>
      <c r="D54" s="219" t="s">
        <v>248</v>
      </c>
      <c r="E54" s="576">
        <f>('1415TRU13_INT_P13'!J26*-1)</f>
        <v>0</v>
      </c>
    </row>
    <row r="55" spans="2:5" ht="21.95" customHeight="1" x14ac:dyDescent="0.2">
      <c r="B55" s="522" t="s">
        <v>1912</v>
      </c>
      <c r="C55" s="218">
        <v>360</v>
      </c>
      <c r="D55" s="219" t="s">
        <v>245</v>
      </c>
      <c r="E55" s="572">
        <f>'1415TRU13_INT_P13'!J45</f>
        <v>0</v>
      </c>
    </row>
    <row r="56" spans="2:5" ht="21.95" customHeight="1" x14ac:dyDescent="0.2">
      <c r="B56" s="522" t="s">
        <v>1913</v>
      </c>
      <c r="C56" s="218">
        <v>370</v>
      </c>
      <c r="D56" s="219" t="s">
        <v>248</v>
      </c>
      <c r="E56" s="576">
        <f>('1415TRU15_ICG_P13'!O238*-1)</f>
        <v>0</v>
      </c>
    </row>
    <row r="57" spans="2:5" ht="21.95" customHeight="1" x14ac:dyDescent="0.2">
      <c r="B57" s="522" t="s">
        <v>1914</v>
      </c>
      <c r="C57" s="218">
        <v>380</v>
      </c>
      <c r="D57" s="219" t="s">
        <v>251</v>
      </c>
      <c r="E57" s="594"/>
    </row>
    <row r="58" spans="2:5" ht="27" customHeight="1" x14ac:dyDescent="0.2">
      <c r="B58" s="938" t="s">
        <v>1915</v>
      </c>
      <c r="C58" s="218">
        <v>390</v>
      </c>
      <c r="D58" s="219" t="s">
        <v>251</v>
      </c>
      <c r="E58" s="594"/>
    </row>
    <row r="59" spans="2:5" ht="21.95" customHeight="1" x14ac:dyDescent="0.2">
      <c r="B59" s="522" t="s">
        <v>1916</v>
      </c>
      <c r="C59" s="218">
        <v>400</v>
      </c>
      <c r="D59" s="219" t="s">
        <v>245</v>
      </c>
      <c r="E59" s="594"/>
    </row>
    <row r="60" spans="2:5" ht="27" customHeight="1" x14ac:dyDescent="0.2">
      <c r="B60" s="938" t="s">
        <v>1917</v>
      </c>
      <c r="C60" s="218">
        <v>410</v>
      </c>
      <c r="D60" s="219" t="s">
        <v>251</v>
      </c>
      <c r="E60" s="594"/>
    </row>
    <row r="61" spans="2:5" ht="21.95" customHeight="1" x14ac:dyDescent="0.2">
      <c r="B61" s="745" t="s">
        <v>340</v>
      </c>
      <c r="C61" s="218">
        <v>420</v>
      </c>
      <c r="D61" s="219" t="s">
        <v>248</v>
      </c>
      <c r="E61" s="617">
        <f>SUM(E52:E60)</f>
        <v>0</v>
      </c>
    </row>
    <row r="62" spans="2:5" x14ac:dyDescent="0.2">
      <c r="B62" s="283"/>
      <c r="C62" s="446"/>
      <c r="D62" s="900"/>
      <c r="E62" s="1074"/>
    </row>
    <row r="63" spans="2:5" ht="21.95" customHeight="1" thickBot="1" x14ac:dyDescent="0.25">
      <c r="B63" s="1072" t="s">
        <v>1902</v>
      </c>
      <c r="C63" s="409">
        <v>430</v>
      </c>
      <c r="D63" s="432" t="s">
        <v>248</v>
      </c>
      <c r="E63" s="1073">
        <f>E50-E61</f>
        <v>0</v>
      </c>
    </row>
    <row r="64" spans="2:5" ht="13.5" thickTop="1" x14ac:dyDescent="0.2">
      <c r="C64" s="172"/>
      <c r="D64" s="247"/>
    </row>
    <row r="66" spans="2:9" ht="13.5" thickBot="1" x14ac:dyDescent="0.25">
      <c r="C66" s="172"/>
      <c r="D66" s="247"/>
    </row>
    <row r="67" spans="2:9" ht="13.5" thickTop="1" x14ac:dyDescent="0.2">
      <c r="B67" s="273" t="s">
        <v>212</v>
      </c>
      <c r="C67" s="274" t="s">
        <v>238</v>
      </c>
      <c r="D67" s="274" t="s">
        <v>1561</v>
      </c>
      <c r="E67" s="311" t="s">
        <v>235</v>
      </c>
    </row>
    <row r="68" spans="2:9" ht="13.5" thickBot="1" x14ac:dyDescent="0.25">
      <c r="B68" s="136"/>
      <c r="C68" s="204" t="s">
        <v>242</v>
      </c>
      <c r="D68" s="204"/>
      <c r="E68" s="313" t="s">
        <v>243</v>
      </c>
    </row>
    <row r="69" spans="2:9" ht="21.95" customHeight="1" x14ac:dyDescent="0.2">
      <c r="B69" s="126" t="s">
        <v>1918</v>
      </c>
      <c r="C69" s="763"/>
      <c r="D69" s="964"/>
      <c r="E69" s="320"/>
    </row>
    <row r="70" spans="2:9" ht="27" customHeight="1" x14ac:dyDescent="0.2">
      <c r="B70" s="519" t="s">
        <v>1919</v>
      </c>
      <c r="C70" s="251">
        <v>440</v>
      </c>
      <c r="D70" s="252" t="s">
        <v>248</v>
      </c>
      <c r="E70" s="534"/>
      <c r="F70" s="100"/>
      <c r="G70" s="100"/>
      <c r="H70" s="100"/>
      <c r="I70" s="100"/>
    </row>
    <row r="71" spans="2:9" ht="21.95" customHeight="1" x14ac:dyDescent="0.2">
      <c r="B71" s="1065" t="s">
        <v>1920</v>
      </c>
      <c r="C71" s="446"/>
      <c r="D71" s="900"/>
      <c r="E71" s="530"/>
    </row>
    <row r="72" spans="2:9" ht="21.95" customHeight="1" x14ac:dyDescent="0.2">
      <c r="B72" s="516" t="s">
        <v>1921</v>
      </c>
      <c r="C72" s="251">
        <v>450</v>
      </c>
      <c r="D72" s="252" t="s">
        <v>248</v>
      </c>
      <c r="E72" s="1014"/>
    </row>
    <row r="73" spans="2:9" ht="21.95" customHeight="1" x14ac:dyDescent="0.2">
      <c r="B73" s="522" t="s">
        <v>1922</v>
      </c>
      <c r="C73" s="218">
        <v>460</v>
      </c>
      <c r="D73" s="219" t="s">
        <v>248</v>
      </c>
      <c r="E73" s="594"/>
    </row>
    <row r="74" spans="2:9" ht="21.95" customHeight="1" x14ac:dyDescent="0.2">
      <c r="B74" s="522" t="s">
        <v>1923</v>
      </c>
      <c r="C74" s="218">
        <v>470</v>
      </c>
      <c r="D74" s="219" t="s">
        <v>248</v>
      </c>
      <c r="E74" s="594"/>
    </row>
    <row r="75" spans="2:9" ht="21.95" customHeight="1" x14ac:dyDescent="0.2">
      <c r="B75" s="522" t="s">
        <v>1924</v>
      </c>
      <c r="C75" s="218">
        <v>480</v>
      </c>
      <c r="D75" s="219" t="s">
        <v>248</v>
      </c>
      <c r="E75" s="594"/>
    </row>
    <row r="76" spans="2:9" ht="27" customHeight="1" x14ac:dyDescent="0.2">
      <c r="B76" s="938" t="s">
        <v>1925</v>
      </c>
      <c r="C76" s="218">
        <v>490</v>
      </c>
      <c r="D76" s="219" t="s">
        <v>251</v>
      </c>
      <c r="E76" s="594"/>
    </row>
    <row r="77" spans="2:9" ht="27" customHeight="1" x14ac:dyDescent="0.2">
      <c r="B77" s="938" t="s">
        <v>1926</v>
      </c>
      <c r="C77" s="218">
        <v>500</v>
      </c>
      <c r="D77" s="219" t="s">
        <v>251</v>
      </c>
      <c r="E77" s="594"/>
    </row>
    <row r="78" spans="2:9" ht="21.95" customHeight="1" thickBot="1" x14ac:dyDescent="0.25">
      <c r="B78" s="818" t="s">
        <v>340</v>
      </c>
      <c r="C78" s="289">
        <v>510</v>
      </c>
      <c r="D78" s="290" t="s">
        <v>248</v>
      </c>
      <c r="E78" s="696">
        <f>SUM(E72:E77)</f>
        <v>0</v>
      </c>
    </row>
    <row r="79" spans="2:9" ht="13.5" thickTop="1" x14ac:dyDescent="0.2">
      <c r="C79" s="172"/>
      <c r="D79" s="247"/>
    </row>
    <row r="80" spans="2:9" x14ac:dyDescent="0.2">
      <c r="B80" s="97"/>
      <c r="C80" s="172"/>
      <c r="D80" s="247"/>
      <c r="E80" s="97"/>
    </row>
    <row r="81" spans="3:4" x14ac:dyDescent="0.2">
      <c r="C81" s="172"/>
      <c r="D81" s="247"/>
    </row>
    <row r="82" spans="3:4" x14ac:dyDescent="0.2">
      <c r="C82" s="172"/>
      <c r="D82" s="247"/>
    </row>
    <row r="83" spans="3:4" x14ac:dyDescent="0.2">
      <c r="C83" s="172"/>
      <c r="D83" s="247"/>
    </row>
    <row r="84" spans="3:4" x14ac:dyDescent="0.2">
      <c r="C84" s="172"/>
      <c r="D84" s="247"/>
    </row>
    <row r="85" spans="3:4" x14ac:dyDescent="0.2">
      <c r="C85" s="172"/>
      <c r="D85" s="247"/>
    </row>
    <row r="86" spans="3:4" x14ac:dyDescent="0.2">
      <c r="C86" s="172"/>
      <c r="D86" s="247"/>
    </row>
    <row r="87" spans="3:4" x14ac:dyDescent="0.2">
      <c r="C87" s="172"/>
      <c r="D87" s="247"/>
    </row>
    <row r="88" spans="3:4" x14ac:dyDescent="0.2">
      <c r="C88" s="172"/>
      <c r="D88" s="247"/>
    </row>
    <row r="89" spans="3:4" x14ac:dyDescent="0.2">
      <c r="C89" s="172"/>
      <c r="D89" s="247"/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E12 E78 E61:E63 E50:E56 E41 E38 E32 E29 E23 E21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72:E77 E70 E57:E60 E48:E49 E39:E40 E30:E31 E14:E20 E10:E11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70" fitToHeight="2" orientation="landscape" horizontalDpi="90" verticalDpi="90" r:id="rId1"/>
  <rowBreaks count="1" manualBreakCount="1">
    <brk id="41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G82"/>
  <sheetViews>
    <sheetView tabSelected="1" zoomScale="70" zoomScaleNormal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G4" sqref="G4"/>
    </sheetView>
  </sheetViews>
  <sheetFormatPr defaultRowHeight="12.75" x14ac:dyDescent="0.2"/>
  <cols>
    <col min="1" max="1" width="5.5703125" customWidth="1"/>
    <col min="2" max="2" width="57.7109375" customWidth="1"/>
    <col min="3" max="4" width="10.140625" customWidth="1"/>
    <col min="5" max="17" width="17.5703125" customWidth="1"/>
    <col min="18" max="54" width="2.7109375" hidden="1" customWidth="1"/>
  </cols>
  <sheetData>
    <row r="1" spans="1:17" ht="15.75" x14ac:dyDescent="0.25">
      <c r="A1" s="1131" t="s">
        <v>3726</v>
      </c>
      <c r="B1" s="1139" t="str">
        <f>OrgName</f>
        <v>ZZZ NHS TRUST</v>
      </c>
      <c r="C1" s="1122"/>
      <c r="D1" s="1134"/>
      <c r="E1" s="1177" t="str">
        <f>HYPERLINK(CHAR(35)&amp;"1415TRU_Index_P13"&amp;"!A1","GoTo Index tab")</f>
        <v>GoTo Index tab</v>
      </c>
    </row>
    <row r="2" spans="1:17" x14ac:dyDescent="0.2">
      <c r="A2" s="1131" t="s">
        <v>3727</v>
      </c>
      <c r="B2" s="1137" t="str">
        <f>"Org Code: " &amp; Orgcode</f>
        <v>Org Code: ZZZ</v>
      </c>
      <c r="C2" s="1119"/>
      <c r="D2" s="1132"/>
      <c r="E2" s="1135"/>
    </row>
    <row r="3" spans="1:17" x14ac:dyDescent="0.2">
      <c r="A3" s="1131" t="s">
        <v>3752</v>
      </c>
      <c r="B3" s="1138" t="s">
        <v>3725</v>
      </c>
      <c r="C3" s="1125"/>
      <c r="D3" s="1154"/>
      <c r="E3" s="1136"/>
    </row>
    <row r="4" spans="1:17" x14ac:dyDescent="0.2">
      <c r="B4" s="97" t="s">
        <v>1927</v>
      </c>
      <c r="D4" s="100"/>
    </row>
    <row r="5" spans="1:17" x14ac:dyDescent="0.2">
      <c r="B5" s="103" t="s">
        <v>66</v>
      </c>
      <c r="D5" s="187"/>
    </row>
    <row r="6" spans="1:17" ht="18.75" thickBot="1" x14ac:dyDescent="0.3">
      <c r="B6" s="1075"/>
      <c r="D6" s="100"/>
    </row>
    <row r="7" spans="1:17" ht="13.5" thickTop="1" x14ac:dyDescent="0.2">
      <c r="B7" s="242"/>
      <c r="C7" s="193"/>
      <c r="D7" s="195" t="s">
        <v>25</v>
      </c>
      <c r="E7" s="195" t="s">
        <v>235</v>
      </c>
      <c r="F7" s="195" t="s">
        <v>236</v>
      </c>
      <c r="G7" s="195" t="s">
        <v>293</v>
      </c>
      <c r="H7" s="195" t="s">
        <v>294</v>
      </c>
      <c r="I7" s="195" t="s">
        <v>295</v>
      </c>
      <c r="J7" s="195" t="s">
        <v>296</v>
      </c>
      <c r="K7" s="195" t="s">
        <v>342</v>
      </c>
      <c r="L7" s="195" t="s">
        <v>297</v>
      </c>
      <c r="M7" s="195" t="s">
        <v>298</v>
      </c>
      <c r="N7" s="195" t="s">
        <v>299</v>
      </c>
      <c r="O7" s="195" t="s">
        <v>360</v>
      </c>
      <c r="P7" s="195" t="s">
        <v>361</v>
      </c>
      <c r="Q7" s="197" t="s">
        <v>362</v>
      </c>
    </row>
    <row r="8" spans="1:17" x14ac:dyDescent="0.2">
      <c r="B8" s="198" t="s">
        <v>214</v>
      </c>
      <c r="C8" s="199" t="s">
        <v>238</v>
      </c>
      <c r="D8" s="200"/>
      <c r="E8" s="199" t="s">
        <v>1930</v>
      </c>
      <c r="F8" s="199" t="s">
        <v>1931</v>
      </c>
      <c r="G8" s="199" t="s">
        <v>1932</v>
      </c>
      <c r="H8" s="199" t="s">
        <v>1933</v>
      </c>
      <c r="I8" s="199" t="s">
        <v>1934</v>
      </c>
      <c r="J8" s="199" t="s">
        <v>1935</v>
      </c>
      <c r="K8" s="199" t="s">
        <v>1936</v>
      </c>
      <c r="L8" s="199" t="s">
        <v>1937</v>
      </c>
      <c r="M8" s="199" t="s">
        <v>1938</v>
      </c>
      <c r="N8" s="199" t="s">
        <v>1939</v>
      </c>
      <c r="O8" s="199" t="s">
        <v>1940</v>
      </c>
      <c r="P8" s="199" t="s">
        <v>1746</v>
      </c>
      <c r="Q8" s="210" t="s">
        <v>1941</v>
      </c>
    </row>
    <row r="9" spans="1:17" ht="13.5" thickBot="1" x14ac:dyDescent="0.25">
      <c r="B9" s="198"/>
      <c r="C9" s="204" t="s">
        <v>242</v>
      </c>
      <c r="D9" s="205"/>
      <c r="E9" s="204" t="s">
        <v>243</v>
      </c>
      <c r="F9" s="204" t="s">
        <v>243</v>
      </c>
      <c r="G9" s="204" t="s">
        <v>243</v>
      </c>
      <c r="H9" s="204" t="s">
        <v>243</v>
      </c>
      <c r="I9" s="204" t="s">
        <v>243</v>
      </c>
      <c r="J9" s="204" t="s">
        <v>243</v>
      </c>
      <c r="K9" s="204" t="s">
        <v>243</v>
      </c>
      <c r="L9" s="204" t="s">
        <v>243</v>
      </c>
      <c r="M9" s="204" t="s">
        <v>243</v>
      </c>
      <c r="N9" s="204" t="s">
        <v>243</v>
      </c>
      <c r="O9" s="204" t="s">
        <v>243</v>
      </c>
      <c r="P9" s="204" t="s">
        <v>243</v>
      </c>
      <c r="Q9" s="210" t="s">
        <v>243</v>
      </c>
    </row>
    <row r="10" spans="1:17" ht="21.95" customHeight="1" x14ac:dyDescent="0.2">
      <c r="B10" s="314" t="s">
        <v>1942</v>
      </c>
      <c r="C10" s="207">
        <v>100</v>
      </c>
      <c r="D10" s="208" t="s">
        <v>248</v>
      </c>
      <c r="E10" s="593"/>
      <c r="F10" s="463"/>
      <c r="G10" s="463"/>
      <c r="H10" s="463"/>
      <c r="I10" s="463"/>
      <c r="J10" s="463"/>
      <c r="K10" s="463"/>
      <c r="L10" s="463"/>
      <c r="M10" s="302"/>
      <c r="N10" s="302"/>
      <c r="O10" s="302"/>
      <c r="P10" s="302"/>
      <c r="Q10" s="304"/>
    </row>
    <row r="11" spans="1:17" ht="21.95" customHeight="1" x14ac:dyDescent="0.2">
      <c r="B11" s="226" t="s">
        <v>1943</v>
      </c>
      <c r="C11" s="218">
        <v>110</v>
      </c>
      <c r="D11" s="219" t="s">
        <v>251</v>
      </c>
      <c r="E11" s="334"/>
      <c r="F11" s="461"/>
      <c r="G11" s="461"/>
      <c r="H11" s="461"/>
      <c r="I11" s="461"/>
      <c r="J11" s="461"/>
      <c r="K11" s="461"/>
      <c r="L11" s="461"/>
      <c r="M11" s="300"/>
      <c r="N11" s="300"/>
      <c r="O11" s="300"/>
      <c r="P11" s="300"/>
      <c r="Q11" s="298"/>
    </row>
    <row r="12" spans="1:17" ht="21.95" customHeight="1" x14ac:dyDescent="0.2">
      <c r="B12" s="226" t="s">
        <v>1944</v>
      </c>
      <c r="C12" s="256"/>
      <c r="D12" s="257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259"/>
    </row>
    <row r="13" spans="1:17" ht="21.95" customHeight="1" x14ac:dyDescent="0.2">
      <c r="B13" s="188" t="s">
        <v>1945</v>
      </c>
      <c r="C13" s="251">
        <v>120</v>
      </c>
      <c r="D13" s="252" t="s">
        <v>251</v>
      </c>
      <c r="E13" s="622"/>
      <c r="F13" s="306"/>
      <c r="G13" s="306"/>
      <c r="H13" s="306"/>
      <c r="I13" s="306"/>
      <c r="J13" s="306"/>
      <c r="K13" s="306"/>
      <c r="L13" s="453"/>
      <c r="M13" s="306"/>
      <c r="N13" s="306"/>
      <c r="O13" s="306"/>
      <c r="P13" s="453"/>
      <c r="Q13" s="1076"/>
    </row>
    <row r="14" spans="1:17" ht="21.95" customHeight="1" x14ac:dyDescent="0.2">
      <c r="B14" s="213" t="s">
        <v>1946</v>
      </c>
      <c r="C14" s="218">
        <v>130</v>
      </c>
      <c r="D14" s="219" t="s">
        <v>251</v>
      </c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1"/>
    </row>
    <row r="15" spans="1:17" ht="21.95" customHeight="1" x14ac:dyDescent="0.2">
      <c r="B15" s="213" t="s">
        <v>1947</v>
      </c>
      <c r="C15" s="218">
        <v>140</v>
      </c>
      <c r="D15" s="219" t="s">
        <v>251</v>
      </c>
      <c r="E15" s="334"/>
      <c r="F15" s="300"/>
      <c r="G15" s="334"/>
      <c r="H15" s="334"/>
      <c r="I15" s="334"/>
      <c r="J15" s="334"/>
      <c r="K15" s="334"/>
      <c r="L15" s="334"/>
      <c r="M15" s="334"/>
      <c r="N15" s="768"/>
      <c r="O15" s="334"/>
      <c r="P15" s="768"/>
      <c r="Q15" s="331"/>
    </row>
    <row r="16" spans="1:17" ht="21.95" customHeight="1" x14ac:dyDescent="0.2">
      <c r="B16" s="213" t="s">
        <v>1948</v>
      </c>
      <c r="C16" s="218">
        <v>150</v>
      </c>
      <c r="D16" s="219" t="s">
        <v>251</v>
      </c>
      <c r="E16" s="334"/>
      <c r="F16" s="300"/>
      <c r="G16" s="300"/>
      <c r="H16" s="334"/>
      <c r="I16" s="334"/>
      <c r="J16" s="334"/>
      <c r="K16" s="334"/>
      <c r="L16" s="334"/>
      <c r="M16" s="334"/>
      <c r="N16" s="334"/>
      <c r="O16" s="334"/>
      <c r="P16" s="768"/>
      <c r="Q16" s="331"/>
    </row>
    <row r="17" spans="1:17" ht="21.95" customHeight="1" x14ac:dyDescent="0.2">
      <c r="B17" s="213" t="s">
        <v>1949</v>
      </c>
      <c r="C17" s="218">
        <v>160</v>
      </c>
      <c r="D17" s="219" t="s">
        <v>251</v>
      </c>
      <c r="E17" s="334"/>
      <c r="F17" s="300"/>
      <c r="G17" s="300"/>
      <c r="H17" s="300"/>
      <c r="I17" s="334"/>
      <c r="J17" s="334"/>
      <c r="K17" s="334"/>
      <c r="L17" s="334"/>
      <c r="M17" s="334"/>
      <c r="N17" s="334"/>
      <c r="O17" s="334"/>
      <c r="P17" s="768"/>
      <c r="Q17" s="331"/>
    </row>
    <row r="18" spans="1:17" ht="21.95" customHeight="1" x14ac:dyDescent="0.2">
      <c r="B18" s="657" t="s">
        <v>1950</v>
      </c>
      <c r="C18" s="218">
        <v>170</v>
      </c>
      <c r="D18" s="219" t="s">
        <v>251</v>
      </c>
      <c r="E18" s="334"/>
      <c r="F18" s="300"/>
      <c r="G18" s="300"/>
      <c r="H18" s="300"/>
      <c r="I18" s="300"/>
      <c r="J18" s="334"/>
      <c r="K18" s="334"/>
      <c r="L18" s="334"/>
      <c r="M18" s="334"/>
      <c r="N18" s="334"/>
      <c r="O18" s="334"/>
      <c r="P18" s="768"/>
      <c r="Q18" s="331"/>
    </row>
    <row r="19" spans="1:17" ht="21.95" customHeight="1" x14ac:dyDescent="0.2">
      <c r="B19" s="655" t="s">
        <v>1951</v>
      </c>
      <c r="C19" s="218">
        <v>180</v>
      </c>
      <c r="D19" s="219" t="s">
        <v>251</v>
      </c>
      <c r="E19" s="334"/>
      <c r="F19" s="459"/>
      <c r="G19" s="458"/>
      <c r="H19" s="458"/>
      <c r="I19" s="458"/>
      <c r="J19" s="458"/>
      <c r="K19" s="768"/>
      <c r="L19" s="768"/>
      <c r="M19" s="334"/>
      <c r="N19" s="334"/>
      <c r="O19" s="334"/>
      <c r="P19" s="768"/>
      <c r="Q19" s="395"/>
    </row>
    <row r="20" spans="1:17" hidden="1" x14ac:dyDescent="0.2">
      <c r="A20" s="157"/>
      <c r="B20" s="108" t="s">
        <v>1952</v>
      </c>
      <c r="C20" s="172">
        <v>185</v>
      </c>
      <c r="D20" s="247" t="s">
        <v>251</v>
      </c>
      <c r="F20" s="108"/>
      <c r="G20" s="108"/>
      <c r="H20" s="108"/>
      <c r="I20" s="108"/>
      <c r="J20" s="108"/>
      <c r="K20" s="108"/>
      <c r="L20" s="108"/>
    </row>
    <row r="21" spans="1:17" ht="21.95" customHeight="1" x14ac:dyDescent="0.2">
      <c r="B21" s="406" t="s">
        <v>1953</v>
      </c>
      <c r="C21" s="251">
        <v>190</v>
      </c>
      <c r="D21" s="252" t="s">
        <v>251</v>
      </c>
      <c r="E21" s="622"/>
      <c r="F21" s="622"/>
      <c r="G21" s="622"/>
      <c r="H21" s="622"/>
      <c r="I21" s="622"/>
      <c r="J21" s="622"/>
      <c r="K21" s="453"/>
      <c r="L21" s="453"/>
      <c r="M21" s="306"/>
      <c r="N21" s="306"/>
      <c r="O21" s="306"/>
      <c r="P21" s="453"/>
      <c r="Q21" s="802"/>
    </row>
    <row r="22" spans="1:17" hidden="1" x14ac:dyDescent="0.2">
      <c r="A22" s="157"/>
      <c r="B22" s="97" t="s">
        <v>1954</v>
      </c>
      <c r="C22" s="172">
        <v>200</v>
      </c>
      <c r="D22" s="247" t="s">
        <v>251</v>
      </c>
    </row>
    <row r="23" spans="1:17" ht="30" customHeight="1" x14ac:dyDescent="0.2">
      <c r="B23" s="355" t="s">
        <v>1955</v>
      </c>
      <c r="C23" s="251">
        <v>195</v>
      </c>
      <c r="D23" s="252" t="s">
        <v>251</v>
      </c>
      <c r="E23" s="622"/>
      <c r="F23" s="622"/>
      <c r="G23" s="622"/>
      <c r="H23" s="622"/>
      <c r="I23" s="622"/>
      <c r="J23" s="622"/>
      <c r="K23" s="622"/>
      <c r="L23" s="622"/>
      <c r="M23" s="622"/>
      <c r="N23" s="453"/>
      <c r="O23" s="306"/>
      <c r="P23" s="453"/>
      <c r="Q23" s="307"/>
    </row>
    <row r="24" spans="1:17" ht="30" customHeight="1" x14ac:dyDescent="0.2">
      <c r="B24" s="336" t="s">
        <v>1956</v>
      </c>
      <c r="C24" s="218">
        <v>205</v>
      </c>
      <c r="D24" s="219" t="s">
        <v>251</v>
      </c>
      <c r="E24" s="324"/>
      <c r="F24" s="324"/>
      <c r="G24" s="324"/>
      <c r="H24" s="324"/>
      <c r="I24" s="324"/>
      <c r="J24" s="324"/>
      <c r="K24" s="324"/>
      <c r="L24" s="300"/>
      <c r="M24" s="300"/>
      <c r="N24" s="300"/>
      <c r="O24" s="300"/>
      <c r="P24" s="300"/>
      <c r="Q24" s="298"/>
    </row>
    <row r="25" spans="1:17" ht="21.95" customHeight="1" x14ac:dyDescent="0.2">
      <c r="B25" s="246" t="s">
        <v>1957</v>
      </c>
      <c r="C25" s="218">
        <v>206</v>
      </c>
      <c r="D25" s="217" t="s">
        <v>251</v>
      </c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00"/>
      <c r="P25" s="300"/>
      <c r="Q25" s="298"/>
    </row>
    <row r="26" spans="1:17" ht="21.95" customHeight="1" x14ac:dyDescent="0.2">
      <c r="B26" s="213" t="s">
        <v>1958</v>
      </c>
      <c r="C26" s="218">
        <v>210</v>
      </c>
      <c r="D26" s="219" t="s">
        <v>251</v>
      </c>
      <c r="E26" s="334"/>
      <c r="F26" s="300"/>
      <c r="G26" s="300"/>
      <c r="H26" s="300"/>
      <c r="I26" s="300"/>
      <c r="J26" s="300"/>
      <c r="K26" s="458"/>
      <c r="L26" s="458"/>
      <c r="M26" s="300"/>
      <c r="N26" s="300"/>
      <c r="O26" s="300"/>
      <c r="P26" s="458"/>
      <c r="Q26" s="298"/>
    </row>
    <row r="27" spans="1:17" ht="21.95" customHeight="1" x14ac:dyDescent="0.2">
      <c r="B27" s="213" t="s">
        <v>1959</v>
      </c>
      <c r="C27" s="218">
        <v>220</v>
      </c>
      <c r="D27" s="219" t="s">
        <v>251</v>
      </c>
      <c r="E27" s="334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2"/>
    </row>
    <row r="28" spans="1:17" ht="21.95" customHeight="1" x14ac:dyDescent="0.2">
      <c r="B28" s="213" t="s">
        <v>1960</v>
      </c>
      <c r="C28" s="218">
        <v>230</v>
      </c>
      <c r="D28" s="219" t="s">
        <v>251</v>
      </c>
      <c r="E28" s="30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2"/>
    </row>
    <row r="29" spans="1:17" ht="48" customHeight="1" x14ac:dyDescent="0.2">
      <c r="B29" s="245" t="s">
        <v>1961</v>
      </c>
      <c r="C29" s="218">
        <v>240</v>
      </c>
      <c r="D29" s="219" t="s">
        <v>248</v>
      </c>
      <c r="E29" s="324"/>
      <c r="F29" s="324"/>
      <c r="G29" s="324"/>
      <c r="H29" s="324"/>
      <c r="I29" s="324"/>
      <c r="J29" s="324"/>
      <c r="K29" s="324"/>
      <c r="L29" s="767"/>
      <c r="M29" s="334"/>
      <c r="N29" s="334"/>
      <c r="O29" s="334"/>
      <c r="P29" s="767"/>
      <c r="Q29" s="1077"/>
    </row>
    <row r="30" spans="1:17" ht="48" customHeight="1" x14ac:dyDescent="0.2">
      <c r="B30" s="245" t="s">
        <v>1962</v>
      </c>
      <c r="C30" s="218">
        <v>250</v>
      </c>
      <c r="D30" s="219" t="s">
        <v>248</v>
      </c>
      <c r="E30" s="324"/>
      <c r="F30" s="324"/>
      <c r="G30" s="324"/>
      <c r="H30" s="324"/>
      <c r="I30" s="324"/>
      <c r="J30" s="324"/>
      <c r="K30" s="324"/>
      <c r="L30" s="767"/>
      <c r="M30" s="334"/>
      <c r="N30" s="334"/>
      <c r="O30" s="334"/>
      <c r="P30" s="767"/>
      <c r="Q30" s="1077"/>
    </row>
    <row r="31" spans="1:17" ht="27" customHeight="1" x14ac:dyDescent="0.2">
      <c r="B31" s="245" t="s">
        <v>1963</v>
      </c>
      <c r="C31" s="218">
        <v>260</v>
      </c>
      <c r="D31" s="219" t="s">
        <v>248</v>
      </c>
      <c r="E31" s="324"/>
      <c r="F31" s="324"/>
      <c r="G31" s="324"/>
      <c r="H31" s="324"/>
      <c r="I31" s="324"/>
      <c r="J31" s="324"/>
      <c r="K31" s="324"/>
      <c r="L31" s="767"/>
      <c r="M31" s="334"/>
      <c r="N31" s="334"/>
      <c r="O31" s="334"/>
      <c r="P31" s="767"/>
      <c r="Q31" s="1077"/>
    </row>
    <row r="32" spans="1:17" ht="30" customHeight="1" x14ac:dyDescent="0.2">
      <c r="B32" s="336" t="s">
        <v>1964</v>
      </c>
      <c r="C32" s="234">
        <v>270</v>
      </c>
      <c r="D32" s="267" t="s">
        <v>912</v>
      </c>
      <c r="E32" s="1078"/>
      <c r="F32" s="1080">
        <f t="shared" ref="F32:Q32" si="0">IF(OR(F27=0,F10=0),0,F27*100/F10)</f>
        <v>0</v>
      </c>
      <c r="G32" s="1080">
        <f t="shared" si="0"/>
        <v>0</v>
      </c>
      <c r="H32" s="1080">
        <f t="shared" si="0"/>
        <v>0</v>
      </c>
      <c r="I32" s="1080">
        <f t="shared" si="0"/>
        <v>0</v>
      </c>
      <c r="J32" s="1080">
        <f t="shared" si="0"/>
        <v>0</v>
      </c>
      <c r="K32" s="1080">
        <f t="shared" si="0"/>
        <v>0</v>
      </c>
      <c r="L32" s="1080">
        <f t="shared" si="0"/>
        <v>0</v>
      </c>
      <c r="M32" s="1080">
        <f t="shared" si="0"/>
        <v>0</v>
      </c>
      <c r="N32" s="1080">
        <f t="shared" si="0"/>
        <v>0</v>
      </c>
      <c r="O32" s="1080">
        <f t="shared" si="0"/>
        <v>0</v>
      </c>
      <c r="P32" s="1080">
        <f t="shared" si="0"/>
        <v>0</v>
      </c>
      <c r="Q32" s="1082">
        <f t="shared" si="0"/>
        <v>0</v>
      </c>
    </row>
    <row r="33" spans="1:59" ht="21.95" customHeight="1" thickBot="1" x14ac:dyDescent="0.25">
      <c r="B33" s="233" t="s">
        <v>1965</v>
      </c>
      <c r="C33" s="236">
        <v>280</v>
      </c>
      <c r="D33" s="238" t="s">
        <v>912</v>
      </c>
      <c r="E33" s="1079"/>
      <c r="F33" s="1079">
        <f t="shared" ref="F33:Q33" si="1">IF(OR(F28=0,F10=0),0,F28*100/F10)</f>
        <v>0</v>
      </c>
      <c r="G33" s="1079">
        <f t="shared" si="1"/>
        <v>0</v>
      </c>
      <c r="H33" s="1079">
        <f t="shared" si="1"/>
        <v>0</v>
      </c>
      <c r="I33" s="1079">
        <f t="shared" si="1"/>
        <v>0</v>
      </c>
      <c r="J33" s="1079">
        <f t="shared" si="1"/>
        <v>0</v>
      </c>
      <c r="K33" s="1079">
        <f t="shared" si="1"/>
        <v>0</v>
      </c>
      <c r="L33" s="1079">
        <f t="shared" si="1"/>
        <v>0</v>
      </c>
      <c r="M33" s="1081">
        <f t="shared" si="1"/>
        <v>0</v>
      </c>
      <c r="N33" s="1081">
        <f t="shared" si="1"/>
        <v>0</v>
      </c>
      <c r="O33" s="1081">
        <f t="shared" si="1"/>
        <v>0</v>
      </c>
      <c r="P33" s="1079">
        <f t="shared" si="1"/>
        <v>0</v>
      </c>
      <c r="Q33" s="1083">
        <f t="shared" si="1"/>
        <v>0</v>
      </c>
    </row>
    <row r="34" spans="1:59" ht="14.25" thickTop="1" thickBot="1" x14ac:dyDescent="0.25">
      <c r="D34" s="100"/>
    </row>
    <row r="35" spans="1:59" ht="13.5" hidden="1" thickBot="1" x14ac:dyDescent="0.25">
      <c r="A35" s="99"/>
      <c r="B35" s="99" t="s">
        <v>1958</v>
      </c>
      <c r="C35" s="172">
        <v>300</v>
      </c>
      <c r="D35" s="247" t="s">
        <v>251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84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</row>
    <row r="36" spans="1:59" ht="13.5" hidden="1" thickBot="1" x14ac:dyDescent="0.25">
      <c r="A36" s="99"/>
      <c r="B36" s="99" t="s">
        <v>1966</v>
      </c>
      <c r="C36" s="172">
        <v>305</v>
      </c>
      <c r="D36" s="247" t="s">
        <v>251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84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</row>
    <row r="37" spans="1:59" ht="13.5" hidden="1" thickBot="1" x14ac:dyDescent="0.25">
      <c r="A37" s="99"/>
      <c r="B37" s="102" t="s">
        <v>1967</v>
      </c>
      <c r="C37" s="172">
        <v>310</v>
      </c>
      <c r="D37" s="247" t="s">
        <v>251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85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</row>
    <row r="38" spans="1:59" ht="13.5" hidden="1" thickBot="1" x14ac:dyDescent="0.25">
      <c r="D38" s="100"/>
    </row>
    <row r="39" spans="1:59" ht="13.5" thickTop="1" x14ac:dyDescent="0.2">
      <c r="B39" s="242"/>
      <c r="C39" s="195" t="s">
        <v>238</v>
      </c>
      <c r="D39" s="195" t="s">
        <v>25</v>
      </c>
      <c r="E39" s="353" t="s">
        <v>235</v>
      </c>
      <c r="F39" s="293" t="s">
        <v>236</v>
      </c>
    </row>
    <row r="40" spans="1:59" x14ac:dyDescent="0.2">
      <c r="B40" s="198" t="s">
        <v>215</v>
      </c>
      <c r="C40" s="199" t="s">
        <v>242</v>
      </c>
      <c r="D40" s="199"/>
      <c r="E40" s="201" t="s">
        <v>1830</v>
      </c>
      <c r="F40" s="202" t="s">
        <v>1968</v>
      </c>
    </row>
    <row r="41" spans="1:59" ht="13.5" thickBot="1" x14ac:dyDescent="0.25">
      <c r="B41" s="198"/>
      <c r="C41" s="204"/>
      <c r="D41" s="204"/>
      <c r="E41" s="278" t="s">
        <v>243</v>
      </c>
      <c r="F41" s="202" t="s">
        <v>243</v>
      </c>
    </row>
    <row r="42" spans="1:59" ht="21.95" customHeight="1" x14ac:dyDescent="0.2">
      <c r="B42" s="314" t="s">
        <v>1969</v>
      </c>
      <c r="C42" s="207">
        <v>330</v>
      </c>
      <c r="D42" s="206" t="s">
        <v>248</v>
      </c>
      <c r="E42" s="405">
        <v>0</v>
      </c>
      <c r="F42" s="1023"/>
    </row>
    <row r="43" spans="1:59" ht="21.95" customHeight="1" x14ac:dyDescent="0.2">
      <c r="B43" s="213" t="s">
        <v>1970</v>
      </c>
      <c r="C43" s="218">
        <v>340</v>
      </c>
      <c r="D43" s="217" t="s">
        <v>251</v>
      </c>
      <c r="E43" s="338">
        <v>0</v>
      </c>
      <c r="F43" s="298"/>
    </row>
    <row r="44" spans="1:59" ht="21.95" customHeight="1" x14ac:dyDescent="0.2">
      <c r="A44" s="99"/>
      <c r="B44" s="246" t="s">
        <v>1971</v>
      </c>
      <c r="C44" s="218">
        <v>345</v>
      </c>
      <c r="D44" s="217" t="s">
        <v>248</v>
      </c>
      <c r="E44" s="394"/>
      <c r="F44" s="7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</row>
    <row r="45" spans="1:59" ht="21.95" customHeight="1" x14ac:dyDescent="0.2">
      <c r="B45" s="231" t="s">
        <v>1972</v>
      </c>
      <c r="C45" s="218">
        <v>350</v>
      </c>
      <c r="D45" s="219" t="s">
        <v>248</v>
      </c>
      <c r="E45" s="338">
        <v>0</v>
      </c>
      <c r="F45" s="298"/>
    </row>
    <row r="46" spans="1:59" ht="21.95" customHeight="1" x14ac:dyDescent="0.2">
      <c r="B46" s="231" t="s">
        <v>477</v>
      </c>
      <c r="C46" s="218">
        <v>360</v>
      </c>
      <c r="D46" s="219" t="s">
        <v>245</v>
      </c>
      <c r="E46" s="338">
        <v>0</v>
      </c>
      <c r="F46" s="298"/>
    </row>
    <row r="47" spans="1:59" ht="21.95" customHeight="1" x14ac:dyDescent="0.2">
      <c r="B47" s="231" t="s">
        <v>1973</v>
      </c>
      <c r="C47" s="234">
        <v>370</v>
      </c>
      <c r="D47" s="267" t="s">
        <v>251</v>
      </c>
      <c r="E47" s="239">
        <f>SUM(E43:E46)</f>
        <v>0</v>
      </c>
      <c r="F47" s="227">
        <f>SUM(F43:F46)</f>
        <v>0</v>
      </c>
    </row>
    <row r="48" spans="1:59" ht="21.95" customHeight="1" thickBot="1" x14ac:dyDescent="0.25">
      <c r="B48" s="497" t="s">
        <v>1974</v>
      </c>
      <c r="C48" s="236">
        <v>380</v>
      </c>
      <c r="D48" s="238" t="s">
        <v>251</v>
      </c>
      <c r="E48" s="240">
        <f>E42-E47</f>
        <v>0</v>
      </c>
      <c r="F48" s="241">
        <f>F42-F47</f>
        <v>0</v>
      </c>
    </row>
    <row r="49" spans="1:59" ht="13.5" thickTop="1" x14ac:dyDescent="0.2">
      <c r="C49" s="157"/>
      <c r="D49" s="157"/>
    </row>
    <row r="50" spans="1:59" x14ac:dyDescent="0.2">
      <c r="C50" s="157"/>
      <c r="D50" s="157"/>
    </row>
    <row r="51" spans="1:59" ht="13.5" hidden="1" customHeight="1" thickTop="1" x14ac:dyDescent="0.2">
      <c r="B51" s="273"/>
      <c r="C51" s="274" t="s">
        <v>238</v>
      </c>
      <c r="D51" s="274" t="s">
        <v>25</v>
      </c>
      <c r="E51" s="275" t="s">
        <v>235</v>
      </c>
      <c r="F51" s="276" t="s">
        <v>236</v>
      </c>
    </row>
    <row r="52" spans="1:59" ht="12.75" hidden="1" customHeight="1" x14ac:dyDescent="0.2">
      <c r="B52" s="130" t="s">
        <v>1975</v>
      </c>
      <c r="C52" s="199" t="s">
        <v>242</v>
      </c>
      <c r="D52" s="199"/>
      <c r="E52" s="201" t="s">
        <v>1830</v>
      </c>
      <c r="F52" s="277" t="s">
        <v>1968</v>
      </c>
    </row>
    <row r="53" spans="1:59" ht="13.5" hidden="1" customHeight="1" thickBot="1" x14ac:dyDescent="0.25">
      <c r="B53" s="150"/>
      <c r="C53" s="204"/>
      <c r="D53" s="204"/>
      <c r="E53" s="278" t="s">
        <v>243</v>
      </c>
      <c r="F53" s="279" t="s">
        <v>243</v>
      </c>
    </row>
    <row r="54" spans="1:59" ht="12.75" hidden="1" customHeight="1" x14ac:dyDescent="0.2">
      <c r="A54" s="99"/>
      <c r="B54" s="99" t="s">
        <v>1976</v>
      </c>
      <c r="C54" s="172">
        <v>400</v>
      </c>
      <c r="D54" s="157" t="s">
        <v>248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</row>
    <row r="55" spans="1:59" ht="12.75" hidden="1" customHeight="1" x14ac:dyDescent="0.2">
      <c r="A55" s="99"/>
      <c r="B55" s="99" t="s">
        <v>1977</v>
      </c>
      <c r="C55" s="172">
        <v>410</v>
      </c>
      <c r="D55" s="157" t="s">
        <v>248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</row>
    <row r="56" spans="1:59" ht="27" hidden="1" customHeight="1" x14ac:dyDescent="0.2">
      <c r="B56" s="518" t="s">
        <v>1978</v>
      </c>
      <c r="C56" s="251">
        <v>420</v>
      </c>
      <c r="D56" s="250" t="s">
        <v>248</v>
      </c>
      <c r="E56" s="306">
        <v>0</v>
      </c>
      <c r="F56" s="1086">
        <f>'1314TRU25_BVN_P16'!E56</f>
        <v>0</v>
      </c>
    </row>
    <row r="57" spans="1:59" ht="21.95" hidden="1" customHeight="1" x14ac:dyDescent="0.2">
      <c r="B57" s="522" t="s">
        <v>1979</v>
      </c>
      <c r="C57" s="218">
        <v>430</v>
      </c>
      <c r="D57" s="217" t="s">
        <v>248</v>
      </c>
      <c r="E57" s="300">
        <v>0</v>
      </c>
      <c r="F57" s="1016">
        <f>'1314TRU25_BVN_P16'!E57</f>
        <v>0</v>
      </c>
    </row>
    <row r="58" spans="1:59" ht="30" hidden="1" customHeight="1" x14ac:dyDescent="0.2">
      <c r="B58" s="1013" t="s">
        <v>1980</v>
      </c>
      <c r="C58" s="218">
        <v>440</v>
      </c>
      <c r="D58" s="217" t="s">
        <v>248</v>
      </c>
      <c r="E58" s="224">
        <f>SUM(E56:E57)</f>
        <v>0</v>
      </c>
      <c r="F58" s="617">
        <f>SUM(F56:F57)</f>
        <v>0</v>
      </c>
    </row>
    <row r="59" spans="1:59" ht="21.95" hidden="1" customHeight="1" x14ac:dyDescent="0.2">
      <c r="B59" s="522" t="s">
        <v>1981</v>
      </c>
      <c r="C59" s="218">
        <v>450</v>
      </c>
      <c r="D59" s="217" t="s">
        <v>245</v>
      </c>
      <c r="E59" s="300">
        <v>0</v>
      </c>
      <c r="F59" s="1016">
        <f>'1314TRU25_BVN_P16'!E59</f>
        <v>0</v>
      </c>
    </row>
    <row r="60" spans="1:59" ht="21.95" hidden="1" customHeight="1" x14ac:dyDescent="0.2">
      <c r="B60" s="522" t="s">
        <v>1982</v>
      </c>
      <c r="C60" s="218">
        <v>460</v>
      </c>
      <c r="D60" s="217" t="s">
        <v>245</v>
      </c>
      <c r="E60" s="300">
        <v>0</v>
      </c>
      <c r="F60" s="1016">
        <f>'1314TRU25_BVN_P16'!E60</f>
        <v>0</v>
      </c>
    </row>
    <row r="61" spans="1:59" ht="27" hidden="1" customHeight="1" x14ac:dyDescent="0.2">
      <c r="B61" s="938" t="s">
        <v>1983</v>
      </c>
      <c r="C61" s="218">
        <v>470</v>
      </c>
      <c r="D61" s="217" t="s">
        <v>245</v>
      </c>
      <c r="E61" s="300">
        <v>0</v>
      </c>
      <c r="F61" s="1016">
        <f>'1314TRU25_BVN_P16'!E61</f>
        <v>0</v>
      </c>
    </row>
    <row r="62" spans="1:59" ht="27" hidden="1" customHeight="1" x14ac:dyDescent="0.2">
      <c r="B62" s="938" t="s">
        <v>1984</v>
      </c>
      <c r="C62" s="218">
        <v>480</v>
      </c>
      <c r="D62" s="217" t="s">
        <v>245</v>
      </c>
      <c r="E62" s="300">
        <v>0</v>
      </c>
      <c r="F62" s="1016">
        <f>'1314TRU25_BVN_P16'!E62</f>
        <v>0</v>
      </c>
    </row>
    <row r="63" spans="1:59" ht="21.95" hidden="1" customHeight="1" x14ac:dyDescent="0.2">
      <c r="B63" s="522" t="s">
        <v>1985</v>
      </c>
      <c r="C63" s="218">
        <v>490</v>
      </c>
      <c r="D63" s="217" t="s">
        <v>248</v>
      </c>
      <c r="E63" s="300">
        <v>0</v>
      </c>
      <c r="F63" s="1016">
        <f>'1314TRU25_BVN_P16'!E63</f>
        <v>0</v>
      </c>
    </row>
    <row r="64" spans="1:59" ht="21.95" hidden="1" customHeight="1" x14ac:dyDescent="0.2">
      <c r="B64" s="522" t="s">
        <v>1986</v>
      </c>
      <c r="C64" s="218">
        <v>500</v>
      </c>
      <c r="D64" s="217" t="s">
        <v>245</v>
      </c>
      <c r="E64" s="300">
        <v>0</v>
      </c>
      <c r="F64" s="1016">
        <f>'1314TRU25_BVN_P16'!E64</f>
        <v>0</v>
      </c>
    </row>
    <row r="65" spans="2:6" ht="21.95" hidden="1" customHeight="1" x14ac:dyDescent="0.2">
      <c r="B65" s="522" t="s">
        <v>1987</v>
      </c>
      <c r="C65" s="218">
        <v>510</v>
      </c>
      <c r="D65" s="217" t="s">
        <v>245</v>
      </c>
      <c r="E65" s="300">
        <v>0</v>
      </c>
      <c r="F65" s="1016">
        <f>'1314TRU25_BVN_P16'!E65</f>
        <v>0</v>
      </c>
    </row>
    <row r="66" spans="2:6" ht="30" hidden="1" customHeight="1" x14ac:dyDescent="0.2">
      <c r="B66" s="1013" t="s">
        <v>1988</v>
      </c>
      <c r="C66" s="218">
        <v>520</v>
      </c>
      <c r="D66" s="217" t="s">
        <v>251</v>
      </c>
      <c r="E66" s="224">
        <f>SUM(E58:E65)</f>
        <v>0</v>
      </c>
      <c r="F66" s="617">
        <f>SUM(F58:F65)</f>
        <v>0</v>
      </c>
    </row>
    <row r="67" spans="2:6" ht="30" hidden="1" customHeight="1" x14ac:dyDescent="0.2">
      <c r="B67" s="1013" t="s">
        <v>1989</v>
      </c>
      <c r="C67" s="218">
        <v>530</v>
      </c>
      <c r="D67" s="217" t="s">
        <v>248</v>
      </c>
      <c r="E67" s="300">
        <v>0</v>
      </c>
      <c r="F67" s="1016">
        <f>'1314TRU25_BVN_P16'!E67</f>
        <v>0</v>
      </c>
    </row>
    <row r="68" spans="2:6" ht="21.95" hidden="1" customHeight="1" thickBot="1" x14ac:dyDescent="0.25">
      <c r="B68" s="818" t="s">
        <v>1990</v>
      </c>
      <c r="C68" s="289">
        <v>540</v>
      </c>
      <c r="D68" s="288" t="s">
        <v>251</v>
      </c>
      <c r="E68" s="342">
        <f>E67-E66</f>
        <v>0</v>
      </c>
      <c r="F68" s="696">
        <f>F67-F66</f>
        <v>0</v>
      </c>
    </row>
    <row r="69" spans="2:6" x14ac:dyDescent="0.2">
      <c r="C69" s="157"/>
      <c r="D69" s="157"/>
    </row>
    <row r="70" spans="2:6" x14ac:dyDescent="0.2">
      <c r="C70" s="157"/>
      <c r="D70" s="157"/>
    </row>
    <row r="71" spans="2:6" ht="13.5" thickBot="1" x14ac:dyDescent="0.25">
      <c r="B71" s="97"/>
      <c r="C71" s="172"/>
      <c r="D71" s="172"/>
      <c r="E71" s="97"/>
      <c r="F71" s="97"/>
    </row>
    <row r="72" spans="2:6" ht="13.5" thickTop="1" x14ac:dyDescent="0.2">
      <c r="B72" s="242"/>
      <c r="C72" s="195" t="s">
        <v>238</v>
      </c>
      <c r="D72" s="195" t="s">
        <v>25</v>
      </c>
      <c r="E72" s="353" t="s">
        <v>235</v>
      </c>
      <c r="F72" s="293" t="s">
        <v>236</v>
      </c>
    </row>
    <row r="73" spans="2:6" x14ac:dyDescent="0.2">
      <c r="B73" s="198" t="s">
        <v>1991</v>
      </c>
      <c r="C73" s="199" t="s">
        <v>242</v>
      </c>
      <c r="D73" s="199"/>
      <c r="E73" s="201" t="s">
        <v>1830</v>
      </c>
      <c r="F73" s="202" t="s">
        <v>1968</v>
      </c>
    </row>
    <row r="74" spans="2:6" ht="13.5" thickBot="1" x14ac:dyDescent="0.25">
      <c r="B74" s="198"/>
      <c r="C74" s="204"/>
      <c r="D74" s="204"/>
      <c r="E74" s="278" t="s">
        <v>243</v>
      </c>
      <c r="F74" s="202" t="s">
        <v>243</v>
      </c>
    </row>
    <row r="75" spans="2:6" ht="21.95" customHeight="1" x14ac:dyDescent="0.2">
      <c r="B75" s="189" t="s">
        <v>1992</v>
      </c>
      <c r="C75" s="207">
        <v>545</v>
      </c>
      <c r="D75" s="206" t="s">
        <v>248</v>
      </c>
      <c r="E75" s="209">
        <f>E58</f>
        <v>0</v>
      </c>
      <c r="F75" s="793"/>
    </row>
    <row r="76" spans="2:6" ht="21.95" customHeight="1" x14ac:dyDescent="0.2">
      <c r="B76" s="213" t="s">
        <v>1993</v>
      </c>
      <c r="C76" s="218">
        <v>550</v>
      </c>
      <c r="D76" s="217" t="s">
        <v>245</v>
      </c>
      <c r="E76" s="220">
        <f>+E59+E60+E61+E62+E63</f>
        <v>0</v>
      </c>
      <c r="F76" s="661"/>
    </row>
    <row r="77" spans="2:6" ht="21.95" customHeight="1" x14ac:dyDescent="0.2">
      <c r="B77" s="213" t="s">
        <v>1994</v>
      </c>
      <c r="C77" s="218">
        <v>560</v>
      </c>
      <c r="D77" s="217" t="s">
        <v>245</v>
      </c>
      <c r="E77" s="220">
        <f>E64</f>
        <v>0</v>
      </c>
      <c r="F77" s="661"/>
    </row>
    <row r="78" spans="2:6" ht="27" customHeight="1" x14ac:dyDescent="0.2">
      <c r="B78" s="245" t="s">
        <v>1995</v>
      </c>
      <c r="C78" s="218">
        <v>570</v>
      </c>
      <c r="D78" s="217" t="s">
        <v>245</v>
      </c>
      <c r="E78" s="220">
        <f>E65</f>
        <v>0</v>
      </c>
      <c r="F78" s="661"/>
    </row>
    <row r="79" spans="2:6" ht="30" customHeight="1" x14ac:dyDescent="0.2">
      <c r="B79" s="336" t="s">
        <v>1996</v>
      </c>
      <c r="C79" s="218">
        <v>580</v>
      </c>
      <c r="D79" s="217" t="s">
        <v>251</v>
      </c>
      <c r="E79" s="224">
        <f>SUM(E75:E78)</f>
        <v>0</v>
      </c>
      <c r="F79" s="227">
        <f>SUM(F75:F78)</f>
        <v>0</v>
      </c>
    </row>
    <row r="80" spans="2:6" ht="21.95" customHeight="1" x14ac:dyDescent="0.2">
      <c r="B80" s="213" t="s">
        <v>1997</v>
      </c>
      <c r="C80" s="234">
        <v>590</v>
      </c>
      <c r="D80" s="237" t="s">
        <v>248</v>
      </c>
      <c r="E80" s="268">
        <f>+E67</f>
        <v>0</v>
      </c>
      <c r="F80" s="661"/>
    </row>
    <row r="81" spans="2:6" ht="30" customHeight="1" thickBot="1" x14ac:dyDescent="0.25">
      <c r="B81" s="1096" t="s">
        <v>1998</v>
      </c>
      <c r="C81" s="236">
        <v>600</v>
      </c>
      <c r="D81" s="235" t="s">
        <v>251</v>
      </c>
      <c r="E81" s="240">
        <f>+E80-E79</f>
        <v>0</v>
      </c>
      <c r="F81" s="241">
        <f>+F80-F79</f>
        <v>0</v>
      </c>
    </row>
    <row r="82" spans="2:6" ht="13.5" thickTop="1" x14ac:dyDescent="0.2"/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5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E75:F81 E56:F68 E45:E48 F44:F48 E42:F43 O35:O37 E32:P33 M29:O31 Q29:Q33 E26:Q28 O25:Q25 L24:Q24 E23:Q23 E21:Q21 E13:P19 E10:Q12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Q13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5" orientation="landscape" horizontalDpi="90" verticalDpi="90" r:id="rId1"/>
  <rowBreaks count="1" manualBreakCount="1">
    <brk id="38" max="5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CK91"/>
  <sheetViews>
    <sheetView zoomScale="70" zoomScaleNormal="70" workbookViewId="0"/>
  </sheetViews>
  <sheetFormatPr defaultRowHeight="12.75" x14ac:dyDescent="0.2"/>
  <sheetData>
    <row r="1" spans="1:89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9" x14ac:dyDescent="0.2">
      <c r="A2" t="s">
        <v>3727</v>
      </c>
    </row>
    <row r="3" spans="1:89" x14ac:dyDescent="0.2">
      <c r="A3" t="s">
        <v>3754</v>
      </c>
    </row>
    <row r="4" spans="1:89" x14ac:dyDescent="0.2">
      <c r="B4" t="s">
        <v>2872</v>
      </c>
    </row>
    <row r="6" spans="1:89" x14ac:dyDescent="0.2">
      <c r="B6" t="s">
        <v>74</v>
      </c>
      <c r="C6" t="s">
        <v>238</v>
      </c>
      <c r="D6" t="s">
        <v>25</v>
      </c>
      <c r="E6" t="s">
        <v>2873</v>
      </c>
      <c r="G6" t="s">
        <v>2089</v>
      </c>
      <c r="J6" t="s">
        <v>241</v>
      </c>
      <c r="CA6" t="s">
        <v>230</v>
      </c>
      <c r="CB6">
        <f>0</f>
        <v>0</v>
      </c>
      <c r="CC6" t="s">
        <v>2188</v>
      </c>
      <c r="CD6" t="s">
        <v>2188</v>
      </c>
      <c r="CE6" t="s">
        <v>2190</v>
      </c>
    </row>
    <row r="7" spans="1:89" x14ac:dyDescent="0.2">
      <c r="C7" t="s">
        <v>242</v>
      </c>
      <c r="E7" t="s">
        <v>2091</v>
      </c>
      <c r="F7" t="s">
        <v>2021</v>
      </c>
      <c r="G7" t="s">
        <v>2092</v>
      </c>
      <c r="H7" t="s">
        <v>2023</v>
      </c>
      <c r="I7" t="s">
        <v>2021</v>
      </c>
      <c r="J7" t="s">
        <v>1048</v>
      </c>
      <c r="K7" t="s">
        <v>2023</v>
      </c>
      <c r="CA7" t="s">
        <v>231</v>
      </c>
      <c r="CB7" t="s">
        <v>232</v>
      </c>
      <c r="CC7" t="s">
        <v>2192</v>
      </c>
      <c r="CD7" t="s">
        <v>2193</v>
      </c>
      <c r="CE7" t="s">
        <v>2195</v>
      </c>
    </row>
    <row r="8" spans="1:89" x14ac:dyDescent="0.2"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CA8">
        <f>SUM(CA10:CA99)</f>
        <v>0</v>
      </c>
      <c r="CB8">
        <f>SUM(CB10:CB99)</f>
        <v>0</v>
      </c>
      <c r="CC8">
        <f>SUM(CC10:CC99)</f>
        <v>0</v>
      </c>
      <c r="CD8">
        <f>SUM(CD10:CD99)</f>
        <v>0</v>
      </c>
    </row>
    <row r="9" spans="1:89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CF9" t="s">
        <v>2874</v>
      </c>
    </row>
    <row r="10" spans="1:89" x14ac:dyDescent="0.2">
      <c r="B10" t="s">
        <v>244</v>
      </c>
      <c r="C10">
        <v>100</v>
      </c>
      <c r="D10" t="s">
        <v>245</v>
      </c>
      <c r="H10">
        <f>G10-F10</f>
        <v>0</v>
      </c>
      <c r="K10">
        <f>J10-I10</f>
        <v>0</v>
      </c>
      <c r="CA10">
        <f>IF(OR(G10&gt;0,J10&gt;0),1,0)</f>
        <v>0</v>
      </c>
      <c r="CD10">
        <f>IF(J10&gt;G10,1,0)</f>
        <v>0</v>
      </c>
      <c r="CF10">
        <f>SUM(E10+E11+E65+E66+E67)</f>
        <v>0</v>
      </c>
      <c r="CG10">
        <f>SUM(F10+F11+F65+F66+F67)</f>
        <v>0</v>
      </c>
      <c r="CH10">
        <f>SUM(G10+G11+G65+G66+G67)</f>
        <v>0</v>
      </c>
      <c r="CJ10">
        <f>SUM(I10+I11+I65+I66+I67)</f>
        <v>0</v>
      </c>
      <c r="CK10">
        <f>SUM(J10+J11+J65+J66+J67)</f>
        <v>0</v>
      </c>
    </row>
    <row r="11" spans="1:89" x14ac:dyDescent="0.2">
      <c r="B11" t="s">
        <v>246</v>
      </c>
      <c r="C11">
        <v>110</v>
      </c>
      <c r="D11" t="s">
        <v>245</v>
      </c>
      <c r="H11">
        <f>G11-F11</f>
        <v>0</v>
      </c>
      <c r="K11">
        <f>J11-I11</f>
        <v>0</v>
      </c>
      <c r="CA11">
        <f>IF(OR(G11&gt;0,J11&gt;0),1,0)</f>
        <v>0</v>
      </c>
      <c r="CD11">
        <f>IF(J11&gt;G11,1,0)</f>
        <v>0</v>
      </c>
      <c r="CF11" t="s">
        <v>2874</v>
      </c>
    </row>
    <row r="12" spans="1:89" x14ac:dyDescent="0.2">
      <c r="B12" t="s">
        <v>247</v>
      </c>
      <c r="C12">
        <v>120</v>
      </c>
      <c r="D12" t="s">
        <v>248</v>
      </c>
      <c r="H12">
        <f>G12-F12</f>
        <v>0</v>
      </c>
      <c r="K12">
        <f>J12-I12</f>
        <v>0</v>
      </c>
      <c r="CB12">
        <f>IF(OR(G12&lt;0,J12&lt;0),1,0)</f>
        <v>0</v>
      </c>
      <c r="CC12">
        <f>IF(G12&gt;J12,1,0)</f>
        <v>0</v>
      </c>
      <c r="CF12">
        <f>CF10+E87</f>
        <v>0</v>
      </c>
      <c r="CG12">
        <f>CG10+F87</f>
        <v>0</v>
      </c>
      <c r="CH12">
        <f>CH10+G87</f>
        <v>0</v>
      </c>
      <c r="CJ12">
        <f>CJ10+I87</f>
        <v>0</v>
      </c>
      <c r="CK12">
        <f>CK10+J87</f>
        <v>0</v>
      </c>
    </row>
    <row r="13" spans="1:89" x14ac:dyDescent="0.2">
      <c r="B13" t="s">
        <v>249</v>
      </c>
      <c r="C13">
        <v>130</v>
      </c>
      <c r="D13" t="s">
        <v>248</v>
      </c>
      <c r="H13">
        <f>G13-F13</f>
        <v>0</v>
      </c>
      <c r="K13">
        <f>J13-I13</f>
        <v>0</v>
      </c>
      <c r="CB13">
        <f>IF(OR(G13&lt;0,J13&lt;0),1,0)</f>
        <v>0</v>
      </c>
      <c r="CC13">
        <f>IF(G13&gt;J13,1,0)</f>
        <v>0</v>
      </c>
      <c r="CF13" t="s">
        <v>2875</v>
      </c>
    </row>
    <row r="14" spans="1:89" x14ac:dyDescent="0.2">
      <c r="B14" t="s">
        <v>250</v>
      </c>
      <c r="C14">
        <v>140</v>
      </c>
      <c r="D14" t="s">
        <v>251</v>
      </c>
      <c r="E14">
        <f t="shared" ref="E14:K14" si="0">SUM(E10:E13)</f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CF14">
        <f>E69+E71+E70</f>
        <v>0</v>
      </c>
      <c r="CG14">
        <f>F69+F71+F70</f>
        <v>0</v>
      </c>
      <c r="CH14">
        <f>G69+G71+G70</f>
        <v>0</v>
      </c>
      <c r="CJ14">
        <f>I69+I71+I70</f>
        <v>0</v>
      </c>
      <c r="CK14">
        <f>J69+J71+J70</f>
        <v>0</v>
      </c>
    </row>
    <row r="15" spans="1:89" x14ac:dyDescent="0.2">
      <c r="B15" t="s">
        <v>111</v>
      </c>
      <c r="C15">
        <v>150</v>
      </c>
      <c r="D15" t="s">
        <v>248</v>
      </c>
      <c r="H15">
        <f>G15-F15</f>
        <v>0</v>
      </c>
      <c r="K15">
        <f>J15-I15</f>
        <v>0</v>
      </c>
      <c r="CB15">
        <f>IF(OR(G15&lt;0,J15&lt;0),1,0)</f>
        <v>0</v>
      </c>
      <c r="CC15">
        <f>IF(G15&gt;J15,1,0)</f>
        <v>0</v>
      </c>
    </row>
    <row r="16" spans="1:89" x14ac:dyDescent="0.2">
      <c r="B16" t="s">
        <v>2197</v>
      </c>
      <c r="C16">
        <v>160</v>
      </c>
      <c r="D16" t="s">
        <v>251</v>
      </c>
      <c r="H16">
        <f>G16-F16</f>
        <v>0</v>
      </c>
      <c r="K16">
        <f>J16-I16</f>
        <v>0</v>
      </c>
    </row>
    <row r="17" spans="2:82" x14ac:dyDescent="0.2">
      <c r="B17" t="s">
        <v>2198</v>
      </c>
      <c r="C17">
        <v>170</v>
      </c>
      <c r="D17" t="s">
        <v>245</v>
      </c>
      <c r="H17">
        <f>G17-F17</f>
        <v>0</v>
      </c>
      <c r="K17">
        <f>J17-I17</f>
        <v>0</v>
      </c>
      <c r="CA17">
        <f>IF(OR(G17&gt;0,J17&gt;0),1,0)</f>
        <v>0</v>
      </c>
      <c r="CD17">
        <f>IF(J17&gt;G17,1,0)</f>
        <v>0</v>
      </c>
    </row>
    <row r="18" spans="2:82" x14ac:dyDescent="0.2">
      <c r="B18" t="s">
        <v>2199</v>
      </c>
      <c r="C18">
        <v>175</v>
      </c>
      <c r="D18" t="s">
        <v>245</v>
      </c>
    </row>
    <row r="19" spans="2:82" x14ac:dyDescent="0.2">
      <c r="B19" t="s">
        <v>252</v>
      </c>
      <c r="C19">
        <v>180</v>
      </c>
      <c r="D19" t="s">
        <v>251</v>
      </c>
      <c r="E19">
        <f t="shared" ref="E19:K19" si="1">SUM(E14:E17)</f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0</v>
      </c>
      <c r="K19">
        <f t="shared" si="1"/>
        <v>0</v>
      </c>
    </row>
    <row r="20" spans="2:82" x14ac:dyDescent="0.2">
      <c r="B20" t="s">
        <v>253</v>
      </c>
      <c r="C20">
        <v>190</v>
      </c>
      <c r="D20" t="s">
        <v>245</v>
      </c>
      <c r="H20">
        <f>G20-F20</f>
        <v>0</v>
      </c>
      <c r="K20">
        <f>J20-I20</f>
        <v>0</v>
      </c>
      <c r="CA20">
        <f>IF(OR(G20&gt;0,J20&gt;0),1,0)</f>
        <v>0</v>
      </c>
      <c r="CD20">
        <f>IF(J20&gt;G20,1,0)</f>
        <v>0</v>
      </c>
    </row>
    <row r="21" spans="2:82" x14ac:dyDescent="0.2">
      <c r="B21" t="s">
        <v>2201</v>
      </c>
      <c r="C21">
        <v>195</v>
      </c>
      <c r="D21" t="s">
        <v>251</v>
      </c>
      <c r="H21">
        <f>G21-F21</f>
        <v>0</v>
      </c>
      <c r="K21">
        <f>J21-I21</f>
        <v>0</v>
      </c>
    </row>
    <row r="22" spans="2:82" x14ac:dyDescent="0.2">
      <c r="B22" t="s">
        <v>257</v>
      </c>
      <c r="C22">
        <v>200</v>
      </c>
      <c r="D22" t="s">
        <v>251</v>
      </c>
      <c r="E22">
        <f t="shared" ref="E22:K22" si="2">SUM(E19:E21)</f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</row>
    <row r="23" spans="2:82" x14ac:dyDescent="0.2">
      <c r="B23" t="s">
        <v>2006</v>
      </c>
      <c r="C23">
        <v>210</v>
      </c>
      <c r="D23" t="s">
        <v>251</v>
      </c>
    </row>
    <row r="24" spans="2:82" x14ac:dyDescent="0.2">
      <c r="B24" t="s">
        <v>2876</v>
      </c>
      <c r="C24">
        <v>220</v>
      </c>
      <c r="D24" t="s">
        <v>251</v>
      </c>
    </row>
    <row r="30" spans="2:82" x14ac:dyDescent="0.2">
      <c r="D30" t="s">
        <v>25</v>
      </c>
    </row>
    <row r="31" spans="2:82" x14ac:dyDescent="0.2">
      <c r="B31" t="s">
        <v>77</v>
      </c>
      <c r="C31" t="s">
        <v>238</v>
      </c>
    </row>
    <row r="32" spans="2:82" x14ac:dyDescent="0.2">
      <c r="C32" t="s">
        <v>242</v>
      </c>
    </row>
    <row r="33" spans="2:11" x14ac:dyDescent="0.2">
      <c r="B33" t="s">
        <v>2877</v>
      </c>
      <c r="C33">
        <v>250</v>
      </c>
      <c r="D33" t="s">
        <v>245</v>
      </c>
    </row>
    <row r="34" spans="2:11" x14ac:dyDescent="0.2">
      <c r="B34" t="s">
        <v>260</v>
      </c>
      <c r="C34">
        <v>260</v>
      </c>
      <c r="D34" t="s">
        <v>251</v>
      </c>
    </row>
    <row r="35" spans="2:11" x14ac:dyDescent="0.2">
      <c r="B35" t="s">
        <v>261</v>
      </c>
      <c r="C35">
        <v>270</v>
      </c>
      <c r="D35" t="s">
        <v>251</v>
      </c>
    </row>
    <row r="36" spans="2:11" x14ac:dyDescent="0.2">
      <c r="B36" t="s">
        <v>262</v>
      </c>
      <c r="C36">
        <v>280</v>
      </c>
      <c r="D36" t="s">
        <v>251</v>
      </c>
    </row>
    <row r="37" spans="2:11" x14ac:dyDescent="0.2">
      <c r="B37" t="s">
        <v>2878</v>
      </c>
      <c r="C37">
        <v>290</v>
      </c>
      <c r="D37" t="s">
        <v>251</v>
      </c>
    </row>
    <row r="38" spans="2:11" x14ac:dyDescent="0.2">
      <c r="B38" t="s">
        <v>2879</v>
      </c>
      <c r="C38">
        <v>300</v>
      </c>
      <c r="D38" t="s">
        <v>251</v>
      </c>
    </row>
    <row r="39" spans="2:11" x14ac:dyDescent="0.2">
      <c r="B39" t="s">
        <v>266</v>
      </c>
      <c r="C39">
        <v>310</v>
      </c>
      <c r="D39" t="s">
        <v>251</v>
      </c>
    </row>
    <row r="40" spans="2:11" x14ac:dyDescent="0.2">
      <c r="B40" t="s">
        <v>268</v>
      </c>
    </row>
    <row r="41" spans="2:11" x14ac:dyDescent="0.2">
      <c r="B41" t="s">
        <v>269</v>
      </c>
      <c r="C41">
        <v>320</v>
      </c>
      <c r="D41" t="s">
        <v>251</v>
      </c>
    </row>
    <row r="42" spans="2:11" x14ac:dyDescent="0.2">
      <c r="B42" t="s">
        <v>270</v>
      </c>
      <c r="C42">
        <v>330</v>
      </c>
      <c r="D42" t="s">
        <v>251</v>
      </c>
    </row>
    <row r="44" spans="2:11" x14ac:dyDescent="0.2">
      <c r="E44" t="s">
        <v>2873</v>
      </c>
      <c r="G44" t="s">
        <v>2089</v>
      </c>
      <c r="J44" t="s">
        <v>241</v>
      </c>
    </row>
    <row r="45" spans="2:11" x14ac:dyDescent="0.2">
      <c r="B45" t="s">
        <v>2204</v>
      </c>
      <c r="C45" t="s">
        <v>242</v>
      </c>
      <c r="D45" t="s">
        <v>25</v>
      </c>
      <c r="E45" t="s">
        <v>2091</v>
      </c>
      <c r="F45" t="s">
        <v>2021</v>
      </c>
      <c r="G45" t="s">
        <v>2092</v>
      </c>
      <c r="H45" t="s">
        <v>2023</v>
      </c>
      <c r="I45" t="s">
        <v>2021</v>
      </c>
      <c r="J45" t="s">
        <v>1048</v>
      </c>
      <c r="K45" t="s">
        <v>2023</v>
      </c>
    </row>
    <row r="46" spans="2:11" x14ac:dyDescent="0.2">
      <c r="E46" t="s">
        <v>2036</v>
      </c>
      <c r="F46" t="s">
        <v>2037</v>
      </c>
      <c r="G46" t="s">
        <v>2038</v>
      </c>
      <c r="H46" t="s">
        <v>2039</v>
      </c>
      <c r="I46" t="s">
        <v>2040</v>
      </c>
      <c r="J46" t="s">
        <v>2041</v>
      </c>
      <c r="K46" t="s">
        <v>2042</v>
      </c>
    </row>
    <row r="47" spans="2:11" x14ac:dyDescent="0.2">
      <c r="C47" t="s">
        <v>242</v>
      </c>
      <c r="E47" t="s">
        <v>243</v>
      </c>
      <c r="F47" t="s">
        <v>243</v>
      </c>
      <c r="G47" t="s">
        <v>243</v>
      </c>
      <c r="H47" t="s">
        <v>243</v>
      </c>
      <c r="I47" t="s">
        <v>243</v>
      </c>
      <c r="J47" t="s">
        <v>243</v>
      </c>
      <c r="K47" t="s">
        <v>243</v>
      </c>
    </row>
    <row r="48" spans="2:11" x14ac:dyDescent="0.2">
      <c r="B48" t="s">
        <v>271</v>
      </c>
      <c r="C48">
        <v>350</v>
      </c>
      <c r="D48" t="s">
        <v>251</v>
      </c>
      <c r="E48">
        <f>E22</f>
        <v>0</v>
      </c>
      <c r="F48">
        <f>F22</f>
        <v>0</v>
      </c>
      <c r="G48">
        <f>G22</f>
        <v>0</v>
      </c>
      <c r="H48">
        <f>G48-F48</f>
        <v>0</v>
      </c>
      <c r="I48">
        <f>I22</f>
        <v>0</v>
      </c>
      <c r="J48">
        <f>J22</f>
        <v>0</v>
      </c>
      <c r="K48">
        <f>J48-I48</f>
        <v>0</v>
      </c>
    </row>
    <row r="49" spans="2:89" x14ac:dyDescent="0.2">
      <c r="B49" t="s">
        <v>2206</v>
      </c>
      <c r="C49">
        <v>351</v>
      </c>
      <c r="D49" t="s">
        <v>251</v>
      </c>
    </row>
    <row r="50" spans="2:89" x14ac:dyDescent="0.2">
      <c r="B50" t="s">
        <v>273</v>
      </c>
      <c r="C50">
        <v>354</v>
      </c>
      <c r="D50" t="s">
        <v>251</v>
      </c>
      <c r="H50">
        <f>G50-F50</f>
        <v>0</v>
      </c>
      <c r="K50">
        <f>J50-I50</f>
        <v>0</v>
      </c>
    </row>
    <row r="51" spans="2:89" x14ac:dyDescent="0.2">
      <c r="B51" t="s">
        <v>274</v>
      </c>
      <c r="C51">
        <v>358</v>
      </c>
      <c r="D51" t="s">
        <v>251</v>
      </c>
      <c r="H51">
        <f>G51-F51</f>
        <v>0</v>
      </c>
      <c r="K51">
        <f>J51-I51</f>
        <v>0</v>
      </c>
    </row>
    <row r="52" spans="2:89" x14ac:dyDescent="0.2">
      <c r="B52" t="s">
        <v>2880</v>
      </c>
      <c r="C52">
        <v>360</v>
      </c>
      <c r="D52" t="s">
        <v>251</v>
      </c>
      <c r="E52">
        <f>IF(E51&lt;0,(0+E50),E51+E50)</f>
        <v>0</v>
      </c>
      <c r="F52">
        <f>IF(F51&lt;0,(0+F50),F51+F50)</f>
        <v>0</v>
      </c>
      <c r="G52">
        <f>IF(G51&lt;0,(0+G50),G51+G50)</f>
        <v>0</v>
      </c>
      <c r="H52">
        <f>G52-F52</f>
        <v>0</v>
      </c>
      <c r="I52">
        <f>IF(I51&lt;0,(0+I50),I51+I50)</f>
        <v>0</v>
      </c>
      <c r="J52">
        <f>IF(J51&lt;0,(0+J50),J51+J50)</f>
        <v>0</v>
      </c>
      <c r="K52">
        <f>J52-I52</f>
        <v>0</v>
      </c>
    </row>
    <row r="53" spans="2:89" x14ac:dyDescent="0.2">
      <c r="B53" t="s">
        <v>2881</v>
      </c>
      <c r="C53">
        <v>370</v>
      </c>
      <c r="D53" t="s">
        <v>251</v>
      </c>
      <c r="H53">
        <f>G53-F53</f>
        <v>0</v>
      </c>
      <c r="K53">
        <f>J53-I53</f>
        <v>0</v>
      </c>
    </row>
    <row r="54" spans="2:89" x14ac:dyDescent="0.2">
      <c r="B54" t="s">
        <v>2211</v>
      </c>
      <c r="C54">
        <v>380</v>
      </c>
      <c r="D54" t="s">
        <v>251</v>
      </c>
      <c r="E54">
        <f t="shared" ref="E54:K54" si="3">E85</f>
        <v>0</v>
      </c>
      <c r="F54">
        <f t="shared" si="3"/>
        <v>0</v>
      </c>
      <c r="G54">
        <f t="shared" si="3"/>
        <v>0</v>
      </c>
      <c r="H54">
        <f t="shared" si="3"/>
        <v>0</v>
      </c>
      <c r="I54">
        <f t="shared" si="3"/>
        <v>0</v>
      </c>
      <c r="J54">
        <f t="shared" si="3"/>
        <v>0</v>
      </c>
      <c r="K54">
        <f t="shared" si="3"/>
        <v>0</v>
      </c>
    </row>
    <row r="55" spans="2:89" x14ac:dyDescent="0.2">
      <c r="B55" t="s">
        <v>2232</v>
      </c>
      <c r="C55">
        <v>385</v>
      </c>
      <c r="D55" t="s">
        <v>251</v>
      </c>
      <c r="E55">
        <f>-E21</f>
        <v>0</v>
      </c>
      <c r="G55">
        <f>-G21</f>
        <v>0</v>
      </c>
      <c r="H55">
        <f>G55-F55</f>
        <v>0</v>
      </c>
      <c r="J55">
        <f>-J21</f>
        <v>0</v>
      </c>
      <c r="K55">
        <f>J55-I55</f>
        <v>0</v>
      </c>
    </row>
    <row r="56" spans="2:89" x14ac:dyDescent="0.2">
      <c r="B56" t="s">
        <v>2102</v>
      </c>
      <c r="C56">
        <v>390</v>
      </c>
      <c r="D56" t="s">
        <v>251</v>
      </c>
      <c r="E56">
        <f t="shared" ref="E56:K56" si="4">SUM(E52:E55)+E48+E49</f>
        <v>0</v>
      </c>
      <c r="F56">
        <f t="shared" si="4"/>
        <v>0</v>
      </c>
      <c r="G56">
        <f t="shared" si="4"/>
        <v>0</v>
      </c>
      <c r="H56">
        <f t="shared" si="4"/>
        <v>0</v>
      </c>
      <c r="I56">
        <f t="shared" si="4"/>
        <v>0</v>
      </c>
      <c r="J56">
        <f t="shared" si="4"/>
        <v>0</v>
      </c>
      <c r="K56">
        <f t="shared" si="4"/>
        <v>0</v>
      </c>
    </row>
    <row r="59" spans="2:89" x14ac:dyDescent="0.2">
      <c r="B59" t="s">
        <v>2105</v>
      </c>
      <c r="C59" t="s">
        <v>238</v>
      </c>
      <c r="D59" t="s">
        <v>25</v>
      </c>
      <c r="E59" t="s">
        <v>2873</v>
      </c>
      <c r="G59" t="s">
        <v>2089</v>
      </c>
      <c r="J59" t="s">
        <v>241</v>
      </c>
      <c r="CF59" t="s">
        <v>2882</v>
      </c>
    </row>
    <row r="60" spans="2:89" x14ac:dyDescent="0.2">
      <c r="B60" t="s">
        <v>2213</v>
      </c>
      <c r="C60" t="s">
        <v>242</v>
      </c>
      <c r="E60" t="s">
        <v>2091</v>
      </c>
      <c r="F60" t="s">
        <v>2021</v>
      </c>
      <c r="G60" t="s">
        <v>2092</v>
      </c>
      <c r="H60" t="s">
        <v>2023</v>
      </c>
      <c r="I60" t="s">
        <v>2021</v>
      </c>
      <c r="J60" t="s">
        <v>1048</v>
      </c>
      <c r="K60" t="s">
        <v>2023</v>
      </c>
    </row>
    <row r="61" spans="2:89" x14ac:dyDescent="0.2">
      <c r="E61" t="s">
        <v>2036</v>
      </c>
      <c r="F61" t="s">
        <v>2037</v>
      </c>
      <c r="G61" t="s">
        <v>2038</v>
      </c>
      <c r="H61" t="s">
        <v>2039</v>
      </c>
      <c r="I61" t="s">
        <v>2040</v>
      </c>
      <c r="J61" t="s">
        <v>2041</v>
      </c>
      <c r="K61" t="s">
        <v>2042</v>
      </c>
      <c r="CF61">
        <f>E12+E13+E84</f>
        <v>0</v>
      </c>
      <c r="CG61">
        <f>F12+F13+F84</f>
        <v>0</v>
      </c>
      <c r="CH61">
        <f>G12+G13+G84</f>
        <v>0</v>
      </c>
      <c r="CJ61">
        <f>I12+I13+I84</f>
        <v>0</v>
      </c>
      <c r="CK61">
        <f>J12+J13+J84</f>
        <v>0</v>
      </c>
    </row>
    <row r="62" spans="2:89" x14ac:dyDescent="0.2">
      <c r="E62" t="s">
        <v>243</v>
      </c>
      <c r="F62" t="s">
        <v>243</v>
      </c>
      <c r="G62" t="s">
        <v>243</v>
      </c>
      <c r="H62" t="s">
        <v>243</v>
      </c>
      <c r="I62" t="s">
        <v>243</v>
      </c>
      <c r="J62" t="s">
        <v>243</v>
      </c>
      <c r="K62" t="s">
        <v>243</v>
      </c>
      <c r="CF62" t="s">
        <v>2883</v>
      </c>
    </row>
    <row r="63" spans="2:89" x14ac:dyDescent="0.2">
      <c r="B63" t="s">
        <v>2214</v>
      </c>
      <c r="C63">
        <v>400</v>
      </c>
      <c r="D63" t="s">
        <v>251</v>
      </c>
      <c r="E63">
        <f>E22</f>
        <v>0</v>
      </c>
      <c r="F63">
        <f>F22</f>
        <v>0</v>
      </c>
      <c r="G63">
        <f>G22</f>
        <v>0</v>
      </c>
      <c r="H63">
        <f>G63-F63</f>
        <v>0</v>
      </c>
      <c r="I63">
        <f>I22</f>
        <v>0</v>
      </c>
      <c r="J63">
        <f>J22</f>
        <v>0</v>
      </c>
      <c r="K63">
        <f>J63-I63</f>
        <v>0</v>
      </c>
      <c r="CF63">
        <f t="shared" ref="CF63:CK63" si="5">SUM(E48+E67+E55+E72)+E16*-1</f>
        <v>0</v>
      </c>
      <c r="CG63">
        <f t="shared" si="5"/>
        <v>0</v>
      </c>
      <c r="CH63">
        <f t="shared" si="5"/>
        <v>0</v>
      </c>
      <c r="CI63">
        <f t="shared" si="5"/>
        <v>0</v>
      </c>
      <c r="CJ63">
        <f t="shared" si="5"/>
        <v>0</v>
      </c>
      <c r="CK63">
        <f t="shared" si="5"/>
        <v>0</v>
      </c>
    </row>
    <row r="64" spans="2:89" x14ac:dyDescent="0.2">
      <c r="B64" t="s">
        <v>2215</v>
      </c>
      <c r="C64">
        <v>405</v>
      </c>
      <c r="D64" t="s">
        <v>251</v>
      </c>
      <c r="CF64" t="s">
        <v>2884</v>
      </c>
    </row>
    <row r="65" spans="2:89" x14ac:dyDescent="0.2">
      <c r="B65" t="s">
        <v>2216</v>
      </c>
      <c r="C65">
        <v>410</v>
      </c>
      <c r="D65" t="s">
        <v>248</v>
      </c>
      <c r="H65">
        <f>G65-F65</f>
        <v>0</v>
      </c>
      <c r="K65">
        <f>J65-I65</f>
        <v>0</v>
      </c>
      <c r="CB65">
        <f>IF(OR(G65&lt;0,J65&lt;0),1,0)</f>
        <v>0</v>
      </c>
      <c r="CC65">
        <f>IF(G65&gt;J65,1,0)</f>
        <v>0</v>
      </c>
      <c r="CF65">
        <f>E22+E55</f>
        <v>0</v>
      </c>
      <c r="CG65">
        <f>F22+F55</f>
        <v>0</v>
      </c>
      <c r="CH65">
        <f>G22+G55</f>
        <v>0</v>
      </c>
      <c r="CJ65">
        <f>I22+I55</f>
        <v>0</v>
      </c>
      <c r="CK65">
        <f>J22+J55</f>
        <v>0</v>
      </c>
    </row>
    <row r="66" spans="2:89" x14ac:dyDescent="0.2">
      <c r="B66" t="s">
        <v>2217</v>
      </c>
      <c r="C66">
        <v>420</v>
      </c>
      <c r="D66" t="s">
        <v>248</v>
      </c>
      <c r="H66">
        <f>G66-F66</f>
        <v>0</v>
      </c>
      <c r="K66">
        <f>J66-I66</f>
        <v>0</v>
      </c>
      <c r="CB66">
        <f>IF(OR(G66&lt;0,J66&lt;0),1,0)</f>
        <v>0</v>
      </c>
      <c r="CC66">
        <f>IF(G66&gt;J66,1,0)</f>
        <v>0</v>
      </c>
      <c r="CF66" t="s">
        <v>2885</v>
      </c>
    </row>
    <row r="67" spans="2:89" x14ac:dyDescent="0.2">
      <c r="B67" t="s">
        <v>2218</v>
      </c>
      <c r="C67">
        <v>425</v>
      </c>
      <c r="D67" t="s">
        <v>251</v>
      </c>
      <c r="E67">
        <f>SUM(E50+E53)</f>
        <v>0</v>
      </c>
      <c r="G67">
        <f>SUM(G50+G53)</f>
        <v>0</v>
      </c>
      <c r="H67">
        <f>G67-F67</f>
        <v>0</v>
      </c>
      <c r="J67">
        <f>SUM(J50+J53)</f>
        <v>0</v>
      </c>
      <c r="K67">
        <f>J67-I67</f>
        <v>0</v>
      </c>
      <c r="CF67">
        <f>SUM(E67+E77+E86)*-1</f>
        <v>0</v>
      </c>
      <c r="CG67">
        <f>SUM(F67+F77+F86)*-1</f>
        <v>0</v>
      </c>
      <c r="CH67">
        <f>SUM(G67+G77+G86)*-1</f>
        <v>0</v>
      </c>
      <c r="CJ67">
        <f>SUM(I67+I77+I86)*-1</f>
        <v>0</v>
      </c>
      <c r="CK67">
        <f>SUM(J67+J77+J86)*-1</f>
        <v>0</v>
      </c>
    </row>
    <row r="68" spans="2:89" x14ac:dyDescent="0.2">
      <c r="B68" t="s">
        <v>2220</v>
      </c>
      <c r="C68">
        <v>430</v>
      </c>
      <c r="D68" t="s">
        <v>245</v>
      </c>
      <c r="E68">
        <f>E15*-1</f>
        <v>0</v>
      </c>
      <c r="G68">
        <f>G15*-1</f>
        <v>0</v>
      </c>
      <c r="H68">
        <f>G68-F68</f>
        <v>0</v>
      </c>
      <c r="J68">
        <f>J15*-1</f>
        <v>0</v>
      </c>
      <c r="K68">
        <f>J68-I68</f>
        <v>0</v>
      </c>
      <c r="CF68" t="s">
        <v>2222</v>
      </c>
    </row>
    <row r="69" spans="2:89" x14ac:dyDescent="0.2">
      <c r="B69" t="s">
        <v>2198</v>
      </c>
      <c r="C69">
        <v>440</v>
      </c>
      <c r="D69" t="s">
        <v>248</v>
      </c>
      <c r="E69">
        <f>E17*-1</f>
        <v>0</v>
      </c>
      <c r="G69">
        <f>G17*-1</f>
        <v>0</v>
      </c>
      <c r="H69">
        <f>G69-F69</f>
        <v>0</v>
      </c>
      <c r="J69">
        <f>J17*-1</f>
        <v>0</v>
      </c>
      <c r="K69">
        <f>J69-I69</f>
        <v>0</v>
      </c>
      <c r="CF69">
        <f>SUM(E12+E13+E72)</f>
        <v>0</v>
      </c>
      <c r="CK69">
        <f>SUM(J12+J13+J72)</f>
        <v>0</v>
      </c>
    </row>
    <row r="70" spans="2:89" x14ac:dyDescent="0.2">
      <c r="B70" t="s">
        <v>2199</v>
      </c>
      <c r="C70">
        <v>450</v>
      </c>
      <c r="D70" t="s">
        <v>248</v>
      </c>
    </row>
    <row r="71" spans="2:89" x14ac:dyDescent="0.2">
      <c r="B71" t="s">
        <v>2221</v>
      </c>
      <c r="C71">
        <v>460</v>
      </c>
      <c r="D71" t="s">
        <v>248</v>
      </c>
      <c r="E71">
        <f>E20*-1</f>
        <v>0</v>
      </c>
      <c r="G71">
        <f>G20*-1</f>
        <v>0</v>
      </c>
      <c r="H71">
        <f>G71-F71</f>
        <v>0</v>
      </c>
      <c r="J71">
        <f>J20*-1</f>
        <v>0</v>
      </c>
      <c r="K71">
        <f>J71-I71</f>
        <v>0</v>
      </c>
    </row>
    <row r="72" spans="2:89" x14ac:dyDescent="0.2">
      <c r="B72" t="s">
        <v>2223</v>
      </c>
      <c r="C72">
        <v>465</v>
      </c>
      <c r="D72" t="s">
        <v>245</v>
      </c>
      <c r="E72">
        <f>E84</f>
        <v>0</v>
      </c>
      <c r="F72">
        <f>F84</f>
        <v>0</v>
      </c>
      <c r="G72">
        <f>G84</f>
        <v>0</v>
      </c>
      <c r="H72">
        <f>G72-F72</f>
        <v>0</v>
      </c>
      <c r="I72">
        <f>I84</f>
        <v>0</v>
      </c>
      <c r="J72">
        <f>J84</f>
        <v>0</v>
      </c>
      <c r="K72">
        <f>J72-I72</f>
        <v>0</v>
      </c>
      <c r="CF72" t="s">
        <v>2886</v>
      </c>
    </row>
    <row r="73" spans="2:89" x14ac:dyDescent="0.2">
      <c r="B73" t="s">
        <v>2224</v>
      </c>
      <c r="C73">
        <v>470</v>
      </c>
      <c r="D73" t="s">
        <v>251</v>
      </c>
      <c r="H73">
        <f>G73-F73</f>
        <v>0</v>
      </c>
      <c r="K73">
        <f>J73-I73</f>
        <v>0</v>
      </c>
      <c r="CF73" t="s">
        <v>2887</v>
      </c>
      <c r="CG73" t="s">
        <v>2888</v>
      </c>
    </row>
    <row r="74" spans="2:89" x14ac:dyDescent="0.2">
      <c r="B74" t="s">
        <v>2226</v>
      </c>
      <c r="C74">
        <v>480</v>
      </c>
      <c r="D74" t="s">
        <v>251</v>
      </c>
      <c r="H74">
        <f>G74-F74</f>
        <v>0</v>
      </c>
      <c r="K74">
        <f>J74-I74</f>
        <v>0</v>
      </c>
      <c r="CF74">
        <f>(E10+E11+E15+E16+E17+E20+E21+E52+E53+E54+E55-E84+E49)*-1</f>
        <v>0</v>
      </c>
      <c r="CG74">
        <f>(J10+J11+J15+J16+J17+J20+J21+J52+J53+J54+J55-J84+J49)*-1</f>
        <v>0</v>
      </c>
    </row>
    <row r="75" spans="2:89" x14ac:dyDescent="0.2">
      <c r="B75" t="s">
        <v>2232</v>
      </c>
      <c r="C75">
        <v>485</v>
      </c>
      <c r="D75" t="s">
        <v>251</v>
      </c>
      <c r="E75">
        <f>E55</f>
        <v>0</v>
      </c>
      <c r="G75">
        <f>G55</f>
        <v>0</v>
      </c>
      <c r="H75">
        <f>G75-F75</f>
        <v>0</v>
      </c>
      <c r="J75">
        <f>J55</f>
        <v>0</v>
      </c>
      <c r="K75">
        <f>J75-I75</f>
        <v>0</v>
      </c>
    </row>
    <row r="76" spans="2:89" x14ac:dyDescent="0.2">
      <c r="B76" t="s">
        <v>2233</v>
      </c>
      <c r="C76">
        <v>490</v>
      </c>
      <c r="D76" t="s">
        <v>251</v>
      </c>
      <c r="E76">
        <f t="shared" ref="E76:K76" si="6">SUM(E63:E75)</f>
        <v>0</v>
      </c>
      <c r="F76">
        <f t="shared" si="6"/>
        <v>0</v>
      </c>
      <c r="G76">
        <f t="shared" si="6"/>
        <v>0</v>
      </c>
      <c r="H76">
        <f t="shared" si="6"/>
        <v>0</v>
      </c>
      <c r="I76">
        <f t="shared" si="6"/>
        <v>0</v>
      </c>
      <c r="J76">
        <f t="shared" si="6"/>
        <v>0</v>
      </c>
      <c r="K76">
        <f t="shared" si="6"/>
        <v>0</v>
      </c>
    </row>
    <row r="77" spans="2:89" x14ac:dyDescent="0.2">
      <c r="B77" t="s">
        <v>2234</v>
      </c>
      <c r="C77">
        <v>500</v>
      </c>
      <c r="D77" t="s">
        <v>248</v>
      </c>
      <c r="H77">
        <f>G77-F77</f>
        <v>0</v>
      </c>
      <c r="K77">
        <f>J77-I77</f>
        <v>0</v>
      </c>
      <c r="CB77">
        <f>IF(OR(G77&lt;0,J77&lt;0),1,0)</f>
        <v>0</v>
      </c>
      <c r="CC77">
        <f>IF(G77&gt;J77,1,0)</f>
        <v>0</v>
      </c>
    </row>
    <row r="78" spans="2:89" x14ac:dyDescent="0.2">
      <c r="B78" t="s">
        <v>2236</v>
      </c>
      <c r="C78">
        <v>505</v>
      </c>
      <c r="D78" t="s">
        <v>251</v>
      </c>
    </row>
    <row r="79" spans="2:89" x14ac:dyDescent="0.2">
      <c r="B79" t="s">
        <v>2237</v>
      </c>
      <c r="C79">
        <v>510</v>
      </c>
      <c r="D79" t="s">
        <v>251</v>
      </c>
      <c r="E79">
        <f t="shared" ref="E79:K79" si="7">SUM(E76:E77)</f>
        <v>0</v>
      </c>
      <c r="F79">
        <f t="shared" si="7"/>
        <v>0</v>
      </c>
      <c r="G79">
        <f t="shared" si="7"/>
        <v>0</v>
      </c>
      <c r="H79">
        <f t="shared" si="7"/>
        <v>0</v>
      </c>
      <c r="I79">
        <f t="shared" si="7"/>
        <v>0</v>
      </c>
      <c r="J79">
        <f t="shared" si="7"/>
        <v>0</v>
      </c>
      <c r="K79">
        <f t="shared" si="7"/>
        <v>0</v>
      </c>
    </row>
    <row r="82" spans="2:85" x14ac:dyDescent="0.2">
      <c r="B82" t="s">
        <v>2239</v>
      </c>
    </row>
    <row r="83" spans="2:85" x14ac:dyDescent="0.2">
      <c r="B83" t="s">
        <v>2240</v>
      </c>
      <c r="C83">
        <v>550</v>
      </c>
      <c r="D83" t="s">
        <v>248</v>
      </c>
      <c r="H83">
        <f>G83-F83</f>
        <v>0</v>
      </c>
      <c r="K83">
        <f>J83-I83</f>
        <v>0</v>
      </c>
      <c r="CB83">
        <f>IF(OR(G83&lt;0,J83&lt;0),1,0)</f>
        <v>0</v>
      </c>
      <c r="CC83">
        <f>IF(G83&gt;J83,1,0)</f>
        <v>0</v>
      </c>
      <c r="CG83" t="s">
        <v>2889</v>
      </c>
    </row>
    <row r="84" spans="2:85" x14ac:dyDescent="0.2">
      <c r="B84" t="s">
        <v>2241</v>
      </c>
      <c r="C84">
        <v>555</v>
      </c>
      <c r="D84" t="s">
        <v>245</v>
      </c>
      <c r="H84">
        <f>G84-F84</f>
        <v>0</v>
      </c>
      <c r="K84">
        <f>J84-I84</f>
        <v>0</v>
      </c>
      <c r="CA84">
        <f>IF(OR(G84&gt;0,J84&gt;0),1,0)</f>
        <v>0</v>
      </c>
      <c r="CD84">
        <f>IF(J84&gt;G84,1,0)</f>
        <v>0</v>
      </c>
      <c r="CE84">
        <f>IF(OR(G84&lt;&gt;CH84,J84&lt;&gt;CK84),1,0)</f>
        <v>0</v>
      </c>
    </row>
    <row r="85" spans="2:85" x14ac:dyDescent="0.2">
      <c r="B85" t="s">
        <v>2242</v>
      </c>
      <c r="C85">
        <v>560</v>
      </c>
      <c r="D85" t="s">
        <v>248</v>
      </c>
      <c r="E85">
        <f t="shared" ref="E85:K85" si="8">SUM(E83:E84)</f>
        <v>0</v>
      </c>
      <c r="F85">
        <f t="shared" si="8"/>
        <v>0</v>
      </c>
      <c r="G85">
        <f t="shared" si="8"/>
        <v>0</v>
      </c>
      <c r="H85">
        <f t="shared" si="8"/>
        <v>0</v>
      </c>
      <c r="I85">
        <f t="shared" si="8"/>
        <v>0</v>
      </c>
      <c r="J85">
        <f t="shared" si="8"/>
        <v>0</v>
      </c>
      <c r="K85">
        <f t="shared" si="8"/>
        <v>0</v>
      </c>
    </row>
    <row r="86" spans="2:85" x14ac:dyDescent="0.2">
      <c r="B86" t="s">
        <v>2890</v>
      </c>
      <c r="C86">
        <v>570</v>
      </c>
      <c r="D86" t="s">
        <v>248</v>
      </c>
      <c r="H86">
        <f>G86-F86</f>
        <v>0</v>
      </c>
      <c r="K86">
        <f>J86-I86</f>
        <v>0</v>
      </c>
      <c r="CB86">
        <f>IF(OR(G86&lt;0,J86&lt;0),1,0)</f>
        <v>0</v>
      </c>
      <c r="CC86">
        <f>IF(G86&gt;J86,1,0)</f>
        <v>0</v>
      </c>
    </row>
    <row r="87" spans="2:85" x14ac:dyDescent="0.2">
      <c r="B87" t="s">
        <v>2891</v>
      </c>
      <c r="C87">
        <v>580</v>
      </c>
      <c r="D87" t="s">
        <v>251</v>
      </c>
      <c r="H87">
        <f>G87-F87</f>
        <v>0</v>
      </c>
      <c r="K87">
        <f>J87-I87</f>
        <v>0</v>
      </c>
    </row>
    <row r="88" spans="2:85" x14ac:dyDescent="0.2">
      <c r="B88" t="s">
        <v>2892</v>
      </c>
    </row>
    <row r="89" spans="2:85" x14ac:dyDescent="0.2">
      <c r="B89" t="s">
        <v>2245</v>
      </c>
      <c r="C89">
        <v>590</v>
      </c>
      <c r="D89" t="s">
        <v>245</v>
      </c>
      <c r="J89">
        <f>G89</f>
        <v>0</v>
      </c>
      <c r="K89">
        <f>J89-I89</f>
        <v>0</v>
      </c>
      <c r="CA89">
        <f>IF(OR(E89&gt;0,F89&gt;0,G89&gt;0,I89&gt;0,J89&gt;0),1,0)</f>
        <v>0</v>
      </c>
    </row>
    <row r="90" spans="2:85" x14ac:dyDescent="0.2">
      <c r="B90" t="s">
        <v>2246</v>
      </c>
      <c r="C90">
        <v>600</v>
      </c>
      <c r="D90" t="s">
        <v>245</v>
      </c>
      <c r="E90">
        <f>E91-E89</f>
        <v>0</v>
      </c>
      <c r="CA90">
        <f>IF(OR(E90&gt;0),1,0)</f>
        <v>0</v>
      </c>
    </row>
    <row r="91" spans="2:85" x14ac:dyDescent="0.2">
      <c r="B91" t="s">
        <v>2247</v>
      </c>
      <c r="C91">
        <v>610</v>
      </c>
      <c r="D91" t="s">
        <v>245</v>
      </c>
    </row>
  </sheetData>
  <sheetProtection sheet="1" objects="1" scenarios="1"/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Q120"/>
  <sheetViews>
    <sheetView showGridLines="0" topLeftCell="A73" zoomScale="70" zoomScaleNormal="70" workbookViewId="0">
      <selection activeCell="Q81" sqref="Q81"/>
    </sheetView>
  </sheetViews>
  <sheetFormatPr defaultColWidth="8.85546875" defaultRowHeight="12.75" x14ac:dyDescent="0.2"/>
  <cols>
    <col min="1" max="1" width="4" style="22" customWidth="1"/>
    <col min="2" max="2" width="4" style="3" customWidth="1"/>
    <col min="3" max="3" width="36.7109375" style="3" customWidth="1"/>
    <col min="4" max="4" width="30.5703125" style="3" customWidth="1"/>
    <col min="5" max="5" width="34.7109375" style="3" customWidth="1"/>
    <col min="6" max="6" width="4.140625" style="3" customWidth="1"/>
    <col min="7" max="7" width="24.140625" style="3" customWidth="1"/>
    <col min="8" max="8" width="51.7109375" style="3" customWidth="1"/>
    <col min="9" max="9" width="4.28515625" style="3" customWidth="1"/>
    <col min="10" max="11" width="20.140625" style="3" customWidth="1"/>
    <col min="12" max="12" width="30.140625" style="3" customWidth="1"/>
    <col min="13" max="16384" width="8.85546875" style="3"/>
  </cols>
  <sheetData>
    <row r="1" spans="2:11" ht="15.75" hidden="1" customHeight="1" x14ac:dyDescent="0.2">
      <c r="B1" s="1"/>
      <c r="C1" s="49"/>
      <c r="D1" s="47"/>
      <c r="E1" s="47"/>
      <c r="F1" s="50"/>
      <c r="G1" s="47"/>
      <c r="H1" s="48"/>
    </row>
    <row r="2" spans="2:11" hidden="1" x14ac:dyDescent="0.2">
      <c r="B2" s="4"/>
      <c r="C2" s="8"/>
      <c r="D2" s="8"/>
      <c r="E2" s="8"/>
      <c r="F2" s="8"/>
      <c r="G2" s="8"/>
      <c r="H2" s="9"/>
      <c r="I2" s="2"/>
      <c r="J2" s="2"/>
    </row>
    <row r="3" spans="2:11" ht="15.75" hidden="1" x14ac:dyDescent="0.25">
      <c r="B3" s="4"/>
      <c r="C3" s="5"/>
      <c r="D3" s="6"/>
      <c r="E3" s="6"/>
      <c r="F3" s="7"/>
      <c r="G3" s="8"/>
      <c r="H3" s="9"/>
      <c r="I3" s="2"/>
      <c r="J3" s="2"/>
    </row>
    <row r="4" spans="2:11" hidden="1" x14ac:dyDescent="0.2">
      <c r="B4" s="4"/>
      <c r="C4" s="10"/>
      <c r="D4" s="8"/>
      <c r="G4" s="11"/>
      <c r="H4" s="9"/>
      <c r="I4" s="12"/>
      <c r="J4" s="13"/>
      <c r="K4" s="13"/>
    </row>
    <row r="5" spans="2:11" hidden="1" x14ac:dyDescent="0.2">
      <c r="B5" s="4"/>
      <c r="C5" s="10" t="s">
        <v>0</v>
      </c>
      <c r="D5" s="8"/>
      <c r="E5" s="11"/>
      <c r="F5" s="14">
        <v>111</v>
      </c>
      <c r="G5" s="11"/>
      <c r="H5" s="15"/>
      <c r="I5" s="13"/>
      <c r="J5" s="13"/>
      <c r="K5" s="13"/>
    </row>
    <row r="6" spans="2:11" ht="140.25" hidden="1" x14ac:dyDescent="0.2">
      <c r="B6" s="4"/>
      <c r="C6" s="10" t="s">
        <v>1</v>
      </c>
      <c r="D6" s="8"/>
      <c r="E6" s="11"/>
      <c r="F6" s="16" t="s">
        <v>3720</v>
      </c>
      <c r="G6" s="11"/>
      <c r="H6" s="9"/>
      <c r="I6" s="12"/>
      <c r="J6" s="13"/>
      <c r="K6" s="13"/>
    </row>
    <row r="7" spans="2:11" ht="127.5" hidden="1" x14ac:dyDescent="0.2">
      <c r="B7" s="4"/>
      <c r="C7" s="10" t="s">
        <v>2</v>
      </c>
      <c r="D7" s="8"/>
      <c r="E7" s="17"/>
      <c r="F7" s="16" t="s">
        <v>3820</v>
      </c>
      <c r="G7" s="11"/>
      <c r="H7" s="9"/>
      <c r="I7" s="2"/>
    </row>
    <row r="8" spans="2:11" hidden="1" x14ac:dyDescent="0.2">
      <c r="B8" s="4"/>
      <c r="C8" s="10" t="s">
        <v>3</v>
      </c>
      <c r="D8" s="8"/>
      <c r="E8" s="11"/>
      <c r="F8" s="16">
        <v>1226</v>
      </c>
      <c r="G8" s="11"/>
      <c r="H8" s="9"/>
      <c r="I8" s="2"/>
    </row>
    <row r="9" spans="2:11" ht="63.75" hidden="1" x14ac:dyDescent="0.2">
      <c r="B9" s="4"/>
      <c r="C9" s="10" t="s">
        <v>4</v>
      </c>
      <c r="D9" s="8"/>
      <c r="E9" s="11"/>
      <c r="F9" s="44" t="s">
        <v>3721</v>
      </c>
      <c r="G9" s="18"/>
      <c r="H9" s="15"/>
    </row>
    <row r="10" spans="2:11" ht="25.5" hidden="1" x14ac:dyDescent="0.2">
      <c r="B10" s="4"/>
      <c r="C10" s="10" t="s">
        <v>24</v>
      </c>
      <c r="D10" s="19"/>
      <c r="E10" s="20"/>
      <c r="F10" s="43" t="s">
        <v>3808</v>
      </c>
      <c r="G10" s="11"/>
      <c r="H10" s="9"/>
      <c r="I10" s="2"/>
      <c r="J10" s="2"/>
    </row>
    <row r="11" spans="2:11" hidden="1" x14ac:dyDescent="0.2">
      <c r="B11" s="4"/>
      <c r="C11" s="10"/>
      <c r="D11" s="19"/>
      <c r="E11" s="20"/>
      <c r="F11" s="16"/>
      <c r="G11" s="11"/>
      <c r="H11" s="9"/>
      <c r="I11" s="2"/>
      <c r="J11" s="2"/>
    </row>
    <row r="12" spans="2:11" hidden="1" x14ac:dyDescent="0.2">
      <c r="B12" s="4"/>
      <c r="C12" s="10"/>
      <c r="D12" s="19"/>
      <c r="E12" s="20"/>
      <c r="F12" s="16"/>
      <c r="G12" s="11"/>
      <c r="H12" s="9"/>
      <c r="I12" s="2"/>
      <c r="J12" s="2"/>
    </row>
    <row r="13" spans="2:11" hidden="1" x14ac:dyDescent="0.2">
      <c r="B13" s="4"/>
      <c r="C13" s="10"/>
      <c r="D13" s="19"/>
      <c r="E13" s="20"/>
      <c r="F13" s="16"/>
      <c r="G13" s="11"/>
      <c r="H13" s="9"/>
      <c r="I13" s="2"/>
      <c r="J13" s="2"/>
    </row>
    <row r="14" spans="2:11" hidden="1" x14ac:dyDescent="0.2">
      <c r="B14" s="4"/>
      <c r="C14" s="10"/>
      <c r="D14" s="19"/>
      <c r="E14" s="20"/>
      <c r="F14" s="16"/>
      <c r="G14" s="11"/>
      <c r="H14" s="9"/>
      <c r="I14" s="2"/>
      <c r="J14" s="2"/>
    </row>
    <row r="15" spans="2:11" hidden="1" x14ac:dyDescent="0.2">
      <c r="B15" s="4"/>
      <c r="C15" s="10"/>
      <c r="D15" s="19"/>
      <c r="E15" s="20"/>
      <c r="F15" s="16"/>
      <c r="G15" s="11"/>
      <c r="H15" s="9"/>
      <c r="I15" s="2"/>
      <c r="J15" s="2"/>
    </row>
    <row r="16" spans="2:11" hidden="1" x14ac:dyDescent="0.2">
      <c r="B16" s="4"/>
      <c r="C16" s="10"/>
      <c r="D16" s="19"/>
      <c r="E16" s="20"/>
      <c r="F16" s="16"/>
      <c r="G16" s="11"/>
      <c r="H16" s="9"/>
      <c r="I16" s="2"/>
      <c r="J16" s="2"/>
    </row>
    <row r="17" spans="1:10" hidden="1" x14ac:dyDescent="0.2">
      <c r="B17" s="4"/>
      <c r="C17" s="10" t="s">
        <v>5</v>
      </c>
      <c r="D17" s="19"/>
      <c r="E17" s="20"/>
      <c r="F17" s="1179" t="s">
        <v>3809</v>
      </c>
      <c r="G17" s="11"/>
      <c r="H17" s="9"/>
      <c r="I17" s="2"/>
      <c r="J17" s="2"/>
    </row>
    <row r="18" spans="1:10" ht="76.5" hidden="1" x14ac:dyDescent="0.2">
      <c r="B18" s="4"/>
      <c r="C18" s="10" t="s">
        <v>6</v>
      </c>
      <c r="D18" s="19"/>
      <c r="E18" s="20"/>
      <c r="F18" s="16" t="s">
        <v>3726</v>
      </c>
      <c r="G18" s="11"/>
      <c r="H18" s="9"/>
      <c r="I18" s="2"/>
      <c r="J18" s="2"/>
    </row>
    <row r="19" spans="1:10" ht="25.5" hidden="1" x14ac:dyDescent="0.2">
      <c r="B19" s="4"/>
      <c r="C19" s="10" t="s">
        <v>7</v>
      </c>
      <c r="D19" s="19"/>
      <c r="E19" s="20"/>
      <c r="F19" s="16" t="s">
        <v>3810</v>
      </c>
      <c r="G19" s="11"/>
      <c r="H19" s="9"/>
      <c r="I19" s="2"/>
      <c r="J19" s="2"/>
    </row>
    <row r="20" spans="1:10" hidden="1" x14ac:dyDescent="0.2">
      <c r="B20" s="4"/>
      <c r="C20" s="10"/>
      <c r="D20" s="19"/>
      <c r="E20" s="20"/>
      <c r="F20" s="23"/>
      <c r="G20" s="11"/>
      <c r="H20" s="9"/>
      <c r="I20" s="2"/>
      <c r="J20" s="2"/>
    </row>
    <row r="21" spans="1:10" ht="15.75" hidden="1" customHeight="1" x14ac:dyDescent="0.2">
      <c r="B21" s="4"/>
      <c r="C21" s="10" t="s">
        <v>18</v>
      </c>
      <c r="D21" s="24">
        <v>37096</v>
      </c>
      <c r="E21" s="20"/>
      <c r="F21" s="25"/>
      <c r="G21" s="11"/>
      <c r="H21" s="9"/>
      <c r="I21" s="2"/>
      <c r="J21" s="2"/>
    </row>
    <row r="22" spans="1:10" hidden="1" x14ac:dyDescent="0.2">
      <c r="B22" s="4"/>
      <c r="C22" s="10" t="s">
        <v>20</v>
      </c>
      <c r="D22" s="42" t="s">
        <v>15</v>
      </c>
      <c r="E22" s="20"/>
      <c r="F22" s="45" t="s">
        <v>3811</v>
      </c>
      <c r="G22" s="11"/>
      <c r="H22" s="9"/>
      <c r="I22" s="2"/>
      <c r="J22" s="2"/>
    </row>
    <row r="23" spans="1:10" ht="25.5" hidden="1" x14ac:dyDescent="0.2">
      <c r="B23" s="4"/>
      <c r="C23" s="10" t="s">
        <v>19</v>
      </c>
      <c r="D23" s="26"/>
      <c r="E23" s="20"/>
      <c r="F23" s="45" t="s">
        <v>3812</v>
      </c>
      <c r="G23" s="11"/>
      <c r="H23" s="9"/>
      <c r="I23" s="2"/>
      <c r="J23" s="2"/>
    </row>
    <row r="24" spans="1:10" hidden="1" x14ac:dyDescent="0.2">
      <c r="B24" s="4"/>
      <c r="C24" s="10" t="s">
        <v>22</v>
      </c>
      <c r="D24" s="19"/>
      <c r="E24" s="20"/>
      <c r="F24" s="45"/>
      <c r="G24" s="11"/>
      <c r="H24" s="9"/>
      <c r="I24" s="2"/>
      <c r="J24" s="2"/>
    </row>
    <row r="25" spans="1:10" hidden="1" x14ac:dyDescent="0.2">
      <c r="B25" s="4"/>
      <c r="C25" s="10" t="s">
        <v>21</v>
      </c>
      <c r="D25" s="19"/>
      <c r="E25" s="20"/>
      <c r="F25" s="46"/>
      <c r="G25" s="11"/>
      <c r="H25" s="9"/>
      <c r="I25" s="2"/>
      <c r="J25" s="2"/>
    </row>
    <row r="26" spans="1:10" hidden="1" x14ac:dyDescent="0.2">
      <c r="B26" s="4"/>
      <c r="C26" s="10"/>
      <c r="D26" s="8"/>
      <c r="E26" s="11"/>
      <c r="F26" s="21"/>
      <c r="G26" s="11"/>
      <c r="H26" s="9"/>
      <c r="I26" s="2"/>
      <c r="J26" s="2"/>
    </row>
    <row r="27" spans="1:10" hidden="1" x14ac:dyDescent="0.2">
      <c r="B27" s="4"/>
      <c r="C27" s="10"/>
      <c r="D27" s="19"/>
      <c r="E27" s="20"/>
      <c r="F27" s="23"/>
      <c r="G27" s="11"/>
      <c r="H27" s="9"/>
      <c r="I27" s="2"/>
      <c r="J27" s="2"/>
    </row>
    <row r="28" spans="1:10" hidden="1" x14ac:dyDescent="0.2">
      <c r="B28" s="4"/>
      <c r="C28" s="10" t="s">
        <v>8</v>
      </c>
      <c r="D28" s="19"/>
      <c r="E28" s="20"/>
      <c r="F28" s="46"/>
      <c r="G28" s="11"/>
      <c r="H28" s="9"/>
      <c r="I28" s="2"/>
      <c r="J28" s="2"/>
    </row>
    <row r="29" spans="1:10" hidden="1" x14ac:dyDescent="0.2">
      <c r="A29" s="27"/>
      <c r="B29" s="8"/>
      <c r="C29" s="10"/>
      <c r="D29" s="19"/>
      <c r="E29" s="19"/>
      <c r="F29" s="21"/>
      <c r="G29" s="19"/>
      <c r="H29" s="15"/>
      <c r="I29" s="19"/>
      <c r="J29" s="19"/>
    </row>
    <row r="30" spans="1:10" ht="18" hidden="1" x14ac:dyDescent="0.25">
      <c r="A30" s="27"/>
      <c r="B30" s="8"/>
      <c r="C30" s="51" t="s">
        <v>9</v>
      </c>
      <c r="D30" s="8"/>
      <c r="E30" s="11"/>
      <c r="F30" s="21"/>
      <c r="G30" s="11"/>
      <c r="H30" s="15"/>
      <c r="I30" s="19"/>
      <c r="J30" s="19"/>
    </row>
    <row r="31" spans="1:10" ht="18" hidden="1" x14ac:dyDescent="0.25">
      <c r="A31" s="15"/>
      <c r="B31" s="29"/>
      <c r="C31" s="51" t="s">
        <v>50</v>
      </c>
      <c r="D31" s="8"/>
      <c r="E31" s="11"/>
      <c r="F31" s="52">
        <f>0</f>
        <v>0</v>
      </c>
      <c r="G31" s="11"/>
      <c r="H31" s="15"/>
      <c r="I31" s="19"/>
      <c r="J31" s="19"/>
    </row>
    <row r="32" spans="1:10" ht="18" hidden="1" x14ac:dyDescent="0.25">
      <c r="A32" s="27"/>
      <c r="B32" s="8"/>
      <c r="C32" s="51" t="s">
        <v>51</v>
      </c>
      <c r="D32" s="19"/>
      <c r="E32" s="19"/>
      <c r="F32" s="53" t="e">
        <f>SUM(#REF!)+SUM(#REF!)</f>
        <v>#REF!</v>
      </c>
      <c r="G32" s="19"/>
      <c r="H32" s="15"/>
      <c r="I32" s="19"/>
      <c r="J32" s="19"/>
    </row>
    <row r="33" spans="1:8" hidden="1" x14ac:dyDescent="0.2">
      <c r="A33" s="27"/>
      <c r="B33" s="8"/>
      <c r="C33" s="10"/>
      <c r="D33" s="19"/>
      <c r="E33" s="19"/>
      <c r="F33" s="28"/>
      <c r="G33" s="19"/>
      <c r="H33" s="15"/>
    </row>
    <row r="34" spans="1:8" ht="89.25" hidden="1" x14ac:dyDescent="0.2">
      <c r="A34" s="3"/>
      <c r="B34" s="32"/>
      <c r="C34" s="10" t="s">
        <v>10</v>
      </c>
      <c r="D34" s="19"/>
      <c r="E34" s="19"/>
      <c r="F34" s="30" t="s">
        <v>3722</v>
      </c>
      <c r="G34" s="19"/>
      <c r="H34" s="15"/>
    </row>
    <row r="35" spans="1:8" ht="114.75" hidden="1" x14ac:dyDescent="0.2">
      <c r="A35" s="3"/>
      <c r="B35" s="33"/>
      <c r="C35" s="10" t="s">
        <v>11</v>
      </c>
      <c r="D35" s="19"/>
      <c r="E35" s="19"/>
      <c r="F35" s="31" t="s">
        <v>42</v>
      </c>
      <c r="G35" s="19"/>
      <c r="H35" s="15"/>
    </row>
    <row r="36" spans="1:8" hidden="1" x14ac:dyDescent="0.2">
      <c r="A36" s="3"/>
      <c r="B36" s="33"/>
      <c r="C36" s="10"/>
      <c r="D36" s="19"/>
      <c r="E36" s="19"/>
      <c r="F36" s="28"/>
      <c r="G36" s="19"/>
      <c r="H36" s="15"/>
    </row>
    <row r="37" spans="1:8" hidden="1" x14ac:dyDescent="0.2">
      <c r="A37" s="3"/>
      <c r="B37" s="32"/>
      <c r="C37" s="10"/>
      <c r="D37" s="19"/>
      <c r="E37" s="19"/>
      <c r="F37" s="39"/>
      <c r="G37" s="19"/>
      <c r="H37" s="15"/>
    </row>
    <row r="38" spans="1:8" hidden="1" x14ac:dyDescent="0.2">
      <c r="A38" s="3"/>
      <c r="B38" s="33"/>
      <c r="C38" s="10" t="s">
        <v>12</v>
      </c>
      <c r="D38" s="19"/>
      <c r="E38" s="19"/>
      <c r="F38" s="30"/>
      <c r="G38" s="19"/>
      <c r="H38" s="15"/>
    </row>
    <row r="39" spans="1:8" hidden="1" x14ac:dyDescent="0.2">
      <c r="A39" s="3"/>
      <c r="B39" s="33"/>
      <c r="C39" s="10"/>
      <c r="D39" s="19"/>
      <c r="E39" s="19"/>
      <c r="F39" s="34"/>
      <c r="G39" s="19"/>
      <c r="H39" s="15"/>
    </row>
    <row r="40" spans="1:8" hidden="1" x14ac:dyDescent="0.2">
      <c r="A40" s="3"/>
      <c r="B40" s="33"/>
      <c r="C40" s="10"/>
      <c r="D40" s="19"/>
      <c r="E40" s="19"/>
      <c r="F40" s="34"/>
      <c r="G40" s="19"/>
      <c r="H40" s="15"/>
    </row>
    <row r="41" spans="1:8" hidden="1" x14ac:dyDescent="0.2">
      <c r="B41" s="4"/>
      <c r="C41" s="10"/>
      <c r="D41" s="19"/>
      <c r="E41" s="19"/>
      <c r="F41" s="34"/>
      <c r="G41" s="19"/>
      <c r="H41" s="15"/>
    </row>
    <row r="42" spans="1:8" hidden="1" x14ac:dyDescent="0.2">
      <c r="B42" s="4"/>
      <c r="C42" s="10"/>
      <c r="D42" s="19"/>
      <c r="E42" s="19"/>
      <c r="F42" s="34"/>
      <c r="G42" s="19"/>
      <c r="H42" s="15"/>
    </row>
    <row r="43" spans="1:8" hidden="1" x14ac:dyDescent="0.2">
      <c r="B43" s="4"/>
      <c r="C43" s="10"/>
      <c r="D43" s="19"/>
      <c r="E43" s="19"/>
      <c r="F43" s="34"/>
      <c r="G43" s="19"/>
      <c r="H43" s="15"/>
    </row>
    <row r="44" spans="1:8" hidden="1" x14ac:dyDescent="0.2">
      <c r="B44" s="4"/>
      <c r="C44" s="10"/>
      <c r="D44" s="19"/>
      <c r="E44" s="19"/>
      <c r="F44" s="34"/>
      <c r="G44" s="19"/>
      <c r="H44" s="15"/>
    </row>
    <row r="45" spans="1:8" hidden="1" x14ac:dyDescent="0.2">
      <c r="B45" s="4"/>
      <c r="C45" s="10" t="s">
        <v>13</v>
      </c>
      <c r="D45" s="19"/>
      <c r="E45" s="19"/>
      <c r="F45" s="31"/>
      <c r="G45" s="19"/>
      <c r="H45" s="15"/>
    </row>
    <row r="46" spans="1:8" hidden="1" x14ac:dyDescent="0.2">
      <c r="B46" s="4"/>
      <c r="F46" s="28"/>
      <c r="H46" s="15"/>
    </row>
    <row r="47" spans="1:8" hidden="1" x14ac:dyDescent="0.2">
      <c r="B47" s="4"/>
      <c r="C47" s="10" t="s">
        <v>14</v>
      </c>
      <c r="D47" s="19"/>
      <c r="E47" s="19"/>
      <c r="F47" s="28"/>
      <c r="G47" s="19"/>
      <c r="H47" s="15"/>
    </row>
    <row r="48" spans="1:8" ht="409.5" hidden="1" x14ac:dyDescent="0.2">
      <c r="B48" s="4"/>
      <c r="C48" s="19"/>
      <c r="D48" s="19"/>
      <c r="E48" s="19"/>
      <c r="F48" s="30" t="s">
        <v>3723</v>
      </c>
      <c r="G48" s="19"/>
      <c r="H48" s="15"/>
    </row>
    <row r="49" spans="2:8" hidden="1" x14ac:dyDescent="0.2">
      <c r="B49" s="4"/>
      <c r="C49" s="19"/>
      <c r="D49" s="19"/>
      <c r="E49" s="19"/>
      <c r="F49" s="34"/>
      <c r="G49" s="19"/>
      <c r="H49" s="15"/>
    </row>
    <row r="50" spans="2:8" hidden="1" x14ac:dyDescent="0.2">
      <c r="B50" s="4"/>
      <c r="F50" s="34"/>
      <c r="H50" s="15"/>
    </row>
    <row r="51" spans="2:8" hidden="1" x14ac:dyDescent="0.2">
      <c r="B51" s="4"/>
      <c r="F51" s="34"/>
      <c r="H51" s="15"/>
    </row>
    <row r="52" spans="2:8" hidden="1" x14ac:dyDescent="0.2">
      <c r="B52" s="4"/>
      <c r="F52" s="34"/>
      <c r="H52" s="15"/>
    </row>
    <row r="53" spans="2:8" hidden="1" x14ac:dyDescent="0.2">
      <c r="B53" s="4"/>
      <c r="F53" s="34"/>
      <c r="H53" s="15"/>
    </row>
    <row r="54" spans="2:8" hidden="1" x14ac:dyDescent="0.2">
      <c r="B54" s="4"/>
      <c r="F54" s="34"/>
      <c r="H54" s="15"/>
    </row>
    <row r="55" spans="2:8" hidden="1" x14ac:dyDescent="0.2">
      <c r="B55" s="4"/>
      <c r="F55" s="34"/>
      <c r="H55" s="15"/>
    </row>
    <row r="56" spans="2:8" hidden="1" x14ac:dyDescent="0.2">
      <c r="B56" s="4"/>
      <c r="F56" s="34"/>
      <c r="H56" s="15"/>
    </row>
    <row r="57" spans="2:8" hidden="1" x14ac:dyDescent="0.2">
      <c r="B57" s="4"/>
      <c r="F57" s="34"/>
      <c r="H57" s="15"/>
    </row>
    <row r="58" spans="2:8" hidden="1" x14ac:dyDescent="0.2">
      <c r="B58" s="4"/>
      <c r="F58" s="34"/>
      <c r="H58" s="15"/>
    </row>
    <row r="59" spans="2:8" hidden="1" x14ac:dyDescent="0.2">
      <c r="B59" s="35"/>
      <c r="F59" s="34"/>
      <c r="H59" s="15"/>
    </row>
    <row r="60" spans="2:8" hidden="1" x14ac:dyDescent="0.2">
      <c r="B60" s="35"/>
      <c r="F60" s="34"/>
      <c r="H60" s="15"/>
    </row>
    <row r="61" spans="2:8" hidden="1" x14ac:dyDescent="0.2">
      <c r="B61" s="35"/>
      <c r="F61" s="34"/>
      <c r="H61" s="15"/>
    </row>
    <row r="62" spans="2:8" hidden="1" x14ac:dyDescent="0.2">
      <c r="B62" s="4"/>
      <c r="F62" s="34"/>
      <c r="H62" s="15"/>
    </row>
    <row r="63" spans="2:8" hidden="1" x14ac:dyDescent="0.2">
      <c r="B63" s="4"/>
      <c r="F63" s="34"/>
      <c r="H63" s="15"/>
    </row>
    <row r="64" spans="2:8" hidden="1" x14ac:dyDescent="0.2">
      <c r="B64" s="4"/>
      <c r="F64" s="34"/>
      <c r="H64" s="15"/>
    </row>
    <row r="65" spans="1:17" hidden="1" x14ac:dyDescent="0.2">
      <c r="B65" s="4"/>
      <c r="F65" s="34"/>
      <c r="H65" s="15"/>
    </row>
    <row r="66" spans="1:17" hidden="1" x14ac:dyDescent="0.2">
      <c r="B66" s="4"/>
      <c r="F66" s="34"/>
      <c r="H66" s="15"/>
    </row>
    <row r="67" spans="1:17" hidden="1" x14ac:dyDescent="0.2">
      <c r="B67" s="4"/>
      <c r="F67" s="34"/>
      <c r="H67" s="15"/>
    </row>
    <row r="68" spans="1:17" hidden="1" x14ac:dyDescent="0.2">
      <c r="B68" s="4"/>
      <c r="F68" s="34"/>
      <c r="H68" s="15"/>
    </row>
    <row r="69" spans="1:17" hidden="1" x14ac:dyDescent="0.2">
      <c r="B69" s="4"/>
      <c r="F69" s="34"/>
      <c r="H69" s="15"/>
    </row>
    <row r="70" spans="1:17" hidden="1" x14ac:dyDescent="0.2">
      <c r="B70" s="4"/>
      <c r="F70" s="31"/>
      <c r="H70" s="15"/>
    </row>
    <row r="71" spans="1:17" hidden="1" x14ac:dyDescent="0.2">
      <c r="B71" s="4"/>
      <c r="H71" s="15"/>
    </row>
    <row r="72" spans="1:17" hidden="1" x14ac:dyDescent="0.2">
      <c r="B72" s="36"/>
      <c r="C72" s="37"/>
      <c r="D72" s="37"/>
      <c r="E72" s="37"/>
      <c r="F72" s="37"/>
      <c r="G72" s="37"/>
      <c r="H72" s="38"/>
    </row>
    <row r="73" spans="1:17" s="2" customFormat="1" ht="13.5" thickBot="1" x14ac:dyDescent="0.25">
      <c r="A73" s="59"/>
      <c r="B73" s="55"/>
      <c r="C73" s="55"/>
      <c r="D73" s="55"/>
      <c r="E73" s="55"/>
      <c r="F73" s="55"/>
      <c r="G73" s="55"/>
      <c r="H73" s="55"/>
      <c r="I73" s="55"/>
      <c r="J73" s="8"/>
      <c r="K73" s="8"/>
      <c r="L73" s="8"/>
      <c r="M73" s="8"/>
      <c r="N73" s="8"/>
      <c r="O73" s="8"/>
      <c r="P73" s="8"/>
      <c r="Q73" s="8"/>
    </row>
    <row r="74" spans="1:17" s="2" customFormat="1" ht="20.25" customHeight="1" x14ac:dyDescent="0.2">
      <c r="A74" s="59"/>
      <c r="B74" s="60"/>
      <c r="C74" s="61"/>
      <c r="D74" s="89" t="s">
        <v>53</v>
      </c>
      <c r="E74" s="90"/>
      <c r="F74" s="61"/>
      <c r="G74" s="61"/>
      <c r="H74" s="61"/>
      <c r="I74" s="62"/>
      <c r="J74" s="8"/>
      <c r="K74" s="8"/>
      <c r="L74" s="8"/>
      <c r="M74" s="8"/>
      <c r="N74" s="8"/>
      <c r="O74" s="8"/>
      <c r="P74" s="8"/>
      <c r="Q74" s="8"/>
    </row>
    <row r="75" spans="1:17" s="2" customFormat="1" ht="44.25" customHeight="1" x14ac:dyDescent="0.2">
      <c r="A75" s="59"/>
      <c r="B75" s="63"/>
      <c r="C75" s="54"/>
      <c r="D75" s="91" t="s">
        <v>54</v>
      </c>
      <c r="E75" s="92"/>
      <c r="F75" s="54"/>
      <c r="G75" s="54"/>
      <c r="H75" s="54"/>
      <c r="I75" s="64"/>
      <c r="J75" s="8"/>
      <c r="K75" s="8"/>
      <c r="L75" s="8"/>
      <c r="M75" s="8"/>
      <c r="N75" s="8"/>
      <c r="O75" s="8"/>
      <c r="P75" s="8"/>
      <c r="Q75" s="8"/>
    </row>
    <row r="76" spans="1:17" s="2" customFormat="1" x14ac:dyDescent="0.2">
      <c r="A76" s="59"/>
      <c r="B76" s="63"/>
      <c r="C76" s="65"/>
      <c r="D76" s="1194" t="s">
        <v>3821</v>
      </c>
      <c r="E76" s="65"/>
      <c r="F76" s="65"/>
      <c r="G76" s="65"/>
      <c r="H76" s="65"/>
      <c r="I76" s="66"/>
      <c r="J76" s="8"/>
      <c r="K76" s="8"/>
      <c r="L76" s="8"/>
      <c r="M76" s="8"/>
      <c r="N76" s="8"/>
      <c r="O76" s="8"/>
      <c r="P76" s="8"/>
      <c r="Q76" s="8"/>
    </row>
    <row r="77" spans="1:17" s="2" customFormat="1" x14ac:dyDescent="0.2">
      <c r="A77" s="59"/>
      <c r="B77" s="63"/>
      <c r="C77" s="65"/>
      <c r="D77" s="1193" t="s">
        <v>3822</v>
      </c>
      <c r="E77" s="65"/>
      <c r="F77" s="65"/>
      <c r="G77" s="65"/>
      <c r="H77" s="65"/>
      <c r="I77" s="66"/>
      <c r="J77" s="8"/>
      <c r="K77" s="8"/>
      <c r="L77" s="8"/>
      <c r="M77" s="8"/>
      <c r="N77" s="8"/>
      <c r="O77" s="8"/>
      <c r="P77" s="8"/>
      <c r="Q77" s="8"/>
    </row>
    <row r="78" spans="1:17" s="2" customFormat="1" x14ac:dyDescent="0.2">
      <c r="A78" s="59"/>
      <c r="B78" s="63"/>
      <c r="C78" s="65"/>
      <c r="D78" s="65"/>
      <c r="E78" s="65"/>
      <c r="F78" s="65"/>
      <c r="G78" s="65"/>
      <c r="H78" s="65"/>
      <c r="I78" s="66"/>
      <c r="J78" s="8"/>
      <c r="K78" s="8"/>
      <c r="L78" s="8"/>
      <c r="M78" s="8"/>
      <c r="N78" s="8"/>
      <c r="O78" s="8"/>
      <c r="P78" s="8"/>
      <c r="Q78" s="8"/>
    </row>
    <row r="79" spans="1:17" s="2" customFormat="1" ht="26.25" x14ac:dyDescent="0.4">
      <c r="A79" s="59"/>
      <c r="B79" s="67"/>
      <c r="C79" s="65"/>
      <c r="D79" s="65"/>
      <c r="E79" s="65"/>
      <c r="F79" s="65"/>
      <c r="G79" s="65"/>
      <c r="H79" s="65"/>
      <c r="I79" s="66"/>
      <c r="J79" s="8"/>
      <c r="K79" s="8"/>
      <c r="L79" s="8"/>
      <c r="M79" s="8"/>
      <c r="N79" s="8"/>
      <c r="O79" s="8"/>
      <c r="P79" s="8"/>
      <c r="Q79" s="8"/>
    </row>
    <row r="80" spans="1:17" s="2" customFormat="1" ht="36" customHeight="1" x14ac:dyDescent="0.4">
      <c r="A80" s="59"/>
      <c r="B80" s="67"/>
      <c r="C80" s="1242" t="str">
        <f>OrgName &amp; " (" &amp; Orgcode &amp; ")"</f>
        <v>ZZZ NHS TRUST (ZZZ)</v>
      </c>
      <c r="D80" s="1242"/>
      <c r="E80" s="1242"/>
      <c r="F80" s="1242"/>
      <c r="G80" s="1242"/>
      <c r="H80" s="1242"/>
      <c r="I80" s="68"/>
      <c r="J80" s="57"/>
      <c r="K80" s="8"/>
      <c r="L80" s="8"/>
      <c r="M80" s="8"/>
      <c r="N80" s="8"/>
      <c r="O80" s="8"/>
      <c r="P80" s="8"/>
      <c r="Q80" s="8"/>
    </row>
    <row r="81" spans="1:17" s="2" customFormat="1" ht="15.75" x14ac:dyDescent="0.25">
      <c r="A81" s="59"/>
      <c r="B81" s="70"/>
      <c r="C81" s="65"/>
      <c r="D81" s="65"/>
      <c r="E81" s="65"/>
      <c r="F81" s="65"/>
      <c r="G81" s="65"/>
      <c r="H81" s="65"/>
      <c r="I81" s="66"/>
      <c r="J81" s="8"/>
      <c r="K81" s="8"/>
      <c r="L81" s="8"/>
      <c r="M81" s="8"/>
      <c r="N81" s="8"/>
      <c r="O81" s="8"/>
      <c r="P81" s="8"/>
      <c r="Q81" s="8"/>
    </row>
    <row r="82" spans="1:17" s="2" customFormat="1" ht="30" customHeight="1" x14ac:dyDescent="0.35">
      <c r="A82" s="59"/>
      <c r="B82" s="70"/>
      <c r="C82" s="1242" t="s">
        <v>3725</v>
      </c>
      <c r="D82" s="1242"/>
      <c r="E82" s="1242"/>
      <c r="F82" s="1242"/>
      <c r="G82" s="1242"/>
      <c r="H82" s="1242"/>
      <c r="I82" s="68"/>
      <c r="J82" s="57"/>
      <c r="K82" s="8"/>
      <c r="L82" s="8"/>
      <c r="M82" s="8"/>
      <c r="N82" s="8"/>
      <c r="O82" s="8"/>
      <c r="P82" s="8"/>
      <c r="Q82" s="8"/>
    </row>
    <row r="83" spans="1:17" s="2" customFormat="1" ht="15.75" x14ac:dyDescent="0.25">
      <c r="A83" s="59"/>
      <c r="B83" s="70"/>
      <c r="C83" s="65"/>
      <c r="D83" s="65"/>
      <c r="E83" s="65"/>
      <c r="F83" s="65"/>
      <c r="G83" s="65"/>
      <c r="H83" s="65"/>
      <c r="I83" s="66"/>
      <c r="J83" s="8"/>
      <c r="K83" s="8"/>
      <c r="L83" s="8"/>
      <c r="M83" s="8"/>
      <c r="N83" s="8"/>
      <c r="O83" s="8"/>
      <c r="P83" s="8"/>
      <c r="Q83" s="8"/>
    </row>
    <row r="84" spans="1:17" s="2" customFormat="1" ht="18.75" customHeight="1" x14ac:dyDescent="0.25">
      <c r="A84" s="59"/>
      <c r="B84" s="70"/>
      <c r="C84" s="65"/>
      <c r="D84" s="71" t="s">
        <v>46</v>
      </c>
      <c r="E84" s="65"/>
      <c r="F84" s="1094" t="s">
        <v>3724</v>
      </c>
      <c r="G84" s="65"/>
      <c r="H84" s="71"/>
      <c r="I84" s="66"/>
      <c r="J84" s="8"/>
      <c r="K84" s="8"/>
      <c r="L84" s="8"/>
      <c r="M84" s="8"/>
      <c r="N84" s="8"/>
      <c r="O84" s="8"/>
      <c r="P84" s="8"/>
      <c r="Q84" s="8"/>
    </row>
    <row r="85" spans="1:17" s="2" customFormat="1" ht="18.75" customHeight="1" x14ac:dyDescent="0.2">
      <c r="A85" s="59"/>
      <c r="B85" s="69"/>
      <c r="C85" s="65"/>
      <c r="D85" s="65"/>
      <c r="E85" s="65"/>
      <c r="F85" s="65"/>
      <c r="G85" s="65"/>
      <c r="H85" s="65"/>
      <c r="I85" s="66"/>
      <c r="J85" s="8"/>
      <c r="K85" s="8"/>
      <c r="L85" s="8"/>
      <c r="M85" s="8"/>
      <c r="N85" s="8"/>
      <c r="O85" s="8"/>
      <c r="P85" s="8"/>
      <c r="Q85" s="8"/>
    </row>
    <row r="86" spans="1:17" s="2" customFormat="1" ht="18.75" customHeight="1" x14ac:dyDescent="0.25">
      <c r="A86" s="59"/>
      <c r="B86" s="70"/>
      <c r="C86" s="72" t="s">
        <v>27</v>
      </c>
      <c r="D86" s="1238"/>
      <c r="E86" s="1239"/>
      <c r="F86" s="1095" t="str">
        <f>IF(D86="","x","")</f>
        <v>x</v>
      </c>
      <c r="G86" s="82" t="s">
        <v>28</v>
      </c>
      <c r="H86" s="84"/>
      <c r="I86" s="66"/>
      <c r="J86" s="8"/>
      <c r="K86" s="8"/>
      <c r="L86" s="8"/>
      <c r="M86" s="8"/>
      <c r="N86" s="8"/>
      <c r="O86" s="8"/>
      <c r="P86" s="8"/>
      <c r="Q86" s="8"/>
    </row>
    <row r="87" spans="1:17" s="2" customFormat="1" ht="18.75" customHeight="1" x14ac:dyDescent="0.25">
      <c r="A87" s="59"/>
      <c r="B87" s="70"/>
      <c r="C87" s="65" t="s">
        <v>23</v>
      </c>
      <c r="D87" s="65"/>
      <c r="E87" s="65"/>
      <c r="F87" s="65"/>
      <c r="G87" s="82" t="s">
        <v>29</v>
      </c>
      <c r="H87" s="84"/>
      <c r="I87" s="66"/>
      <c r="J87" s="8"/>
      <c r="K87" s="8"/>
      <c r="L87" s="8"/>
      <c r="M87" s="8"/>
      <c r="N87" s="8"/>
      <c r="O87" s="8"/>
      <c r="P87" s="8"/>
      <c r="Q87" s="8"/>
    </row>
    <row r="88" spans="1:17" s="2" customFormat="1" ht="18.75" customHeight="1" x14ac:dyDescent="0.25">
      <c r="A88" s="59"/>
      <c r="B88" s="70"/>
      <c r="C88" s="72" t="s">
        <v>30</v>
      </c>
      <c r="D88" s="1238"/>
      <c r="E88" s="1239"/>
      <c r="F88" s="1095" t="str">
        <f>IF(D88="","x","")</f>
        <v>x</v>
      </c>
      <c r="G88" s="82" t="s">
        <v>31</v>
      </c>
      <c r="H88" s="84"/>
      <c r="I88" s="66"/>
      <c r="J88" s="8"/>
      <c r="K88" s="8"/>
      <c r="L88" s="8"/>
      <c r="M88" s="8"/>
      <c r="N88" s="8"/>
      <c r="O88" s="8"/>
      <c r="P88" s="8"/>
      <c r="Q88" s="8"/>
    </row>
    <row r="89" spans="1:17" s="2" customFormat="1" ht="18.75" customHeight="1" x14ac:dyDescent="0.25">
      <c r="A89" s="59"/>
      <c r="B89" s="70"/>
      <c r="C89" s="65"/>
      <c r="D89" s="65"/>
      <c r="E89" s="65"/>
      <c r="F89" s="65"/>
      <c r="G89" s="83" t="s">
        <v>32</v>
      </c>
      <c r="H89" s="85"/>
      <c r="I89" s="66"/>
      <c r="J89" s="56"/>
      <c r="K89" s="56"/>
      <c r="L89" s="56"/>
      <c r="M89" s="56"/>
      <c r="N89" s="8"/>
      <c r="O89" s="8"/>
      <c r="P89" s="8"/>
      <c r="Q89" s="8"/>
    </row>
    <row r="90" spans="1:17" s="2" customFormat="1" ht="18.75" customHeight="1" x14ac:dyDescent="0.25">
      <c r="A90" s="59"/>
      <c r="B90" s="70"/>
      <c r="C90" s="72" t="s">
        <v>33</v>
      </c>
      <c r="D90" s="1238"/>
      <c r="E90" s="1239"/>
      <c r="F90" s="1095" t="str">
        <f>IF(D90="","x","")</f>
        <v>x</v>
      </c>
      <c r="G90" s="82" t="s">
        <v>29</v>
      </c>
      <c r="H90" s="84"/>
      <c r="I90" s="66"/>
      <c r="J90" s="56"/>
      <c r="K90" s="56"/>
      <c r="L90" s="56"/>
      <c r="M90" s="56"/>
      <c r="N90" s="8"/>
      <c r="O90" s="8"/>
      <c r="P90" s="8"/>
      <c r="Q90" s="8"/>
    </row>
    <row r="91" spans="1:17" s="2" customFormat="1" ht="18.75" customHeight="1" x14ac:dyDescent="0.2">
      <c r="A91" s="59"/>
      <c r="B91" s="69"/>
      <c r="C91" s="74"/>
      <c r="D91" s="65"/>
      <c r="E91" s="65"/>
      <c r="F91" s="65"/>
      <c r="G91" s="82" t="s">
        <v>31</v>
      </c>
      <c r="H91" s="84"/>
      <c r="I91" s="66"/>
      <c r="J91" s="56"/>
      <c r="K91" s="56"/>
      <c r="L91" s="56"/>
      <c r="M91" s="56"/>
      <c r="N91" s="8"/>
      <c r="O91" s="8"/>
      <c r="P91" s="8"/>
      <c r="Q91" s="8"/>
    </row>
    <row r="92" spans="1:17" s="2" customFormat="1" ht="18.75" customHeight="1" x14ac:dyDescent="0.25">
      <c r="A92" s="59"/>
      <c r="B92" s="70"/>
      <c r="C92" s="72" t="s">
        <v>34</v>
      </c>
      <c r="D92" s="1238"/>
      <c r="E92" s="1239"/>
      <c r="F92" s="1095" t="str">
        <f>IF(D92="","x","")</f>
        <v>x</v>
      </c>
      <c r="G92" s="65"/>
      <c r="H92" s="65"/>
      <c r="I92" s="66"/>
      <c r="J92" s="56"/>
      <c r="K92" s="56"/>
      <c r="L92" s="56"/>
      <c r="M92" s="56"/>
      <c r="N92" s="8"/>
      <c r="O92" s="8"/>
      <c r="P92" s="8"/>
      <c r="Q92" s="8"/>
    </row>
    <row r="93" spans="1:17" s="2" customFormat="1" ht="18.75" customHeight="1" x14ac:dyDescent="0.25">
      <c r="A93" s="59"/>
      <c r="B93" s="70"/>
      <c r="C93" s="65"/>
      <c r="D93" s="65"/>
      <c r="E93" s="65"/>
      <c r="F93" s="65"/>
      <c r="G93" s="65"/>
      <c r="H93" s="71" t="s">
        <v>48</v>
      </c>
      <c r="I93" s="66"/>
      <c r="J93" s="56"/>
      <c r="K93" s="56"/>
      <c r="L93" s="56"/>
      <c r="M93" s="56"/>
      <c r="N93" s="8"/>
      <c r="O93" s="8"/>
      <c r="P93" s="8"/>
      <c r="Q93" s="8"/>
    </row>
    <row r="94" spans="1:17" s="2" customFormat="1" ht="18.75" customHeight="1" x14ac:dyDescent="0.25">
      <c r="A94" s="59"/>
      <c r="B94" s="70"/>
      <c r="C94" s="72" t="s">
        <v>35</v>
      </c>
      <c r="D94" s="1240"/>
      <c r="E94" s="1241"/>
      <c r="F94" s="1095" t="str">
        <f>IF(D94="","x","")</f>
        <v>x</v>
      </c>
      <c r="G94" s="73" t="s">
        <v>36</v>
      </c>
      <c r="H94" s="71" t="s">
        <v>37</v>
      </c>
      <c r="I94" s="66"/>
      <c r="J94" s="56"/>
      <c r="K94" s="56"/>
      <c r="L94" s="56"/>
      <c r="M94" s="56"/>
      <c r="N94" s="8"/>
      <c r="O94" s="8"/>
      <c r="P94" s="8"/>
      <c r="Q94" s="8"/>
    </row>
    <row r="95" spans="1:17" s="2" customFormat="1" ht="18.75" customHeight="1" x14ac:dyDescent="0.25">
      <c r="A95" s="59"/>
      <c r="B95" s="70"/>
      <c r="C95" s="65"/>
      <c r="D95" s="65"/>
      <c r="E95" s="65"/>
      <c r="F95" s="65"/>
      <c r="G95" s="73" t="s">
        <v>29</v>
      </c>
      <c r="H95" s="86" t="s">
        <v>49</v>
      </c>
      <c r="I95" s="66"/>
      <c r="J95" s="56"/>
      <c r="K95" s="56"/>
      <c r="L95" s="56"/>
      <c r="M95" s="56"/>
      <c r="N95" s="8"/>
      <c r="O95" s="8"/>
      <c r="P95" s="8"/>
      <c r="Q95" s="8"/>
    </row>
    <row r="96" spans="1:17" s="2" customFormat="1" ht="18.75" customHeight="1" x14ac:dyDescent="0.25">
      <c r="A96" s="59"/>
      <c r="B96" s="70"/>
      <c r="C96" s="72"/>
      <c r="D96" s="65"/>
      <c r="E96" s="65"/>
      <c r="F96" s="65"/>
      <c r="G96" s="65"/>
      <c r="H96" s="65"/>
      <c r="I96" s="66"/>
      <c r="J96" s="56"/>
      <c r="K96" s="56"/>
      <c r="L96" s="56"/>
      <c r="M96" s="56"/>
      <c r="N96" s="8"/>
      <c r="O96" s="8"/>
      <c r="P96" s="8"/>
      <c r="Q96" s="8"/>
    </row>
    <row r="97" spans="1:17" s="2" customFormat="1" ht="18.75" customHeight="1" x14ac:dyDescent="0.25">
      <c r="A97" s="59"/>
      <c r="B97" s="69"/>
      <c r="C97" s="72"/>
      <c r="D97" s="72" t="s">
        <v>52</v>
      </c>
      <c r="E97" s="94"/>
      <c r="F97" s="65"/>
      <c r="G97" s="73" t="s">
        <v>38</v>
      </c>
      <c r="H97" s="80" t="str">
        <f>IF(ROCode="Y54","North of England",IF(ROCode="Y55","Midlands and East",IF(ROCode="Y56","London",IF(ROCode="Y57","South of England","Dummy Region"))))</f>
        <v>Dummy Region</v>
      </c>
      <c r="I97" s="66"/>
      <c r="J97" s="56"/>
      <c r="K97" s="56"/>
      <c r="L97" s="56"/>
      <c r="M97" s="56"/>
      <c r="N97" s="8"/>
      <c r="O97" s="8"/>
      <c r="P97" s="8"/>
      <c r="Q97" s="8"/>
    </row>
    <row r="98" spans="1:17" s="2" customFormat="1" ht="18.75" customHeight="1" x14ac:dyDescent="0.25">
      <c r="A98" s="59"/>
      <c r="B98" s="70"/>
      <c r="C98" s="72"/>
      <c r="D98" s="72" t="str">
        <f>IF(E98&gt;0,"L1 Validation Explanation Status - Unexplained Errors","L1 Validation  Explanation Status - OK")</f>
        <v>L1 Validation  Explanation Status - OK</v>
      </c>
      <c r="E98" s="95"/>
      <c r="F98" s="65"/>
      <c r="G98" s="65"/>
      <c r="H98" s="65"/>
      <c r="I98" s="66"/>
      <c r="J98" s="56"/>
      <c r="K98" s="56"/>
      <c r="L98" s="56"/>
      <c r="M98" s="56"/>
      <c r="N98" s="8"/>
      <c r="O98" s="8"/>
      <c r="P98" s="8"/>
      <c r="Q98" s="8"/>
    </row>
    <row r="99" spans="1:17" s="2" customFormat="1" ht="18.75" customHeight="1" x14ac:dyDescent="0.25">
      <c r="A99" s="59"/>
      <c r="B99" s="70"/>
      <c r="C99" s="75"/>
      <c r="D99" s="72" t="str">
        <f>IF(E99&gt;0,"L2 Validation Explanation Status - Unexplained Errors","L2 Validation  Explanation Status - OK")</f>
        <v>L2 Validation  Explanation Status - OK</v>
      </c>
      <c r="E99" s="95"/>
      <c r="F99" s="65"/>
      <c r="G99" s="65"/>
      <c r="H99" s="65"/>
      <c r="I99" s="66"/>
      <c r="J99" s="56"/>
      <c r="K99" s="56"/>
      <c r="L99" s="56"/>
      <c r="M99" s="56"/>
      <c r="N99" s="8"/>
      <c r="O99" s="8"/>
      <c r="P99" s="8"/>
      <c r="Q99" s="8"/>
    </row>
    <row r="100" spans="1:17" s="2" customFormat="1" ht="18.75" customHeight="1" x14ac:dyDescent="0.25">
      <c r="A100" s="59"/>
      <c r="B100" s="70"/>
      <c r="C100"/>
      <c r="D100"/>
      <c r="E100"/>
      <c r="F100" s="65"/>
      <c r="G100" s="73" t="s">
        <v>40</v>
      </c>
      <c r="H100" s="88" t="s">
        <v>56</v>
      </c>
      <c r="I100" s="66"/>
      <c r="J100" s="56"/>
      <c r="K100" s="56"/>
      <c r="L100" s="56"/>
      <c r="M100" s="56"/>
      <c r="N100" s="8"/>
      <c r="O100" s="8"/>
      <c r="P100" s="8"/>
      <c r="Q100" s="8"/>
    </row>
    <row r="101" spans="1:17" s="2" customFormat="1" ht="18.75" customHeight="1" x14ac:dyDescent="0.25">
      <c r="A101" s="59"/>
      <c r="B101" s="70"/>
      <c r="C101" s="71" t="s">
        <v>39</v>
      </c>
      <c r="D101" s="65"/>
      <c r="E101" s="65"/>
      <c r="F101" s="65"/>
      <c r="G101" s="73" t="s">
        <v>41</v>
      </c>
      <c r="H101" s="93" t="s">
        <v>42</v>
      </c>
      <c r="I101" s="66"/>
      <c r="J101" s="56"/>
      <c r="K101" s="56"/>
      <c r="L101" s="56"/>
      <c r="M101" s="56"/>
      <c r="N101" s="8"/>
      <c r="O101" s="8"/>
      <c r="P101" s="8"/>
      <c r="Q101" s="8"/>
    </row>
    <row r="102" spans="1:17" s="2" customFormat="1" ht="18.75" customHeight="1" x14ac:dyDescent="0.25">
      <c r="A102" s="59"/>
      <c r="B102" s="70"/>
      <c r="C102" s="65"/>
      <c r="D102" s="65"/>
      <c r="E102" s="65"/>
      <c r="F102" s="65"/>
      <c r="G102" s="73" t="s">
        <v>43</v>
      </c>
      <c r="H102" s="81" t="str">
        <f>Orgcode</f>
        <v>ZZZ</v>
      </c>
      <c r="I102" s="79"/>
      <c r="J102" s="56"/>
      <c r="K102" s="56"/>
      <c r="L102" s="56"/>
      <c r="M102" s="56"/>
      <c r="N102" s="8"/>
      <c r="O102" s="8"/>
      <c r="P102" s="8"/>
      <c r="Q102" s="8"/>
    </row>
    <row r="103" spans="1:17" s="2" customFormat="1" ht="18.75" customHeight="1" x14ac:dyDescent="0.25">
      <c r="A103" s="59"/>
      <c r="B103" s="70"/>
      <c r="C103" s="72" t="s">
        <v>27</v>
      </c>
      <c r="D103" s="1238"/>
      <c r="E103" s="1239"/>
      <c r="F103" s="1095" t="str">
        <f>IF(D103="","x","")</f>
        <v>x</v>
      </c>
      <c r="G103" s="73" t="s">
        <v>44</v>
      </c>
      <c r="H103" s="1180" t="s">
        <v>3813</v>
      </c>
      <c r="I103" s="79"/>
      <c r="J103" s="56"/>
      <c r="K103" s="56"/>
      <c r="L103" s="56"/>
      <c r="M103" s="56"/>
      <c r="N103" s="8"/>
      <c r="O103" s="8"/>
      <c r="P103" s="8"/>
      <c r="Q103" s="8"/>
    </row>
    <row r="104" spans="1:17" s="2" customFormat="1" ht="18.75" customHeight="1" x14ac:dyDescent="0.25">
      <c r="A104" s="59"/>
      <c r="B104" s="70"/>
      <c r="C104" s="65"/>
      <c r="D104" s="65"/>
      <c r="E104" s="65"/>
      <c r="F104" s="65"/>
      <c r="G104" s="73" t="s">
        <v>47</v>
      </c>
      <c r="H104" s="1186"/>
      <c r="I104" s="79"/>
      <c r="J104" s="8"/>
      <c r="K104" s="8"/>
      <c r="L104" s="8"/>
      <c r="M104" s="8"/>
      <c r="N104" s="8"/>
      <c r="O104" s="8"/>
      <c r="P104" s="8"/>
      <c r="Q104" s="8"/>
    </row>
    <row r="105" spans="1:17" s="2" customFormat="1" ht="18.75" customHeight="1" x14ac:dyDescent="0.25">
      <c r="A105" s="59"/>
      <c r="B105" s="70"/>
      <c r="C105" s="72" t="s">
        <v>30</v>
      </c>
      <c r="D105" s="1238"/>
      <c r="E105" s="1239"/>
      <c r="F105" s="1095" t="str">
        <f>IF(D105="","x","")</f>
        <v>x</v>
      </c>
      <c r="G105" s="76"/>
      <c r="H105" s="1181"/>
      <c r="I105" s="66"/>
      <c r="J105" s="8"/>
      <c r="K105" s="8"/>
      <c r="L105" s="8"/>
      <c r="M105" s="8"/>
      <c r="N105" s="8"/>
      <c r="O105" s="8"/>
      <c r="P105" s="8"/>
      <c r="Q105" s="8"/>
    </row>
    <row r="106" spans="1:17" s="2" customFormat="1" ht="18.75" customHeight="1" x14ac:dyDescent="0.25">
      <c r="A106" s="59"/>
      <c r="B106" s="70"/>
      <c r="C106" s="65"/>
      <c r="D106" s="65"/>
      <c r="E106" s="65"/>
      <c r="F106" s="65"/>
      <c r="G106" s="65"/>
      <c r="H106" s="65"/>
      <c r="I106" s="66"/>
      <c r="J106" s="8"/>
      <c r="K106" s="8"/>
      <c r="L106" s="8"/>
      <c r="M106" s="8"/>
      <c r="N106" s="8"/>
      <c r="O106" s="8"/>
      <c r="P106" s="8"/>
      <c r="Q106" s="8"/>
    </row>
    <row r="107" spans="1:17" s="2" customFormat="1" ht="55.5" customHeight="1" x14ac:dyDescent="0.25">
      <c r="A107" s="59"/>
      <c r="B107" s="70"/>
      <c r="C107" s="72" t="s">
        <v>26</v>
      </c>
      <c r="D107" s="1238"/>
      <c r="E107" s="1239"/>
      <c r="F107" s="65"/>
      <c r="G107" s="73" t="s">
        <v>45</v>
      </c>
      <c r="H107" s="87" t="s">
        <v>55</v>
      </c>
      <c r="I107" s="66"/>
      <c r="J107" s="8"/>
      <c r="K107" s="8"/>
      <c r="L107" s="8"/>
      <c r="M107" s="8"/>
      <c r="N107" s="8"/>
      <c r="O107" s="8"/>
      <c r="P107" s="8"/>
      <c r="Q107" s="8"/>
    </row>
    <row r="108" spans="1:17" s="2" customFormat="1" ht="36" customHeight="1" x14ac:dyDescent="0.25">
      <c r="A108" s="59"/>
      <c r="B108" s="70"/>
      <c r="C108" s="65"/>
      <c r="D108" s="65"/>
      <c r="E108" s="65"/>
      <c r="F108" s="65"/>
      <c r="G108" s="65"/>
      <c r="H108" s="65"/>
      <c r="I108" s="66"/>
      <c r="J108" s="8"/>
      <c r="K108" s="8"/>
      <c r="L108" s="8"/>
      <c r="M108" s="8"/>
      <c r="N108" s="8"/>
      <c r="O108" s="8"/>
      <c r="P108" s="8"/>
      <c r="Q108" s="8"/>
    </row>
    <row r="109" spans="1:17" s="2" customFormat="1" ht="13.5" thickBot="1" x14ac:dyDescent="0.25">
      <c r="A109" s="59"/>
      <c r="B109" s="77"/>
      <c r="C109" s="58"/>
      <c r="D109" s="58"/>
      <c r="E109" s="58"/>
      <c r="F109" s="58"/>
      <c r="G109" s="58"/>
      <c r="H109" s="58"/>
      <c r="I109" s="78"/>
      <c r="J109" s="8"/>
      <c r="K109" s="8"/>
      <c r="L109" s="8"/>
      <c r="M109" s="8">
        <f>COUNTIF(F86:F105,"x")</f>
        <v>7</v>
      </c>
      <c r="N109" s="8">
        <f>0</f>
        <v>0</v>
      </c>
      <c r="O109" s="8"/>
      <c r="P109" s="8"/>
      <c r="Q109" s="8"/>
    </row>
    <row r="110" spans="1:17" s="2" customFormat="1" x14ac:dyDescent="0.2">
      <c r="A110" s="22"/>
      <c r="F110" s="55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J111" s="19"/>
      <c r="K111" s="19"/>
      <c r="L111" s="19"/>
      <c r="M111" s="19"/>
      <c r="N111" s="19"/>
      <c r="O111" s="19"/>
      <c r="P111" s="19"/>
      <c r="Q111" s="19"/>
    </row>
    <row r="112" spans="1:17" x14ac:dyDescent="0.2">
      <c r="J112" s="19"/>
      <c r="K112" s="19"/>
      <c r="L112" s="19"/>
      <c r="M112" s="19"/>
      <c r="N112" s="19"/>
      <c r="O112" s="19"/>
      <c r="P112" s="19"/>
      <c r="Q112" s="19"/>
    </row>
    <row r="113" spans="10:17" x14ac:dyDescent="0.2">
      <c r="J113" s="19"/>
      <c r="K113" s="19"/>
      <c r="L113" s="19"/>
      <c r="M113" s="19"/>
      <c r="N113" s="19"/>
      <c r="O113" s="19"/>
      <c r="P113" s="19"/>
      <c r="Q113" s="19"/>
    </row>
    <row r="114" spans="10:17" x14ac:dyDescent="0.2">
      <c r="J114" s="19"/>
      <c r="K114" s="19"/>
      <c r="L114" s="19"/>
    </row>
    <row r="115" spans="10:17" x14ac:dyDescent="0.2">
      <c r="J115" s="19"/>
      <c r="K115" s="19"/>
      <c r="L115" s="19"/>
    </row>
    <row r="116" spans="10:17" x14ac:dyDescent="0.2">
      <c r="J116" s="19"/>
      <c r="K116" s="19"/>
      <c r="L116" s="19"/>
    </row>
    <row r="117" spans="10:17" x14ac:dyDescent="0.2">
      <c r="J117" s="19"/>
      <c r="K117" s="19"/>
      <c r="L117" s="19"/>
    </row>
    <row r="118" spans="10:17" x14ac:dyDescent="0.2">
      <c r="J118" s="19"/>
      <c r="K118" s="19"/>
      <c r="L118" s="19"/>
    </row>
    <row r="119" spans="10:17" x14ac:dyDescent="0.2">
      <c r="J119" s="19"/>
      <c r="K119" s="19"/>
      <c r="L119" s="19"/>
    </row>
    <row r="120" spans="10:17" x14ac:dyDescent="0.2">
      <c r="J120" s="19"/>
      <c r="K120" s="19"/>
      <c r="L120" s="19"/>
    </row>
  </sheetData>
  <mergeCells count="10">
    <mergeCell ref="C80:H80"/>
    <mergeCell ref="C82:H82"/>
    <mergeCell ref="D86:E86"/>
    <mergeCell ref="D88:E88"/>
    <mergeCell ref="D105:E105"/>
    <mergeCell ref="D107:E107"/>
    <mergeCell ref="D90:E90"/>
    <mergeCell ref="D92:E92"/>
    <mergeCell ref="D94:E94"/>
    <mergeCell ref="D103:E103"/>
  </mergeCells>
  <phoneticPr fontId="0" type="noConversion"/>
  <conditionalFormatting sqref="E99">
    <cfRule type="cellIs" dxfId="4" priority="9" operator="greaterThan">
      <formula>0</formula>
    </cfRule>
  </conditionalFormatting>
  <conditionalFormatting sqref="E98">
    <cfRule type="cellIs" dxfId="3" priority="5" operator="greaterThan">
      <formula>0</formula>
    </cfRule>
  </conditionalFormatting>
  <conditionalFormatting sqref="D98">
    <cfRule type="cellIs" dxfId="2" priority="4" operator="equal">
      <formula>"L1 Validation Explanation Status - Unexplained Errors"</formula>
    </cfRule>
  </conditionalFormatting>
  <conditionalFormatting sqref="D99">
    <cfRule type="cellIs" dxfId="1" priority="2" operator="equal">
      <formula>"L2 Validation Explanation Status - Unexplained Errors"</formula>
    </cfRule>
  </conditionalFormatting>
  <conditionalFormatting sqref="H101">
    <cfRule type="expression" dxfId="0" priority="1" stopIfTrue="1">
      <formula>#REF!=1</formula>
    </cfRule>
  </conditionalFormatting>
  <hyperlinks>
    <hyperlink ref="H95" r:id="rId1"/>
    <hyperlink ref="H101" r:id="rId2"/>
  </hyperlinks>
  <printOptions gridLinesSet="0"/>
  <pageMargins left="0.15748031496063" right="0.15748031496063" top="0.196850393700787" bottom="0.196850393700787" header="0.11811023622047198" footer="0.11811023622047198"/>
  <pageSetup paperSize="9" orientation="landscape" horizontalDpi="4294967292" verticalDpi="4294967292" r:id="rId3"/>
  <headerFooter alignWithMargins="0"/>
  <drawing r:id="rId4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CD81"/>
  <sheetViews>
    <sheetView zoomScale="70" zoomScaleNormal="70" workbookViewId="0"/>
  </sheetViews>
  <sheetFormatPr defaultRowHeight="12.75" x14ac:dyDescent="0.2"/>
  <sheetData>
    <row r="1" spans="1:82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2" x14ac:dyDescent="0.2">
      <c r="A2" t="s">
        <v>3727</v>
      </c>
    </row>
    <row r="3" spans="1:82" x14ac:dyDescent="0.2">
      <c r="A3" t="s">
        <v>3755</v>
      </c>
    </row>
    <row r="4" spans="1:82" x14ac:dyDescent="0.2">
      <c r="B4" t="s">
        <v>229</v>
      </c>
    </row>
    <row r="5" spans="1:82" x14ac:dyDescent="0.2">
      <c r="B5" t="s">
        <v>66</v>
      </c>
      <c r="CA5" t="s">
        <v>230</v>
      </c>
      <c r="CB5">
        <f>0</f>
        <v>0</v>
      </c>
    </row>
    <row r="6" spans="1:82" x14ac:dyDescent="0.2">
      <c r="CA6" t="s">
        <v>231</v>
      </c>
      <c r="CB6" t="s">
        <v>232</v>
      </c>
      <c r="CC6" t="s">
        <v>233</v>
      </c>
      <c r="CD6" t="s">
        <v>234</v>
      </c>
    </row>
    <row r="7" spans="1:82" x14ac:dyDescent="0.2">
      <c r="D7" t="s">
        <v>25</v>
      </c>
      <c r="E7" t="s">
        <v>235</v>
      </c>
      <c r="F7" t="s">
        <v>236</v>
      </c>
      <c r="BC7" t="s">
        <v>237</v>
      </c>
      <c r="CB7">
        <f>SUM(CB10:CB141)</f>
        <v>0</v>
      </c>
    </row>
    <row r="8" spans="1:82" x14ac:dyDescent="0.2">
      <c r="B8" t="s">
        <v>74</v>
      </c>
      <c r="C8" t="s">
        <v>238</v>
      </c>
      <c r="E8" t="s">
        <v>239</v>
      </c>
      <c r="F8" t="s">
        <v>240</v>
      </c>
      <c r="BC8" t="s">
        <v>241</v>
      </c>
    </row>
    <row r="9" spans="1:82" x14ac:dyDescent="0.2">
      <c r="C9" t="s">
        <v>242</v>
      </c>
      <c r="E9" t="s">
        <v>243</v>
      </c>
      <c r="F9" t="s">
        <v>243</v>
      </c>
      <c r="BC9" t="s">
        <v>243</v>
      </c>
    </row>
    <row r="10" spans="1:82" x14ac:dyDescent="0.2">
      <c r="B10" t="s">
        <v>244</v>
      </c>
      <c r="C10">
        <v>100</v>
      </c>
      <c r="D10" t="s">
        <v>245</v>
      </c>
      <c r="CA10">
        <f>IF(OR(E10&gt;0,BC10&gt;0),1,0)</f>
        <v>0</v>
      </c>
    </row>
    <row r="11" spans="1:82" x14ac:dyDescent="0.2">
      <c r="B11" t="s">
        <v>246</v>
      </c>
      <c r="C11">
        <v>110</v>
      </c>
      <c r="D11" t="s">
        <v>245</v>
      </c>
      <c r="CA11">
        <f>IF(OR(E11&gt;0,BC11&gt;0),1,0)</f>
        <v>0</v>
      </c>
    </row>
    <row r="12" spans="1:82" x14ac:dyDescent="0.2">
      <c r="B12" t="s">
        <v>247</v>
      </c>
      <c r="C12">
        <v>120</v>
      </c>
      <c r="D12" t="s">
        <v>248</v>
      </c>
      <c r="CB12">
        <f>IF(OR(E12&lt;0,BC12&lt;0),1,0)</f>
        <v>0</v>
      </c>
    </row>
    <row r="13" spans="1:82" x14ac:dyDescent="0.2">
      <c r="B13" t="s">
        <v>249</v>
      </c>
      <c r="C13">
        <v>130</v>
      </c>
      <c r="D13" t="s">
        <v>248</v>
      </c>
      <c r="CB13">
        <f>IF(OR(E13&lt;0,BC13&lt;0),1,0)</f>
        <v>0</v>
      </c>
    </row>
    <row r="14" spans="1:82" x14ac:dyDescent="0.2">
      <c r="B14" t="s">
        <v>250</v>
      </c>
      <c r="C14">
        <v>140</v>
      </c>
      <c r="D14" t="s">
        <v>251</v>
      </c>
      <c r="E14">
        <f>SUM(E10:E13)</f>
        <v>0</v>
      </c>
      <c r="BC14">
        <f>SUM(BC10:BC13)</f>
        <v>0</v>
      </c>
    </row>
    <row r="15" spans="1:82" x14ac:dyDescent="0.2">
      <c r="B15" t="s">
        <v>111</v>
      </c>
      <c r="C15">
        <v>150</v>
      </c>
      <c r="D15" t="s">
        <v>248</v>
      </c>
      <c r="CB15">
        <f>IF(OR(E15&lt;0,BC15&lt;0),1,0)</f>
        <v>0</v>
      </c>
    </row>
    <row r="16" spans="1:82" x14ac:dyDescent="0.2">
      <c r="B16" t="s">
        <v>112</v>
      </c>
      <c r="C16">
        <v>160</v>
      </c>
      <c r="D16" t="s">
        <v>251</v>
      </c>
    </row>
    <row r="17" spans="2:80" x14ac:dyDescent="0.2">
      <c r="B17" t="s">
        <v>113</v>
      </c>
      <c r="C17">
        <v>170</v>
      </c>
      <c r="D17" t="s">
        <v>245</v>
      </c>
      <c r="CA17">
        <f>IF(OR(E17&gt;0,BC17&gt;0),1,0)</f>
        <v>0</v>
      </c>
    </row>
    <row r="18" spans="2:80" x14ac:dyDescent="0.2">
      <c r="B18" t="s">
        <v>252</v>
      </c>
      <c r="C18">
        <v>180</v>
      </c>
      <c r="D18" t="s">
        <v>251</v>
      </c>
      <c r="E18">
        <f>SUM(E14:E17)</f>
        <v>0</v>
      </c>
      <c r="BC18">
        <f>SUM(BC14:BC17)</f>
        <v>0</v>
      </c>
    </row>
    <row r="19" spans="2:80" x14ac:dyDescent="0.2">
      <c r="B19" t="s">
        <v>253</v>
      </c>
      <c r="C19">
        <v>190</v>
      </c>
      <c r="D19" t="s">
        <v>245</v>
      </c>
      <c r="BC19">
        <f>E19</f>
        <v>0</v>
      </c>
      <c r="CA19">
        <f>IF(OR(E19&gt;0,BC19&gt;0),1,0)</f>
        <v>0</v>
      </c>
    </row>
    <row r="20" spans="2:80" x14ac:dyDescent="0.2">
      <c r="B20" t="s">
        <v>254</v>
      </c>
      <c r="C20">
        <v>191</v>
      </c>
      <c r="D20" t="s">
        <v>248</v>
      </c>
      <c r="BC20">
        <f>E20</f>
        <v>0</v>
      </c>
      <c r="CB20">
        <f>IF(E20&lt;0,1,0)</f>
        <v>0</v>
      </c>
    </row>
    <row r="21" spans="2:80" x14ac:dyDescent="0.2">
      <c r="B21" t="s">
        <v>255</v>
      </c>
      <c r="C21">
        <v>192</v>
      </c>
      <c r="D21" t="s">
        <v>245</v>
      </c>
      <c r="BC21">
        <f>E21</f>
        <v>0</v>
      </c>
      <c r="CA21">
        <f>IF(E21&gt;0,1,0)</f>
        <v>0</v>
      </c>
    </row>
    <row r="22" spans="2:80" x14ac:dyDescent="0.2">
      <c r="B22" t="s">
        <v>256</v>
      </c>
      <c r="C22">
        <v>195</v>
      </c>
      <c r="D22" t="s">
        <v>251</v>
      </c>
      <c r="E22">
        <f>SUM(E20:E21)</f>
        <v>0</v>
      </c>
      <c r="BC22">
        <f>SUM(BC20:BC21)</f>
        <v>0</v>
      </c>
    </row>
    <row r="23" spans="2:80" x14ac:dyDescent="0.2">
      <c r="B23" t="s">
        <v>257</v>
      </c>
      <c r="C23">
        <v>200</v>
      </c>
      <c r="D23" t="s">
        <v>251</v>
      </c>
      <c r="E23">
        <f>SUM(E18:E19)+E22</f>
        <v>0</v>
      </c>
      <c r="BC23">
        <f>SUM(BC18:BC19)+BC22</f>
        <v>0</v>
      </c>
    </row>
    <row r="27" spans="2:80" x14ac:dyDescent="0.2">
      <c r="B27" t="s">
        <v>2893</v>
      </c>
    </row>
    <row r="28" spans="2:80" x14ac:dyDescent="0.2">
      <c r="B28" t="s">
        <v>254</v>
      </c>
      <c r="C28">
        <v>222</v>
      </c>
      <c r="D28" t="s">
        <v>248</v>
      </c>
    </row>
    <row r="29" spans="2:80" x14ac:dyDescent="0.2">
      <c r="B29" t="s">
        <v>255</v>
      </c>
      <c r="C29">
        <v>224</v>
      </c>
      <c r="D29" t="s">
        <v>245</v>
      </c>
    </row>
    <row r="30" spans="2:80" x14ac:dyDescent="0.2">
      <c r="B30" t="s">
        <v>256</v>
      </c>
      <c r="C30">
        <v>226</v>
      </c>
      <c r="D30" t="s">
        <v>251</v>
      </c>
    </row>
    <row r="34" spans="2:6" x14ac:dyDescent="0.2">
      <c r="D34" t="s">
        <v>25</v>
      </c>
      <c r="E34" t="s">
        <v>235</v>
      </c>
      <c r="F34" t="s">
        <v>236</v>
      </c>
    </row>
    <row r="35" spans="2:6" x14ac:dyDescent="0.2">
      <c r="B35" t="s">
        <v>77</v>
      </c>
      <c r="C35" t="s">
        <v>238</v>
      </c>
      <c r="E35" t="s">
        <v>239</v>
      </c>
      <c r="F35" t="s">
        <v>240</v>
      </c>
    </row>
    <row r="36" spans="2:6" x14ac:dyDescent="0.2">
      <c r="C36" t="s">
        <v>242</v>
      </c>
      <c r="E36" t="s">
        <v>243</v>
      </c>
      <c r="F36" t="s">
        <v>243</v>
      </c>
    </row>
    <row r="37" spans="2:6" x14ac:dyDescent="0.2">
      <c r="B37" t="s">
        <v>259</v>
      </c>
      <c r="C37">
        <v>250</v>
      </c>
      <c r="D37" t="s">
        <v>251</v>
      </c>
    </row>
    <row r="38" spans="2:6" x14ac:dyDescent="0.2">
      <c r="B38" t="s">
        <v>260</v>
      </c>
      <c r="C38">
        <v>260</v>
      </c>
      <c r="D38" t="s">
        <v>251</v>
      </c>
    </row>
    <row r="39" spans="2:6" x14ac:dyDescent="0.2">
      <c r="B39" t="s">
        <v>261</v>
      </c>
      <c r="C39">
        <v>270</v>
      </c>
      <c r="D39" t="s">
        <v>251</v>
      </c>
    </row>
    <row r="40" spans="2:6" x14ac:dyDescent="0.2">
      <c r="B40" t="s">
        <v>262</v>
      </c>
      <c r="C40">
        <v>280</v>
      </c>
      <c r="D40" t="s">
        <v>251</v>
      </c>
    </row>
    <row r="41" spans="2:6" x14ac:dyDescent="0.2">
      <c r="B41" t="s">
        <v>263</v>
      </c>
      <c r="C41">
        <v>290</v>
      </c>
      <c r="D41" t="s">
        <v>251</v>
      </c>
    </row>
    <row r="42" spans="2:6" x14ac:dyDescent="0.2">
      <c r="B42" t="s">
        <v>2894</v>
      </c>
      <c r="C42">
        <v>300</v>
      </c>
      <c r="D42" t="s">
        <v>251</v>
      </c>
    </row>
    <row r="43" spans="2:6" x14ac:dyDescent="0.2">
      <c r="B43" t="s">
        <v>265</v>
      </c>
      <c r="C43">
        <v>305</v>
      </c>
      <c r="D43" t="s">
        <v>251</v>
      </c>
    </row>
    <row r="44" spans="2:6" x14ac:dyDescent="0.2">
      <c r="B44" t="s">
        <v>266</v>
      </c>
      <c r="C44">
        <v>310</v>
      </c>
      <c r="D44" t="s">
        <v>251</v>
      </c>
    </row>
    <row r="45" spans="2:6" x14ac:dyDescent="0.2">
      <c r="B45" t="s">
        <v>267</v>
      </c>
      <c r="C45">
        <v>315</v>
      </c>
      <c r="D45" t="s">
        <v>251</v>
      </c>
    </row>
    <row r="46" spans="2:6" x14ac:dyDescent="0.2">
      <c r="B46" t="s">
        <v>268</v>
      </c>
    </row>
    <row r="47" spans="2:6" x14ac:dyDescent="0.2">
      <c r="B47" t="s">
        <v>269</v>
      </c>
      <c r="C47">
        <v>320</v>
      </c>
      <c r="D47" t="s">
        <v>251</v>
      </c>
    </row>
    <row r="48" spans="2:6" x14ac:dyDescent="0.2">
      <c r="B48" t="s">
        <v>270</v>
      </c>
      <c r="C48">
        <v>330</v>
      </c>
      <c r="D48" t="s">
        <v>251</v>
      </c>
      <c r="E48">
        <f>E23+SUM(E37:E47)</f>
        <v>0</v>
      </c>
    </row>
    <row r="51" spans="2:55" x14ac:dyDescent="0.2">
      <c r="D51" t="s">
        <v>25</v>
      </c>
      <c r="E51" t="s">
        <v>235</v>
      </c>
      <c r="F51" t="s">
        <v>236</v>
      </c>
      <c r="BC51" t="s">
        <v>237</v>
      </c>
    </row>
    <row r="52" spans="2:55" x14ac:dyDescent="0.2">
      <c r="B52" t="s">
        <v>79</v>
      </c>
      <c r="C52" t="s">
        <v>238</v>
      </c>
      <c r="E52" t="s">
        <v>239</v>
      </c>
      <c r="F52" t="s">
        <v>240</v>
      </c>
      <c r="BC52" t="s">
        <v>241</v>
      </c>
    </row>
    <row r="53" spans="2:55" x14ac:dyDescent="0.2">
      <c r="C53" t="s">
        <v>242</v>
      </c>
      <c r="E53" t="s">
        <v>243</v>
      </c>
      <c r="F53" t="s">
        <v>243</v>
      </c>
      <c r="BC53" t="s">
        <v>243</v>
      </c>
    </row>
    <row r="54" spans="2:55" x14ac:dyDescent="0.2">
      <c r="B54" t="s">
        <v>271</v>
      </c>
      <c r="C54">
        <v>350</v>
      </c>
      <c r="D54" t="s">
        <v>251</v>
      </c>
      <c r="E54">
        <f>E23</f>
        <v>0</v>
      </c>
      <c r="BC54">
        <f>BC23</f>
        <v>0</v>
      </c>
    </row>
    <row r="55" spans="2:55" x14ac:dyDescent="0.2">
      <c r="B55" t="s">
        <v>272</v>
      </c>
      <c r="C55">
        <v>355</v>
      </c>
      <c r="D55" t="s">
        <v>251</v>
      </c>
      <c r="E55">
        <f>E81</f>
        <v>0</v>
      </c>
      <c r="BC55">
        <f>E55</f>
        <v>0</v>
      </c>
    </row>
    <row r="56" spans="2:55" x14ac:dyDescent="0.2">
      <c r="B56" t="s">
        <v>273</v>
      </c>
      <c r="C56">
        <v>356</v>
      </c>
      <c r="D56" t="s">
        <v>251</v>
      </c>
    </row>
    <row r="57" spans="2:55" x14ac:dyDescent="0.2">
      <c r="B57" t="s">
        <v>274</v>
      </c>
      <c r="C57">
        <v>357</v>
      </c>
      <c r="D57" t="s">
        <v>251</v>
      </c>
    </row>
    <row r="58" spans="2:55" x14ac:dyDescent="0.2">
      <c r="B58" t="s">
        <v>275</v>
      </c>
      <c r="C58">
        <v>360</v>
      </c>
      <c r="D58" t="s">
        <v>251</v>
      </c>
      <c r="E58">
        <f>IF(E57&lt;0,(0+E56),E56+E57)</f>
        <v>0</v>
      </c>
      <c r="BC58">
        <f>IF(BC57&lt;0,(0+BC56),BC56+BC57)</f>
        <v>0</v>
      </c>
    </row>
    <row r="59" spans="2:55" x14ac:dyDescent="0.2">
      <c r="B59" t="s">
        <v>276</v>
      </c>
      <c r="C59">
        <v>370</v>
      </c>
      <c r="D59" t="s">
        <v>251</v>
      </c>
    </row>
    <row r="60" spans="2:55" x14ac:dyDescent="0.2">
      <c r="B60" t="s">
        <v>277</v>
      </c>
      <c r="C60">
        <v>380</v>
      </c>
      <c r="D60" t="s">
        <v>251</v>
      </c>
    </row>
    <row r="61" spans="2:55" x14ac:dyDescent="0.2">
      <c r="B61" t="s">
        <v>278</v>
      </c>
      <c r="C61">
        <v>385</v>
      </c>
      <c r="D61" t="s">
        <v>251</v>
      </c>
      <c r="E61">
        <f>E22*-1</f>
        <v>0</v>
      </c>
      <c r="BC61">
        <f>BC22*-1</f>
        <v>0</v>
      </c>
    </row>
    <row r="62" spans="2:55" x14ac:dyDescent="0.2">
      <c r="B62" t="s">
        <v>279</v>
      </c>
      <c r="C62">
        <v>390</v>
      </c>
      <c r="D62" t="s">
        <v>251</v>
      </c>
      <c r="E62">
        <f>SUM(E54+E55+E58+E59+E60+E61)</f>
        <v>0</v>
      </c>
      <c r="F62">
        <f>SUM(F54+F55+F58+F59+F60+F61)</f>
        <v>0</v>
      </c>
      <c r="BC62">
        <f>SUM(BC54+BC55+BC58+BC59+BC60+BC61)</f>
        <v>0</v>
      </c>
    </row>
    <row r="63" spans="2:55" x14ac:dyDescent="0.2">
      <c r="B63" t="s">
        <v>280</v>
      </c>
    </row>
    <row r="65" spans="2:6" x14ac:dyDescent="0.2">
      <c r="B65" t="s">
        <v>281</v>
      </c>
    </row>
    <row r="68" spans="2:6" x14ac:dyDescent="0.2">
      <c r="D68" t="s">
        <v>25</v>
      </c>
      <c r="E68" t="s">
        <v>235</v>
      </c>
      <c r="F68" t="s">
        <v>236</v>
      </c>
    </row>
    <row r="69" spans="2:6" x14ac:dyDescent="0.2">
      <c r="B69" t="s">
        <v>282</v>
      </c>
      <c r="C69" t="s">
        <v>238</v>
      </c>
      <c r="E69" t="s">
        <v>2895</v>
      </c>
      <c r="F69" t="s">
        <v>2896</v>
      </c>
    </row>
    <row r="70" spans="2:6" x14ac:dyDescent="0.2">
      <c r="C70" t="s">
        <v>242</v>
      </c>
      <c r="E70" t="s">
        <v>243</v>
      </c>
      <c r="F70" t="s">
        <v>243</v>
      </c>
    </row>
    <row r="71" spans="2:6" x14ac:dyDescent="0.2">
      <c r="B71" t="s">
        <v>285</v>
      </c>
      <c r="C71">
        <v>400</v>
      </c>
      <c r="D71" t="s">
        <v>251</v>
      </c>
    </row>
    <row r="72" spans="2:6" x14ac:dyDescent="0.2">
      <c r="B72" t="s">
        <v>286</v>
      </c>
      <c r="C72">
        <v>410</v>
      </c>
      <c r="D72" t="s">
        <v>251</v>
      </c>
      <c r="F72">
        <f>E71+E19-CC72</f>
        <v>0</v>
      </c>
    </row>
    <row r="76" spans="2:6" x14ac:dyDescent="0.2">
      <c r="D76" t="s">
        <v>25</v>
      </c>
      <c r="E76" t="s">
        <v>235</v>
      </c>
    </row>
    <row r="77" spans="2:6" x14ac:dyDescent="0.2">
      <c r="B77" t="s">
        <v>287</v>
      </c>
      <c r="C77" t="s">
        <v>238</v>
      </c>
      <c r="E77" t="s">
        <v>239</v>
      </c>
    </row>
    <row r="78" spans="2:6" x14ac:dyDescent="0.2">
      <c r="C78" t="s">
        <v>242</v>
      </c>
      <c r="E78" t="s">
        <v>243</v>
      </c>
    </row>
    <row r="79" spans="2:6" x14ac:dyDescent="0.2">
      <c r="B79" t="s">
        <v>288</v>
      </c>
      <c r="C79">
        <v>450</v>
      </c>
      <c r="D79" t="s">
        <v>251</v>
      </c>
    </row>
    <row r="80" spans="2:6" x14ac:dyDescent="0.2">
      <c r="B80" t="s">
        <v>289</v>
      </c>
      <c r="C80">
        <v>460</v>
      </c>
      <c r="D80" t="s">
        <v>251</v>
      </c>
    </row>
    <row r="81" spans="2:5" x14ac:dyDescent="0.2">
      <c r="B81" t="s">
        <v>290</v>
      </c>
      <c r="C81">
        <v>470</v>
      </c>
      <c r="D81" t="s">
        <v>251</v>
      </c>
      <c r="E81">
        <f>SUM(E79+E80)</f>
        <v>0</v>
      </c>
    </row>
  </sheetData>
  <sheetProtection sheet="1" objects="1" scenario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CM87"/>
  <sheetViews>
    <sheetView zoomScale="70" zoomScaleNormal="70" workbookViewId="0"/>
  </sheetViews>
  <sheetFormatPr defaultRowHeight="12.75" x14ac:dyDescent="0.2"/>
  <sheetData>
    <row r="1" spans="1:91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91" x14ac:dyDescent="0.2">
      <c r="A2" t="s">
        <v>3727</v>
      </c>
    </row>
    <row r="3" spans="1:91" x14ac:dyDescent="0.2">
      <c r="A3" t="s">
        <v>3756</v>
      </c>
    </row>
    <row r="4" spans="1:91" x14ac:dyDescent="0.2">
      <c r="B4" t="s">
        <v>2249</v>
      </c>
    </row>
    <row r="7" spans="1:91" x14ac:dyDescent="0.2">
      <c r="B7" t="s">
        <v>82</v>
      </c>
      <c r="C7" t="s">
        <v>238</v>
      </c>
      <c r="D7" t="s">
        <v>25</v>
      </c>
      <c r="E7" t="s">
        <v>2873</v>
      </c>
      <c r="G7" t="s">
        <v>2089</v>
      </c>
      <c r="J7" t="s">
        <v>241</v>
      </c>
      <c r="CA7" t="s">
        <v>230</v>
      </c>
      <c r="CB7">
        <f>0</f>
        <v>0</v>
      </c>
      <c r="CM7" t="s">
        <v>2250</v>
      </c>
    </row>
    <row r="8" spans="1:91" x14ac:dyDescent="0.2">
      <c r="C8" t="s">
        <v>242</v>
      </c>
      <c r="E8" t="s">
        <v>2091</v>
      </c>
      <c r="F8" t="s">
        <v>2021</v>
      </c>
      <c r="G8" t="s">
        <v>2092</v>
      </c>
      <c r="H8" t="s">
        <v>2023</v>
      </c>
      <c r="I8" t="s">
        <v>2021</v>
      </c>
      <c r="J8" t="s">
        <v>1048</v>
      </c>
      <c r="K8" t="s">
        <v>2023</v>
      </c>
      <c r="CA8" t="s">
        <v>231</v>
      </c>
      <c r="CB8" t="s">
        <v>232</v>
      </c>
      <c r="CC8" t="s">
        <v>2003</v>
      </c>
      <c r="CD8" t="s">
        <v>2897</v>
      </c>
      <c r="CF8" t="s">
        <v>2251</v>
      </c>
      <c r="CM8" t="s">
        <v>2091</v>
      </c>
    </row>
    <row r="9" spans="1:91" x14ac:dyDescent="0.2">
      <c r="E9" t="s">
        <v>2036</v>
      </c>
      <c r="F9" t="s">
        <v>2037</v>
      </c>
      <c r="G9" t="s">
        <v>2038</v>
      </c>
      <c r="H9" t="s">
        <v>2039</v>
      </c>
      <c r="I9" t="s">
        <v>2040</v>
      </c>
      <c r="J9" t="s">
        <v>2041</v>
      </c>
      <c r="K9" t="s">
        <v>2042</v>
      </c>
      <c r="CA9">
        <f>SUM(CA11:CA87)</f>
        <v>0</v>
      </c>
      <c r="CB9">
        <f>SUM(CB11:CB87)</f>
        <v>0</v>
      </c>
      <c r="CD9">
        <f>SUM(CD11:CD77)</f>
        <v>0</v>
      </c>
      <c r="CF9">
        <f>SUM(CF11:CF87)</f>
        <v>0</v>
      </c>
      <c r="CM9">
        <f>SUM(CM11:CM87)</f>
        <v>0</v>
      </c>
    </row>
    <row r="10" spans="1:91" x14ac:dyDescent="0.2"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K10" t="s">
        <v>243</v>
      </c>
    </row>
    <row r="11" spans="1:91" x14ac:dyDescent="0.2">
      <c r="B11" t="s">
        <v>309</v>
      </c>
    </row>
    <row r="12" spans="1:91" x14ac:dyDescent="0.2">
      <c r="B12" t="s">
        <v>310</v>
      </c>
      <c r="C12">
        <v>100</v>
      </c>
      <c r="D12" t="s">
        <v>248</v>
      </c>
      <c r="H12">
        <f>G12-F12</f>
        <v>0</v>
      </c>
      <c r="K12">
        <f>J12-I12</f>
        <v>0</v>
      </c>
      <c r="CB12">
        <f>IF(OR(G12&lt;0,J12&lt;0),1,0)</f>
        <v>0</v>
      </c>
    </row>
    <row r="13" spans="1:91" x14ac:dyDescent="0.2">
      <c r="B13" t="s">
        <v>311</v>
      </c>
      <c r="C13">
        <v>110</v>
      </c>
      <c r="D13" t="s">
        <v>248</v>
      </c>
      <c r="H13">
        <f>G13-F13</f>
        <v>0</v>
      </c>
      <c r="K13">
        <f>J13-I13</f>
        <v>0</v>
      </c>
      <c r="CB13">
        <f>IF(OR(G13&lt;0,J13&lt;0),1,0)</f>
        <v>0</v>
      </c>
    </row>
    <row r="14" spans="1:91" x14ac:dyDescent="0.2">
      <c r="B14" t="s">
        <v>130</v>
      </c>
      <c r="C14">
        <v>120</v>
      </c>
      <c r="D14" t="s">
        <v>248</v>
      </c>
      <c r="H14">
        <f>G14-F14</f>
        <v>0</v>
      </c>
      <c r="K14">
        <f>J14-I14</f>
        <v>0</v>
      </c>
      <c r="CB14">
        <f>IF(OR(G14&lt;0,J14&lt;0),1,0)</f>
        <v>0</v>
      </c>
    </row>
    <row r="15" spans="1:91" x14ac:dyDescent="0.2">
      <c r="B15" t="s">
        <v>312</v>
      </c>
      <c r="C15">
        <v>130</v>
      </c>
      <c r="D15" t="s">
        <v>248</v>
      </c>
      <c r="H15">
        <f>G15-F15</f>
        <v>0</v>
      </c>
      <c r="K15">
        <f>J15-I15</f>
        <v>0</v>
      </c>
      <c r="CB15">
        <f>IF(OR(G15&lt;0,J15&lt;0),1,0)</f>
        <v>0</v>
      </c>
    </row>
    <row r="16" spans="1:91" x14ac:dyDescent="0.2">
      <c r="B16" t="s">
        <v>313</v>
      </c>
      <c r="C16">
        <v>140</v>
      </c>
      <c r="D16" t="s">
        <v>248</v>
      </c>
      <c r="H16">
        <f>G16-F16</f>
        <v>0</v>
      </c>
      <c r="K16">
        <f>J16-I16</f>
        <v>0</v>
      </c>
      <c r="CB16">
        <f>IF(OR(G16&lt;0,J16&lt;0),1,0)</f>
        <v>0</v>
      </c>
    </row>
    <row r="17" spans="2:80" x14ac:dyDescent="0.2">
      <c r="B17" t="s">
        <v>314</v>
      </c>
      <c r="C17">
        <v>150</v>
      </c>
      <c r="D17" t="s">
        <v>248</v>
      </c>
      <c r="E17">
        <f t="shared" ref="E17:K17" si="0">SUM(E12:E16)</f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2:80" x14ac:dyDescent="0.2">
      <c r="B18" t="s">
        <v>315</v>
      </c>
    </row>
    <row r="19" spans="2:80" x14ac:dyDescent="0.2">
      <c r="B19" t="s">
        <v>316</v>
      </c>
      <c r="C19">
        <v>160</v>
      </c>
      <c r="D19" t="s">
        <v>248</v>
      </c>
      <c r="H19">
        <f>G19-F19</f>
        <v>0</v>
      </c>
      <c r="K19">
        <f>J19-I19</f>
        <v>0</v>
      </c>
      <c r="CB19">
        <f>IF(OR(G19&lt;0,J19&lt;0),1,0)</f>
        <v>0</v>
      </c>
    </row>
    <row r="20" spans="2:80" x14ac:dyDescent="0.2">
      <c r="B20" t="s">
        <v>313</v>
      </c>
      <c r="C20">
        <v>170</v>
      </c>
      <c r="D20" t="s">
        <v>248</v>
      </c>
      <c r="H20">
        <f>G20-F20</f>
        <v>0</v>
      </c>
      <c r="K20">
        <f>J20-I20</f>
        <v>0</v>
      </c>
      <c r="CB20">
        <f>IF(OR(G20&lt;0,J20&lt;0),1,0)</f>
        <v>0</v>
      </c>
    </row>
    <row r="21" spans="2:80" x14ac:dyDescent="0.2">
      <c r="B21" t="s">
        <v>312</v>
      </c>
      <c r="C21">
        <v>180</v>
      </c>
      <c r="D21" t="s">
        <v>248</v>
      </c>
      <c r="H21">
        <f>G21-F21</f>
        <v>0</v>
      </c>
      <c r="K21">
        <f>J21-I21</f>
        <v>0</v>
      </c>
      <c r="CB21">
        <f>IF(OR(G21&lt;0,J21&lt;0),1,0)</f>
        <v>0</v>
      </c>
    </row>
    <row r="22" spans="2:80" x14ac:dyDescent="0.2">
      <c r="B22" t="s">
        <v>142</v>
      </c>
      <c r="C22">
        <v>190</v>
      </c>
      <c r="D22" t="s">
        <v>248</v>
      </c>
      <c r="H22">
        <f>G22-F22</f>
        <v>0</v>
      </c>
      <c r="K22">
        <f>J22-I22</f>
        <v>0</v>
      </c>
      <c r="CB22">
        <f>IF(OR(G22&lt;0,J22&lt;0),1,0)</f>
        <v>0</v>
      </c>
    </row>
    <row r="23" spans="2:80" x14ac:dyDescent="0.2">
      <c r="B23" t="s">
        <v>143</v>
      </c>
      <c r="C23">
        <v>200</v>
      </c>
      <c r="D23" t="s">
        <v>248</v>
      </c>
      <c r="H23">
        <f>G23-F23</f>
        <v>0</v>
      </c>
      <c r="K23">
        <f>J23-I23</f>
        <v>0</v>
      </c>
      <c r="CB23">
        <f>IF(OR(G23&lt;0,J23&lt;0),1,0)</f>
        <v>0</v>
      </c>
    </row>
    <row r="24" spans="2:80" x14ac:dyDescent="0.2">
      <c r="B24" t="s">
        <v>317</v>
      </c>
      <c r="C24">
        <v>210</v>
      </c>
      <c r="D24" t="s">
        <v>248</v>
      </c>
      <c r="E24">
        <f t="shared" ref="E24:K24" si="1">SUM(E19:E23)</f>
        <v>0</v>
      </c>
      <c r="F24">
        <f t="shared" si="1"/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</row>
    <row r="25" spans="2:80" x14ac:dyDescent="0.2">
      <c r="B25" t="s">
        <v>318</v>
      </c>
      <c r="C25">
        <v>220</v>
      </c>
      <c r="D25" t="s">
        <v>248</v>
      </c>
      <c r="H25">
        <f>G25-F25</f>
        <v>0</v>
      </c>
      <c r="K25">
        <f>J25-I25</f>
        <v>0</v>
      </c>
      <c r="CB25">
        <f>IF(OR(G25&lt;0,J25&lt;0),1,0)</f>
        <v>0</v>
      </c>
    </row>
    <row r="26" spans="2:80" x14ac:dyDescent="0.2">
      <c r="B26" t="s">
        <v>319</v>
      </c>
      <c r="C26">
        <v>230</v>
      </c>
      <c r="D26" t="s">
        <v>248</v>
      </c>
      <c r="E26">
        <f t="shared" ref="E26:K26" si="2">SUM(E24:E25)</f>
        <v>0</v>
      </c>
      <c r="F26">
        <f t="shared" si="2"/>
        <v>0</v>
      </c>
      <c r="G26">
        <f t="shared" si="2"/>
        <v>0</v>
      </c>
      <c r="H26">
        <f t="shared" si="2"/>
        <v>0</v>
      </c>
      <c r="I26">
        <f t="shared" si="2"/>
        <v>0</v>
      </c>
      <c r="J26">
        <f t="shared" si="2"/>
        <v>0</v>
      </c>
      <c r="K26">
        <f t="shared" si="2"/>
        <v>0</v>
      </c>
    </row>
    <row r="27" spans="2:80" x14ac:dyDescent="0.2">
      <c r="B27" t="s">
        <v>320</v>
      </c>
      <c r="C27">
        <v>240</v>
      </c>
      <c r="D27" t="s">
        <v>248</v>
      </c>
      <c r="E27">
        <f t="shared" ref="E27:K27" si="3">SUM(E17+E26)</f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</row>
    <row r="28" spans="2:80" x14ac:dyDescent="0.2">
      <c r="B28" t="s">
        <v>321</v>
      </c>
    </row>
    <row r="29" spans="2:80" x14ac:dyDescent="0.2">
      <c r="B29" t="s">
        <v>322</v>
      </c>
      <c r="C29">
        <v>250</v>
      </c>
      <c r="D29" t="s">
        <v>245</v>
      </c>
      <c r="H29">
        <f t="shared" ref="H29:H34" si="4">G29-F29</f>
        <v>0</v>
      </c>
      <c r="K29">
        <f t="shared" ref="K29:K37" si="5">J29-I29</f>
        <v>0</v>
      </c>
      <c r="CA29">
        <f>IF(OR(G29&gt;0,J29&gt;0),1,0)</f>
        <v>0</v>
      </c>
    </row>
    <row r="30" spans="2:80" x14ac:dyDescent="0.2">
      <c r="B30" t="s">
        <v>323</v>
      </c>
      <c r="C30">
        <v>260</v>
      </c>
      <c r="D30" t="s">
        <v>245</v>
      </c>
      <c r="H30">
        <f t="shared" si="4"/>
        <v>0</v>
      </c>
      <c r="K30">
        <f t="shared" si="5"/>
        <v>0</v>
      </c>
      <c r="CA30">
        <f>IF(OR(G30&gt;0,J30&gt;0),1,0)</f>
        <v>0</v>
      </c>
    </row>
    <row r="31" spans="2:80" x14ac:dyDescent="0.2">
      <c r="B31" t="s">
        <v>170</v>
      </c>
      <c r="C31">
        <v>270</v>
      </c>
      <c r="D31" t="s">
        <v>245</v>
      </c>
      <c r="H31">
        <f t="shared" si="4"/>
        <v>0</v>
      </c>
      <c r="K31">
        <f t="shared" si="5"/>
        <v>0</v>
      </c>
    </row>
    <row r="32" spans="2:80" x14ac:dyDescent="0.2">
      <c r="B32" t="s">
        <v>324</v>
      </c>
      <c r="C32">
        <v>280</v>
      </c>
      <c r="D32" t="s">
        <v>245</v>
      </c>
      <c r="H32">
        <f t="shared" si="4"/>
        <v>0</v>
      </c>
      <c r="K32">
        <f t="shared" si="5"/>
        <v>0</v>
      </c>
      <c r="CA32">
        <f t="shared" ref="CA32:CA37" si="6">IF(OR(G32&gt;0,J32&gt;0),1,0)</f>
        <v>0</v>
      </c>
    </row>
    <row r="33" spans="2:90" x14ac:dyDescent="0.2">
      <c r="B33" t="s">
        <v>325</v>
      </c>
      <c r="C33">
        <v>290</v>
      </c>
      <c r="D33" t="s">
        <v>245</v>
      </c>
      <c r="H33">
        <f t="shared" si="4"/>
        <v>0</v>
      </c>
      <c r="K33">
        <f t="shared" si="5"/>
        <v>0</v>
      </c>
      <c r="CA33">
        <f t="shared" si="6"/>
        <v>0</v>
      </c>
      <c r="CE33" t="s">
        <v>2898</v>
      </c>
      <c r="CG33">
        <f>SUM(E32+E35+E36+E37+E45+E48+E50+E34+E47+E49)*-1+E58</f>
        <v>0</v>
      </c>
      <c r="CH33">
        <f>SUM(F32+F35+F36+F37+F45+F48+F50+F34+F47+F49)*-1+F58</f>
        <v>0</v>
      </c>
      <c r="CI33">
        <f>SUM(G32+G35+G36+G37+G45+G48+G50+G34+G47+G49)*-1+G58</f>
        <v>0</v>
      </c>
      <c r="CK33">
        <f>SUM(I32+I35+I36+I37+I45+I48+I50+I34+I47+I49)*-1+I58</f>
        <v>0</v>
      </c>
      <c r="CL33">
        <f>SUM(J32+J35+J36+J37+J45+J48+J50+J34+J47+J49)*-1+J58</f>
        <v>0</v>
      </c>
    </row>
    <row r="34" spans="2:90" x14ac:dyDescent="0.2">
      <c r="B34" t="s">
        <v>2253</v>
      </c>
      <c r="C34">
        <v>295</v>
      </c>
      <c r="D34" t="s">
        <v>245</v>
      </c>
      <c r="H34">
        <f t="shared" si="4"/>
        <v>0</v>
      </c>
      <c r="K34">
        <f t="shared" si="5"/>
        <v>0</v>
      </c>
      <c r="CA34">
        <f t="shared" si="6"/>
        <v>0</v>
      </c>
      <c r="CE34" t="s">
        <v>2899</v>
      </c>
      <c r="CG34">
        <f>E39-E19-E25</f>
        <v>0</v>
      </c>
      <c r="CH34">
        <f>F39-F19-F25</f>
        <v>0</v>
      </c>
      <c r="CI34">
        <f>G39-G19-G25</f>
        <v>0</v>
      </c>
      <c r="CK34">
        <f>I39-I19-I25</f>
        <v>0</v>
      </c>
      <c r="CL34">
        <f>J39-J19-J25</f>
        <v>0</v>
      </c>
    </row>
    <row r="35" spans="2:90" x14ac:dyDescent="0.2">
      <c r="B35" t="s">
        <v>2254</v>
      </c>
      <c r="C35">
        <v>300</v>
      </c>
      <c r="D35" t="s">
        <v>245</v>
      </c>
      <c r="K35">
        <f t="shared" si="5"/>
        <v>0</v>
      </c>
      <c r="CA35">
        <f t="shared" si="6"/>
        <v>0</v>
      </c>
      <c r="CE35" t="s">
        <v>2900</v>
      </c>
    </row>
    <row r="36" spans="2:90" x14ac:dyDescent="0.2">
      <c r="B36" t="s">
        <v>2255</v>
      </c>
      <c r="C36">
        <v>305</v>
      </c>
      <c r="D36" t="s">
        <v>245</v>
      </c>
      <c r="H36">
        <f>G36-F36</f>
        <v>0</v>
      </c>
      <c r="K36">
        <f t="shared" si="5"/>
        <v>0</v>
      </c>
      <c r="CA36">
        <f t="shared" si="6"/>
        <v>0</v>
      </c>
      <c r="CG36">
        <f>E26+E38-E19-E25+SUM(E66:E70)</f>
        <v>0</v>
      </c>
      <c r="CH36">
        <f>F26+F38-F19-F25+SUM(F66:F70)</f>
        <v>0</v>
      </c>
      <c r="CI36">
        <f>G26+G38-G19-G25+SUM(G66:G70)</f>
        <v>0</v>
      </c>
      <c r="CK36">
        <f>I26+I38-I19-I25+SUM(I66:I70)</f>
        <v>0</v>
      </c>
      <c r="CL36">
        <f>J26+J38-J19-J25+SUM(J66:J70)</f>
        <v>0</v>
      </c>
    </row>
    <row r="37" spans="2:90" x14ac:dyDescent="0.2">
      <c r="B37" t="s">
        <v>327</v>
      </c>
      <c r="C37">
        <v>310</v>
      </c>
      <c r="D37" t="s">
        <v>245</v>
      </c>
      <c r="H37">
        <f>G37-F37</f>
        <v>0</v>
      </c>
      <c r="K37">
        <f t="shared" si="5"/>
        <v>0</v>
      </c>
      <c r="CA37">
        <f t="shared" si="6"/>
        <v>0</v>
      </c>
      <c r="CE37" t="s">
        <v>2901</v>
      </c>
    </row>
    <row r="38" spans="2:90" x14ac:dyDescent="0.2">
      <c r="B38" t="s">
        <v>328</v>
      </c>
      <c r="C38">
        <v>320</v>
      </c>
      <c r="D38" t="s">
        <v>245</v>
      </c>
      <c r="E38">
        <f t="shared" ref="E38:K38" si="7">SUM(E29:E37)</f>
        <v>0</v>
      </c>
      <c r="F38">
        <f t="shared" si="7"/>
        <v>0</v>
      </c>
      <c r="G38">
        <f t="shared" si="7"/>
        <v>0</v>
      </c>
      <c r="H38">
        <f t="shared" si="7"/>
        <v>0</v>
      </c>
      <c r="I38">
        <f t="shared" si="7"/>
        <v>0</v>
      </c>
      <c r="J38">
        <f t="shared" si="7"/>
        <v>0</v>
      </c>
      <c r="K38">
        <f t="shared" si="7"/>
        <v>0</v>
      </c>
      <c r="CE38" t="s">
        <v>2902</v>
      </c>
    </row>
    <row r="39" spans="2:90" x14ac:dyDescent="0.2">
      <c r="B39" t="s">
        <v>329</v>
      </c>
      <c r="C39">
        <v>330</v>
      </c>
      <c r="D39" t="s">
        <v>251</v>
      </c>
      <c r="E39">
        <f t="shared" ref="E39:K39" si="8">SUM(E26+E38)</f>
        <v>0</v>
      </c>
      <c r="F39">
        <f t="shared" si="8"/>
        <v>0</v>
      </c>
      <c r="G39">
        <f t="shared" si="8"/>
        <v>0</v>
      </c>
      <c r="H39">
        <f t="shared" si="8"/>
        <v>0</v>
      </c>
      <c r="I39">
        <f t="shared" si="8"/>
        <v>0</v>
      </c>
      <c r="J39">
        <f t="shared" si="8"/>
        <v>0</v>
      </c>
      <c r="K39">
        <f t="shared" si="8"/>
        <v>0</v>
      </c>
      <c r="CE39" t="s">
        <v>2903</v>
      </c>
      <c r="CG39">
        <f>(CG43+CG44+CG45+CG46+CG47+CG48)*2</f>
        <v>0</v>
      </c>
      <c r="CH39">
        <f>(CH43+CH44+CH45+CH46+CH47+CH48)*2</f>
        <v>0</v>
      </c>
      <c r="CI39">
        <f>(CI43+CI44+CI45+CI46+CI47+CI48)*2</f>
        <v>0</v>
      </c>
      <c r="CK39">
        <f>(CK43+CK44+CK45+CK46+CK47+CK48)*2</f>
        <v>0</v>
      </c>
      <c r="CL39">
        <f>(CL43+CL44+CL45+CL46+CL47+CL48)*2</f>
        <v>0</v>
      </c>
    </row>
    <row r="40" spans="2:90" x14ac:dyDescent="0.2">
      <c r="B40" t="s">
        <v>330</v>
      </c>
      <c r="C40">
        <v>340</v>
      </c>
      <c r="D40" t="s">
        <v>251</v>
      </c>
      <c r="E40">
        <f t="shared" ref="E40:K40" si="9">SUM(E27+E38)</f>
        <v>0</v>
      </c>
      <c r="F40">
        <f t="shared" si="9"/>
        <v>0</v>
      </c>
      <c r="G40">
        <f t="shared" si="9"/>
        <v>0</v>
      </c>
      <c r="H40">
        <f t="shared" si="9"/>
        <v>0</v>
      </c>
      <c r="I40">
        <f t="shared" si="9"/>
        <v>0</v>
      </c>
      <c r="J40">
        <f t="shared" si="9"/>
        <v>0</v>
      </c>
      <c r="K40">
        <f t="shared" si="9"/>
        <v>0</v>
      </c>
      <c r="CE40" t="s">
        <v>2904</v>
      </c>
      <c r="CG40">
        <f>SUM(CG38:CG39)</f>
        <v>0</v>
      </c>
      <c r="CH40">
        <f>SUM(CH38:CH39)</f>
        <v>0</v>
      </c>
      <c r="CI40">
        <f>SUM(CI38:CI39)</f>
        <v>0</v>
      </c>
      <c r="CK40">
        <f>SUM(CK38:CK39)</f>
        <v>0</v>
      </c>
      <c r="CL40">
        <f>SUM(CL38:CL39)</f>
        <v>0</v>
      </c>
    </row>
    <row r="41" spans="2:90" x14ac:dyDescent="0.2">
      <c r="B41" t="s">
        <v>331</v>
      </c>
    </row>
    <row r="42" spans="2:90" x14ac:dyDescent="0.2">
      <c r="B42" t="s">
        <v>322</v>
      </c>
      <c r="C42">
        <v>350</v>
      </c>
      <c r="D42" t="s">
        <v>245</v>
      </c>
      <c r="H42">
        <f t="shared" ref="H42:H47" si="10">G42-F42</f>
        <v>0</v>
      </c>
      <c r="K42">
        <f t="shared" ref="K42:K50" si="11">J42-I42</f>
        <v>0</v>
      </c>
      <c r="CA42">
        <f>IF(OR(G42&gt;0,J42&gt;0),1,0)</f>
        <v>0</v>
      </c>
    </row>
    <row r="43" spans="2:90" x14ac:dyDescent="0.2">
      <c r="B43" t="s">
        <v>323</v>
      </c>
      <c r="C43">
        <v>360</v>
      </c>
      <c r="D43" t="s">
        <v>245</v>
      </c>
      <c r="H43">
        <f t="shared" si="10"/>
        <v>0</v>
      </c>
      <c r="K43">
        <f t="shared" si="11"/>
        <v>0</v>
      </c>
      <c r="CA43">
        <f>IF(OR(G43&gt;0,J43&gt;0),1,0)</f>
        <v>0</v>
      </c>
      <c r="CE43" t="s">
        <v>2905</v>
      </c>
    </row>
    <row r="44" spans="2:90" x14ac:dyDescent="0.2">
      <c r="B44" t="s">
        <v>170</v>
      </c>
      <c r="C44">
        <v>370</v>
      </c>
      <c r="D44" t="s">
        <v>245</v>
      </c>
      <c r="H44">
        <f t="shared" si="10"/>
        <v>0</v>
      </c>
      <c r="K44">
        <f t="shared" si="11"/>
        <v>0</v>
      </c>
    </row>
    <row r="45" spans="2:90" x14ac:dyDescent="0.2">
      <c r="B45" t="s">
        <v>324</v>
      </c>
      <c r="C45">
        <v>380</v>
      </c>
      <c r="D45" t="s">
        <v>245</v>
      </c>
      <c r="H45">
        <f t="shared" si="10"/>
        <v>0</v>
      </c>
      <c r="K45">
        <f t="shared" si="11"/>
        <v>0</v>
      </c>
      <c r="CA45">
        <f t="shared" ref="CA45:CA50" si="12">IF(OR(G45&gt;0,J45&gt;0),1,0)</f>
        <v>0</v>
      </c>
    </row>
    <row r="46" spans="2:90" x14ac:dyDescent="0.2">
      <c r="B46" t="s">
        <v>325</v>
      </c>
      <c r="C46">
        <v>390</v>
      </c>
      <c r="D46" t="s">
        <v>245</v>
      </c>
      <c r="H46">
        <f t="shared" si="10"/>
        <v>0</v>
      </c>
      <c r="K46">
        <f t="shared" si="11"/>
        <v>0</v>
      </c>
      <c r="CA46">
        <f t="shared" si="12"/>
        <v>0</v>
      </c>
    </row>
    <row r="47" spans="2:90" x14ac:dyDescent="0.2">
      <c r="B47" t="s">
        <v>2256</v>
      </c>
      <c r="C47">
        <v>395</v>
      </c>
      <c r="D47" t="s">
        <v>245</v>
      </c>
      <c r="H47">
        <f t="shared" si="10"/>
        <v>0</v>
      </c>
      <c r="K47">
        <f t="shared" si="11"/>
        <v>0</v>
      </c>
      <c r="CA47">
        <f t="shared" si="12"/>
        <v>0</v>
      </c>
    </row>
    <row r="48" spans="2:90" x14ac:dyDescent="0.2">
      <c r="B48" t="s">
        <v>2254</v>
      </c>
      <c r="C48">
        <v>400</v>
      </c>
      <c r="D48" t="s">
        <v>245</v>
      </c>
      <c r="K48">
        <f t="shared" si="11"/>
        <v>0</v>
      </c>
      <c r="CA48">
        <f t="shared" si="12"/>
        <v>0</v>
      </c>
    </row>
    <row r="49" spans="2:81" x14ac:dyDescent="0.2">
      <c r="B49" t="s">
        <v>2255</v>
      </c>
      <c r="C49">
        <v>405</v>
      </c>
      <c r="D49" t="s">
        <v>245</v>
      </c>
      <c r="H49">
        <f>G49-F49</f>
        <v>0</v>
      </c>
      <c r="K49">
        <f t="shared" si="11"/>
        <v>0</v>
      </c>
      <c r="CA49">
        <f t="shared" si="12"/>
        <v>0</v>
      </c>
    </row>
    <row r="50" spans="2:81" x14ac:dyDescent="0.2">
      <c r="B50" t="s">
        <v>327</v>
      </c>
      <c r="C50">
        <v>410</v>
      </c>
      <c r="D50" t="s">
        <v>245</v>
      </c>
      <c r="H50">
        <f>G50-F50</f>
        <v>0</v>
      </c>
      <c r="K50">
        <f t="shared" si="11"/>
        <v>0</v>
      </c>
      <c r="CA50">
        <f t="shared" si="12"/>
        <v>0</v>
      </c>
    </row>
    <row r="51" spans="2:81" x14ac:dyDescent="0.2">
      <c r="B51" t="s">
        <v>332</v>
      </c>
      <c r="C51">
        <v>420</v>
      </c>
      <c r="D51" t="s">
        <v>245</v>
      </c>
      <c r="E51">
        <f t="shared" ref="E51:K51" si="13">SUM(E42:E50)</f>
        <v>0</v>
      </c>
      <c r="F51">
        <f t="shared" si="13"/>
        <v>0</v>
      </c>
      <c r="G51">
        <f t="shared" si="13"/>
        <v>0</v>
      </c>
      <c r="H51">
        <f t="shared" si="13"/>
        <v>0</v>
      </c>
      <c r="I51">
        <f t="shared" si="13"/>
        <v>0</v>
      </c>
      <c r="J51">
        <f t="shared" si="13"/>
        <v>0</v>
      </c>
      <c r="K51">
        <f t="shared" si="13"/>
        <v>0</v>
      </c>
    </row>
    <row r="52" spans="2:81" x14ac:dyDescent="0.2">
      <c r="B52" t="s">
        <v>333</v>
      </c>
      <c r="C52">
        <v>430</v>
      </c>
      <c r="D52" t="s">
        <v>251</v>
      </c>
      <c r="E52">
        <f t="shared" ref="E52:K52" si="14">SUM(E40+E51)</f>
        <v>0</v>
      </c>
      <c r="F52">
        <f t="shared" si="14"/>
        <v>0</v>
      </c>
      <c r="G52">
        <f t="shared" si="14"/>
        <v>0</v>
      </c>
      <c r="H52">
        <f t="shared" si="14"/>
        <v>0</v>
      </c>
      <c r="I52">
        <f t="shared" si="14"/>
        <v>0</v>
      </c>
      <c r="J52">
        <f t="shared" si="14"/>
        <v>0</v>
      </c>
      <c r="K52">
        <f t="shared" si="14"/>
        <v>0</v>
      </c>
    </row>
    <row r="53" spans="2:81" x14ac:dyDescent="0.2">
      <c r="B53" t="s">
        <v>334</v>
      </c>
    </row>
    <row r="54" spans="2:81" x14ac:dyDescent="0.2">
      <c r="B54" t="s">
        <v>335</v>
      </c>
      <c r="C54">
        <v>440</v>
      </c>
      <c r="D54" t="s">
        <v>251</v>
      </c>
      <c r="H54">
        <f>G54-F54</f>
        <v>0</v>
      </c>
      <c r="K54">
        <f>J54-I54</f>
        <v>0</v>
      </c>
    </row>
    <row r="55" spans="2:81" x14ac:dyDescent="0.2">
      <c r="B55" t="s">
        <v>385</v>
      </c>
      <c r="C55">
        <v>450</v>
      </c>
      <c r="D55" t="s">
        <v>251</v>
      </c>
      <c r="H55">
        <f>G55-F55</f>
        <v>0</v>
      </c>
      <c r="K55">
        <f>J55-I55</f>
        <v>0</v>
      </c>
    </row>
    <row r="56" spans="2:81" x14ac:dyDescent="0.2">
      <c r="B56" t="s">
        <v>338</v>
      </c>
      <c r="C56">
        <v>470</v>
      </c>
      <c r="D56" t="s">
        <v>248</v>
      </c>
      <c r="H56">
        <f>G56-F56</f>
        <v>0</v>
      </c>
      <c r="K56">
        <f>J56-I56</f>
        <v>0</v>
      </c>
      <c r="CB56">
        <f>IF(OR(G56&lt;0,J56&lt;0),1,0)</f>
        <v>0</v>
      </c>
    </row>
    <row r="57" spans="2:81" x14ac:dyDescent="0.2">
      <c r="B57" t="s">
        <v>339</v>
      </c>
      <c r="C57">
        <v>480</v>
      </c>
      <c r="D57" t="s">
        <v>251</v>
      </c>
      <c r="H57">
        <f>G57-F57</f>
        <v>0</v>
      </c>
      <c r="K57">
        <f>J57-I57</f>
        <v>0</v>
      </c>
    </row>
    <row r="58" spans="2:81" x14ac:dyDescent="0.2">
      <c r="B58" t="s">
        <v>358</v>
      </c>
      <c r="C58">
        <v>490</v>
      </c>
      <c r="D58" t="s">
        <v>251</v>
      </c>
      <c r="E58">
        <f t="shared" ref="E58:K58" si="15">SUM(E54:E57)</f>
        <v>0</v>
      </c>
      <c r="F58">
        <f t="shared" si="15"/>
        <v>0</v>
      </c>
      <c r="G58">
        <f t="shared" si="15"/>
        <v>0</v>
      </c>
      <c r="H58">
        <f t="shared" si="15"/>
        <v>0</v>
      </c>
      <c r="I58">
        <f t="shared" si="15"/>
        <v>0</v>
      </c>
      <c r="J58">
        <f t="shared" si="15"/>
        <v>0</v>
      </c>
      <c r="K58">
        <f t="shared" si="15"/>
        <v>0</v>
      </c>
      <c r="CC58">
        <f>IF(OR(G52&lt;&gt;G58,J52&lt;&gt;J58),1,0)</f>
        <v>0</v>
      </c>
    </row>
    <row r="60" spans="2:81" x14ac:dyDescent="0.2">
      <c r="B60" t="s">
        <v>2257</v>
      </c>
      <c r="C60">
        <v>500</v>
      </c>
      <c r="D60" t="s">
        <v>248</v>
      </c>
      <c r="E60">
        <f>E82+E83</f>
        <v>0</v>
      </c>
      <c r="G60">
        <f>G82+G83</f>
        <v>0</v>
      </c>
      <c r="J60">
        <f>J82+J83</f>
        <v>0</v>
      </c>
      <c r="CB60">
        <f>IF(OR(G60&lt;0,J60&lt;0),1,0)</f>
        <v>0</v>
      </c>
    </row>
    <row r="62" spans="2:81" x14ac:dyDescent="0.2">
      <c r="B62" t="s">
        <v>2258</v>
      </c>
      <c r="C62" t="s">
        <v>238</v>
      </c>
      <c r="D62" t="s">
        <v>25</v>
      </c>
      <c r="E62" t="s">
        <v>2873</v>
      </c>
      <c r="G62" t="s">
        <v>2089</v>
      </c>
      <c r="J62" t="s">
        <v>241</v>
      </c>
    </row>
    <row r="63" spans="2:81" x14ac:dyDescent="0.2">
      <c r="C63" t="s">
        <v>242</v>
      </c>
      <c r="E63" t="s">
        <v>2091</v>
      </c>
      <c r="F63" t="s">
        <v>2021</v>
      </c>
      <c r="G63" t="s">
        <v>2092</v>
      </c>
      <c r="H63" t="s">
        <v>2023</v>
      </c>
      <c r="I63" t="s">
        <v>2021</v>
      </c>
      <c r="J63" t="s">
        <v>1048</v>
      </c>
      <c r="K63" t="s">
        <v>2023</v>
      </c>
    </row>
    <row r="64" spans="2:81" x14ac:dyDescent="0.2">
      <c r="E64" t="s">
        <v>2036</v>
      </c>
      <c r="F64" t="s">
        <v>2037</v>
      </c>
      <c r="G64" t="s">
        <v>2038</v>
      </c>
      <c r="H64" t="s">
        <v>2039</v>
      </c>
      <c r="I64" t="s">
        <v>2040</v>
      </c>
      <c r="J64" t="s">
        <v>2041</v>
      </c>
      <c r="K64" t="s">
        <v>2042</v>
      </c>
    </row>
    <row r="65" spans="2:82" x14ac:dyDescent="0.2">
      <c r="E65" t="s">
        <v>243</v>
      </c>
      <c r="F65" t="s">
        <v>243</v>
      </c>
      <c r="G65" t="s">
        <v>243</v>
      </c>
      <c r="H65" t="s">
        <v>243</v>
      </c>
      <c r="I65" t="s">
        <v>243</v>
      </c>
      <c r="J65" t="s">
        <v>243</v>
      </c>
      <c r="K65" t="s">
        <v>243</v>
      </c>
    </row>
    <row r="66" spans="2:82" x14ac:dyDescent="0.2">
      <c r="B66" t="s">
        <v>2259</v>
      </c>
      <c r="C66">
        <v>510</v>
      </c>
      <c r="D66" t="s">
        <v>245</v>
      </c>
      <c r="H66">
        <f t="shared" ref="H66:H71" si="16">G66-F66</f>
        <v>0</v>
      </c>
      <c r="K66">
        <f t="shared" ref="K66:K71" si="17">J66-I66</f>
        <v>0</v>
      </c>
      <c r="CA66">
        <f>IF(OR(G66&gt;0,J66&gt;0),1,0)</f>
        <v>0</v>
      </c>
    </row>
    <row r="67" spans="2:82" x14ac:dyDescent="0.2">
      <c r="B67" t="s">
        <v>2260</v>
      </c>
      <c r="C67">
        <v>520</v>
      </c>
      <c r="D67" t="s">
        <v>245</v>
      </c>
      <c r="H67">
        <f t="shared" si="16"/>
        <v>0</v>
      </c>
      <c r="J67">
        <f>G67</f>
        <v>0</v>
      </c>
      <c r="K67">
        <f t="shared" si="17"/>
        <v>0</v>
      </c>
      <c r="CA67">
        <f>IF(OR(G67&gt;0,J67&gt;0),1,0)</f>
        <v>0</v>
      </c>
    </row>
    <row r="68" spans="2:82" x14ac:dyDescent="0.2">
      <c r="B68" t="s">
        <v>2261</v>
      </c>
      <c r="C68">
        <v>530</v>
      </c>
      <c r="D68" t="s">
        <v>245</v>
      </c>
      <c r="H68">
        <f t="shared" si="16"/>
        <v>0</v>
      </c>
      <c r="J68">
        <f>G68</f>
        <v>0</v>
      </c>
      <c r="K68">
        <f t="shared" si="17"/>
        <v>0</v>
      </c>
      <c r="CA68">
        <f>IF(OR(G68&gt;0,J68&gt;0),1,0)</f>
        <v>0</v>
      </c>
    </row>
    <row r="69" spans="2:82" x14ac:dyDescent="0.2">
      <c r="B69" t="s">
        <v>2262</v>
      </c>
      <c r="C69">
        <v>540</v>
      </c>
      <c r="D69" t="s">
        <v>245</v>
      </c>
      <c r="H69">
        <f t="shared" si="16"/>
        <v>0</v>
      </c>
      <c r="J69">
        <f>G69</f>
        <v>0</v>
      </c>
      <c r="K69">
        <f t="shared" si="17"/>
        <v>0</v>
      </c>
      <c r="CA69">
        <f>IF(OR(G69&gt;0,J69&gt;0),1,0)</f>
        <v>0</v>
      </c>
    </row>
    <row r="70" spans="2:82" x14ac:dyDescent="0.2">
      <c r="B70" t="s">
        <v>2263</v>
      </c>
      <c r="C70">
        <v>550</v>
      </c>
      <c r="D70" t="s">
        <v>248</v>
      </c>
      <c r="H70">
        <f t="shared" si="16"/>
        <v>0</v>
      </c>
      <c r="J70">
        <f>G70</f>
        <v>0</v>
      </c>
      <c r="K70">
        <f t="shared" si="17"/>
        <v>0</v>
      </c>
      <c r="CB70">
        <f>IF(OR(G70&lt;0,J70&lt;0),1,0)</f>
        <v>0</v>
      </c>
    </row>
    <row r="71" spans="2:82" x14ac:dyDescent="0.2">
      <c r="B71" t="s">
        <v>2264</v>
      </c>
      <c r="C71">
        <v>555</v>
      </c>
      <c r="D71" t="s">
        <v>245</v>
      </c>
      <c r="H71">
        <f t="shared" si="16"/>
        <v>0</v>
      </c>
      <c r="K71">
        <f t="shared" si="17"/>
        <v>0</v>
      </c>
      <c r="CA71">
        <f>IF(OR(G71&gt;0,J71&gt;0),1,0)</f>
        <v>0</v>
      </c>
    </row>
    <row r="72" spans="2:82" x14ac:dyDescent="0.2">
      <c r="B72" t="s">
        <v>2906</v>
      </c>
      <c r="K72" t="s">
        <v>2907</v>
      </c>
    </row>
    <row r="73" spans="2:82" x14ac:dyDescent="0.2">
      <c r="B73" t="s">
        <v>2908</v>
      </c>
      <c r="K73" t="s">
        <v>2909</v>
      </c>
    </row>
    <row r="74" spans="2:82" x14ac:dyDescent="0.2">
      <c r="B74" t="s">
        <v>2910</v>
      </c>
      <c r="C74">
        <v>560</v>
      </c>
      <c r="D74" t="s">
        <v>245</v>
      </c>
      <c r="F74">
        <f>I74</f>
        <v>0</v>
      </c>
      <c r="CA74">
        <f>IF(OR(E74&gt;0,F74&gt;0,I74&gt;0),1,0)</f>
        <v>0</v>
      </c>
      <c r="CD74">
        <f>IF(AND(F74&lt;&gt;0,ISBLANK(K74)),1,IF(AND(I74&lt;&gt;0,ISBLANK(K74)),1,0))</f>
        <v>0</v>
      </c>
    </row>
    <row r="75" spans="2:82" x14ac:dyDescent="0.2">
      <c r="B75" t="s">
        <v>2911</v>
      </c>
      <c r="C75">
        <v>565</v>
      </c>
      <c r="D75" t="s">
        <v>245</v>
      </c>
      <c r="F75">
        <f>I75</f>
        <v>0</v>
      </c>
      <c r="CA75">
        <f>IF(OR(E75&gt;0,F75&gt;0,I75&gt;0),1,0)</f>
        <v>0</v>
      </c>
      <c r="CD75">
        <f>IF(AND(F75&lt;&gt;0,ISBLANK(K75)),1,IF(AND(I75&lt;&gt;0,ISBLANK(K75)),1,0))</f>
        <v>0</v>
      </c>
    </row>
    <row r="77" spans="2:82" x14ac:dyDescent="0.2">
      <c r="C77" t="s">
        <v>238</v>
      </c>
      <c r="D77" t="s">
        <v>25</v>
      </c>
      <c r="E77" t="s">
        <v>2873</v>
      </c>
      <c r="G77" t="s">
        <v>2089</v>
      </c>
      <c r="J77" t="s">
        <v>241</v>
      </c>
    </row>
    <row r="78" spans="2:82" x14ac:dyDescent="0.2">
      <c r="B78" t="s">
        <v>2265</v>
      </c>
      <c r="C78" t="s">
        <v>242</v>
      </c>
      <c r="E78" t="s">
        <v>2091</v>
      </c>
      <c r="F78" t="s">
        <v>2021</v>
      </c>
      <c r="G78" t="s">
        <v>2092</v>
      </c>
      <c r="H78" t="s">
        <v>2023</v>
      </c>
      <c r="I78" t="s">
        <v>2021</v>
      </c>
      <c r="J78" t="s">
        <v>1048</v>
      </c>
      <c r="K78" t="s">
        <v>2023</v>
      </c>
    </row>
    <row r="79" spans="2:82" x14ac:dyDescent="0.2">
      <c r="E79" t="s">
        <v>2036</v>
      </c>
      <c r="F79" t="s">
        <v>2037</v>
      </c>
      <c r="G79" t="s">
        <v>2038</v>
      </c>
      <c r="H79" t="s">
        <v>2039</v>
      </c>
      <c r="I79" t="s">
        <v>2040</v>
      </c>
      <c r="J79" t="s">
        <v>2041</v>
      </c>
      <c r="K79" t="s">
        <v>2042</v>
      </c>
    </row>
    <row r="80" spans="2:82" x14ac:dyDescent="0.2">
      <c r="E80" t="s">
        <v>243</v>
      </c>
      <c r="F80" t="s">
        <v>243</v>
      </c>
      <c r="G80" t="s">
        <v>243</v>
      </c>
      <c r="H80" t="s">
        <v>243</v>
      </c>
      <c r="I80" t="s">
        <v>243</v>
      </c>
      <c r="J80" t="s">
        <v>243</v>
      </c>
      <c r="K80" t="s">
        <v>243</v>
      </c>
    </row>
    <row r="81" spans="2:91" x14ac:dyDescent="0.2">
      <c r="B81" t="s">
        <v>2266</v>
      </c>
      <c r="C81">
        <v>685</v>
      </c>
      <c r="D81" t="s">
        <v>248</v>
      </c>
      <c r="E81">
        <f>E23</f>
        <v>0</v>
      </c>
      <c r="G81">
        <f>G23</f>
        <v>0</v>
      </c>
      <c r="J81">
        <f>J23</f>
        <v>0</v>
      </c>
    </row>
    <row r="82" spans="2:91" x14ac:dyDescent="0.2">
      <c r="B82" t="s">
        <v>2267</v>
      </c>
      <c r="C82">
        <v>690</v>
      </c>
      <c r="D82" t="s">
        <v>248</v>
      </c>
      <c r="CB82">
        <f>IF(OR(G82&lt;0,J82&lt;0),1,0)</f>
        <v>0</v>
      </c>
    </row>
    <row r="83" spans="2:91" x14ac:dyDescent="0.2">
      <c r="B83" t="s">
        <v>2268</v>
      </c>
      <c r="C83">
        <v>695</v>
      </c>
      <c r="D83" t="s">
        <v>248</v>
      </c>
      <c r="CB83">
        <f>IF(OR(G83&lt;0,J83&lt;0),1,0)</f>
        <v>0</v>
      </c>
    </row>
    <row r="84" spans="2:91" x14ac:dyDescent="0.2">
      <c r="B84" t="s">
        <v>2269</v>
      </c>
      <c r="C84">
        <v>700</v>
      </c>
      <c r="D84" t="s">
        <v>248</v>
      </c>
      <c r="CB84">
        <f>IF(OR(G84&lt;0,J84&lt;0),1,0)</f>
        <v>0</v>
      </c>
      <c r="CM84">
        <f>IF(AND(G87&lt;&gt;0,G84=0),1,IF(AND(J87&lt;&gt;0,J84=0),1,0))</f>
        <v>0</v>
      </c>
    </row>
    <row r="85" spans="2:91" x14ac:dyDescent="0.2">
      <c r="B85" t="s">
        <v>2270</v>
      </c>
      <c r="C85">
        <v>705</v>
      </c>
      <c r="D85" t="s">
        <v>248</v>
      </c>
      <c r="CB85">
        <f>IF(OR(G85&lt;0,J85&lt;0),1,0)</f>
        <v>0</v>
      </c>
    </row>
    <row r="86" spans="2:91" x14ac:dyDescent="0.2">
      <c r="B86" t="s">
        <v>340</v>
      </c>
      <c r="C86">
        <v>710</v>
      </c>
      <c r="D86" t="s">
        <v>248</v>
      </c>
      <c r="G86">
        <f>SUM(G82:G85)</f>
        <v>0</v>
      </c>
      <c r="J86">
        <f>SUM(J82:J85)</f>
        <v>0</v>
      </c>
      <c r="CF86">
        <f>IF(OR(G86&lt;&gt;G81,J86&lt;&gt;J81),1,0)</f>
        <v>0</v>
      </c>
    </row>
    <row r="87" spans="2:91" x14ac:dyDescent="0.2">
      <c r="B87" t="s">
        <v>2271</v>
      </c>
      <c r="C87">
        <v>720</v>
      </c>
      <c r="D87" t="s">
        <v>248</v>
      </c>
      <c r="J87">
        <f>G87</f>
        <v>0</v>
      </c>
      <c r="CM87">
        <f>IF(AND(G84&lt;&gt;0,G87&lt;0.01),1,IF(AND(J84&lt;&gt;0,J87&lt;0.01),1,0))</f>
        <v>0</v>
      </c>
    </row>
  </sheetData>
  <sheetProtection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CD86"/>
  <sheetViews>
    <sheetView zoomScale="70" zoomScaleNormal="70" workbookViewId="0"/>
  </sheetViews>
  <sheetFormatPr defaultRowHeight="12.75" x14ac:dyDescent="0.2"/>
  <sheetData>
    <row r="1" spans="1:82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2" x14ac:dyDescent="0.2">
      <c r="A2" t="s">
        <v>3727</v>
      </c>
    </row>
    <row r="3" spans="1:82" x14ac:dyDescent="0.2">
      <c r="A3" t="s">
        <v>3757</v>
      </c>
    </row>
    <row r="4" spans="1:82" x14ac:dyDescent="0.2">
      <c r="B4" t="s">
        <v>381</v>
      </c>
    </row>
    <row r="5" spans="1:82" x14ac:dyDescent="0.2">
      <c r="B5" t="s">
        <v>66</v>
      </c>
      <c r="CA5" t="s">
        <v>230</v>
      </c>
      <c r="CB5">
        <f>0</f>
        <v>0</v>
      </c>
    </row>
    <row r="6" spans="1:82" x14ac:dyDescent="0.2">
      <c r="CA6" t="s">
        <v>231</v>
      </c>
      <c r="CB6" t="s">
        <v>232</v>
      </c>
      <c r="CD6" t="s">
        <v>382</v>
      </c>
    </row>
    <row r="7" spans="1:82" x14ac:dyDescent="0.2">
      <c r="D7" t="s">
        <v>25</v>
      </c>
      <c r="E7" t="s">
        <v>235</v>
      </c>
      <c r="F7" t="s">
        <v>236</v>
      </c>
      <c r="H7" t="s">
        <v>294</v>
      </c>
      <c r="I7" t="s">
        <v>295</v>
      </c>
      <c r="J7" t="s">
        <v>296</v>
      </c>
      <c r="CA7">
        <f>SUM(CA8:CA94)</f>
        <v>0</v>
      </c>
      <c r="CB7">
        <f>SUM(CB8:CB94)</f>
        <v>0</v>
      </c>
      <c r="CD7">
        <f>SUM(CD8:CD94)</f>
        <v>0</v>
      </c>
    </row>
    <row r="8" spans="1:82" x14ac:dyDescent="0.2">
      <c r="B8" t="s">
        <v>383</v>
      </c>
      <c r="C8" t="s">
        <v>238</v>
      </c>
      <c r="E8" t="s">
        <v>384</v>
      </c>
      <c r="F8" t="s">
        <v>385</v>
      </c>
      <c r="H8" t="s">
        <v>338</v>
      </c>
      <c r="I8" t="s">
        <v>339</v>
      </c>
      <c r="J8" t="s">
        <v>386</v>
      </c>
    </row>
    <row r="9" spans="1:82" x14ac:dyDescent="0.2">
      <c r="C9" t="s">
        <v>242</v>
      </c>
      <c r="E9" t="s">
        <v>243</v>
      </c>
      <c r="F9" t="s">
        <v>243</v>
      </c>
      <c r="H9" t="s">
        <v>243</v>
      </c>
      <c r="I9" t="s">
        <v>243</v>
      </c>
      <c r="J9" t="s">
        <v>243</v>
      </c>
    </row>
    <row r="10" spans="1:82" x14ac:dyDescent="0.2">
      <c r="B10" t="s">
        <v>1033</v>
      </c>
      <c r="C10">
        <v>100</v>
      </c>
      <c r="D10" t="s">
        <v>251</v>
      </c>
      <c r="E10">
        <f>E86</f>
        <v>0</v>
      </c>
      <c r="F10">
        <f>F86</f>
        <v>0</v>
      </c>
      <c r="H10">
        <f>H86</f>
        <v>0</v>
      </c>
      <c r="I10">
        <f>I86</f>
        <v>0</v>
      </c>
      <c r="J10">
        <f>J86</f>
        <v>0</v>
      </c>
    </row>
    <row r="11" spans="1:82" x14ac:dyDescent="0.2">
      <c r="B11" t="s">
        <v>304</v>
      </c>
      <c r="C11">
        <v>101</v>
      </c>
      <c r="D11" t="s">
        <v>251</v>
      </c>
    </row>
    <row r="12" spans="1:82" x14ac:dyDescent="0.2">
      <c r="B12" t="s">
        <v>303</v>
      </c>
      <c r="C12">
        <v>102</v>
      </c>
      <c r="D12" t="s">
        <v>251</v>
      </c>
    </row>
    <row r="13" spans="1:82" x14ac:dyDescent="0.2">
      <c r="B13" t="s">
        <v>387</v>
      </c>
      <c r="C13">
        <v>103</v>
      </c>
      <c r="D13" t="s">
        <v>251</v>
      </c>
    </row>
    <row r="14" spans="1:82" x14ac:dyDescent="0.2">
      <c r="B14" t="s">
        <v>388</v>
      </c>
      <c r="C14">
        <v>104</v>
      </c>
      <c r="D14" t="s">
        <v>251</v>
      </c>
    </row>
    <row r="15" spans="1:82" x14ac:dyDescent="0.2">
      <c r="B15" t="s">
        <v>389</v>
      </c>
      <c r="C15">
        <v>105</v>
      </c>
      <c r="D15" t="s">
        <v>251</v>
      </c>
      <c r="J15">
        <f>SUM(E15:I15)</f>
        <v>0</v>
      </c>
    </row>
    <row r="16" spans="1:82" x14ac:dyDescent="0.2">
      <c r="B16" t="s">
        <v>390</v>
      </c>
      <c r="C16">
        <v>106</v>
      </c>
      <c r="D16" t="s">
        <v>251</v>
      </c>
    </row>
    <row r="17" spans="2:10" x14ac:dyDescent="0.2">
      <c r="B17" t="s">
        <v>391</v>
      </c>
      <c r="C17">
        <v>107</v>
      </c>
      <c r="D17" t="s">
        <v>251</v>
      </c>
      <c r="E17">
        <f>SUM(E10+E15)</f>
        <v>0</v>
      </c>
      <c r="F17">
        <f>SUM(F10+F15)</f>
        <v>0</v>
      </c>
      <c r="H17">
        <f>SUM(H10+H15)</f>
        <v>0</v>
      </c>
      <c r="I17">
        <f>SUM(I10+I15)</f>
        <v>0</v>
      </c>
      <c r="J17">
        <f>SUM(E17:I17)</f>
        <v>0</v>
      </c>
    </row>
    <row r="18" spans="2:10" x14ac:dyDescent="0.2">
      <c r="B18" t="s">
        <v>422</v>
      </c>
    </row>
    <row r="19" spans="2:10" x14ac:dyDescent="0.2">
      <c r="B19" t="s">
        <v>393</v>
      </c>
      <c r="C19">
        <v>110</v>
      </c>
      <c r="D19" t="s">
        <v>251</v>
      </c>
    </row>
    <row r="20" spans="2:10" x14ac:dyDescent="0.2">
      <c r="B20" t="s">
        <v>394</v>
      </c>
      <c r="C20">
        <v>120</v>
      </c>
      <c r="D20" t="s">
        <v>251</v>
      </c>
      <c r="J20">
        <f t="shared" ref="J20:J29" si="0">SUM(E20:I20)</f>
        <v>0</v>
      </c>
    </row>
    <row r="21" spans="2:10" x14ac:dyDescent="0.2">
      <c r="B21" t="s">
        <v>395</v>
      </c>
      <c r="C21">
        <v>130</v>
      </c>
      <c r="D21" t="s">
        <v>251</v>
      </c>
      <c r="J21">
        <f t="shared" si="0"/>
        <v>0</v>
      </c>
    </row>
    <row r="22" spans="2:10" x14ac:dyDescent="0.2">
      <c r="B22" t="s">
        <v>396</v>
      </c>
      <c r="C22">
        <v>140</v>
      </c>
      <c r="D22" t="s">
        <v>251</v>
      </c>
      <c r="J22">
        <f t="shared" si="0"/>
        <v>0</v>
      </c>
    </row>
    <row r="23" spans="2:10" x14ac:dyDescent="0.2">
      <c r="B23" t="s">
        <v>397</v>
      </c>
      <c r="C23">
        <v>150</v>
      </c>
      <c r="D23" t="s">
        <v>251</v>
      </c>
      <c r="J23">
        <f t="shared" si="0"/>
        <v>0</v>
      </c>
    </row>
    <row r="24" spans="2:10" x14ac:dyDescent="0.2">
      <c r="B24" t="s">
        <v>398</v>
      </c>
      <c r="C24">
        <v>155</v>
      </c>
      <c r="D24" t="s">
        <v>251</v>
      </c>
      <c r="J24">
        <f t="shared" si="0"/>
        <v>0</v>
      </c>
    </row>
    <row r="25" spans="2:10" x14ac:dyDescent="0.2">
      <c r="B25" t="s">
        <v>399</v>
      </c>
      <c r="C25">
        <v>170</v>
      </c>
      <c r="D25" t="s">
        <v>251</v>
      </c>
      <c r="J25">
        <f t="shared" si="0"/>
        <v>0</v>
      </c>
    </row>
    <row r="26" spans="2:10" x14ac:dyDescent="0.2">
      <c r="B26" t="s">
        <v>263</v>
      </c>
      <c r="C26">
        <v>180</v>
      </c>
      <c r="D26" t="s">
        <v>251</v>
      </c>
      <c r="J26">
        <f t="shared" si="0"/>
        <v>0</v>
      </c>
    </row>
    <row r="27" spans="2:10" x14ac:dyDescent="0.2">
      <c r="B27" t="s">
        <v>400</v>
      </c>
      <c r="C27">
        <v>190</v>
      </c>
      <c r="D27" t="s">
        <v>251</v>
      </c>
      <c r="J27">
        <f t="shared" si="0"/>
        <v>0</v>
      </c>
    </row>
    <row r="28" spans="2:10" x14ac:dyDescent="0.2">
      <c r="B28" t="s">
        <v>401</v>
      </c>
      <c r="C28">
        <v>215</v>
      </c>
      <c r="D28" t="s">
        <v>251</v>
      </c>
      <c r="J28">
        <f t="shared" si="0"/>
        <v>0</v>
      </c>
    </row>
    <row r="29" spans="2:10" x14ac:dyDescent="0.2">
      <c r="B29" t="s">
        <v>402</v>
      </c>
      <c r="C29">
        <v>217</v>
      </c>
      <c r="D29" t="s">
        <v>251</v>
      </c>
      <c r="J29">
        <f t="shared" si="0"/>
        <v>0</v>
      </c>
    </row>
    <row r="30" spans="2:10" x14ac:dyDescent="0.2">
      <c r="B30" t="s">
        <v>268</v>
      </c>
    </row>
    <row r="31" spans="2:10" x14ac:dyDescent="0.2">
      <c r="B31" t="s">
        <v>403</v>
      </c>
      <c r="C31">
        <v>220</v>
      </c>
      <c r="D31" t="s">
        <v>251</v>
      </c>
      <c r="J31">
        <f>SUM(E31:I31)</f>
        <v>0</v>
      </c>
    </row>
    <row r="32" spans="2:10" x14ac:dyDescent="0.2">
      <c r="B32" t="s">
        <v>404</v>
      </c>
      <c r="C32">
        <v>225</v>
      </c>
      <c r="D32" t="s">
        <v>251</v>
      </c>
      <c r="F32">
        <f>H32*-1</f>
        <v>0</v>
      </c>
      <c r="J32">
        <f>SUM(E32:I32)</f>
        <v>0</v>
      </c>
    </row>
    <row r="34" spans="2:82" x14ac:dyDescent="0.2">
      <c r="B34" t="s">
        <v>405</v>
      </c>
      <c r="C34">
        <v>230</v>
      </c>
      <c r="D34" t="s">
        <v>251</v>
      </c>
      <c r="J34">
        <f t="shared" ref="J34:J44" si="1">SUM(E34:I34)</f>
        <v>0</v>
      </c>
    </row>
    <row r="35" spans="2:82" x14ac:dyDescent="0.2">
      <c r="B35" t="s">
        <v>406</v>
      </c>
      <c r="C35">
        <v>240</v>
      </c>
      <c r="D35" t="s">
        <v>245</v>
      </c>
      <c r="J35">
        <f t="shared" si="1"/>
        <v>0</v>
      </c>
      <c r="CA35">
        <f>IF(OR(E35&gt;0,F35&gt;0,G35&gt;0,H35&gt;0,I35&gt;0),1,0)</f>
        <v>0</v>
      </c>
    </row>
    <row r="36" spans="2:82" x14ac:dyDescent="0.2">
      <c r="B36" t="s">
        <v>407</v>
      </c>
      <c r="C36">
        <v>250</v>
      </c>
      <c r="D36" t="s">
        <v>248</v>
      </c>
      <c r="J36">
        <f t="shared" si="1"/>
        <v>0</v>
      </c>
      <c r="CB36">
        <f>IF(OR(E36&lt;0,F36&lt;0,G36&lt;0,H36&lt;0,I36&lt;0,J36&lt;0),1,0)</f>
        <v>0</v>
      </c>
    </row>
    <row r="37" spans="2:82" x14ac:dyDescent="0.2">
      <c r="B37" t="s">
        <v>424</v>
      </c>
      <c r="C37">
        <v>260</v>
      </c>
      <c r="D37" t="s">
        <v>248</v>
      </c>
      <c r="J37">
        <f t="shared" si="1"/>
        <v>0</v>
      </c>
      <c r="CB37">
        <f>IF(OR(E37&lt;0,F37&lt;0,G37&lt;0,H37&lt;0,I37&lt;0,J37&lt;0),1,0)</f>
        <v>0</v>
      </c>
    </row>
    <row r="38" spans="2:82" x14ac:dyDescent="0.2">
      <c r="B38" t="s">
        <v>409</v>
      </c>
      <c r="C38">
        <v>265</v>
      </c>
      <c r="D38" t="s">
        <v>251</v>
      </c>
      <c r="J38">
        <f t="shared" si="1"/>
        <v>0</v>
      </c>
    </row>
    <row r="39" spans="2:82" x14ac:dyDescent="0.2">
      <c r="B39" t="s">
        <v>425</v>
      </c>
      <c r="C39">
        <v>270</v>
      </c>
      <c r="D39" t="s">
        <v>245</v>
      </c>
      <c r="J39">
        <f t="shared" si="1"/>
        <v>0</v>
      </c>
      <c r="CA39">
        <f>IF(OR(E39&gt;0,F39&gt;0,G39&gt;0,H39&gt;0,I39&gt;0),1,0)</f>
        <v>0</v>
      </c>
    </row>
    <row r="40" spans="2:82" x14ac:dyDescent="0.2">
      <c r="B40" t="s">
        <v>411</v>
      </c>
      <c r="C40">
        <v>280</v>
      </c>
      <c r="D40" t="s">
        <v>245</v>
      </c>
      <c r="J40">
        <f t="shared" si="1"/>
        <v>0</v>
      </c>
      <c r="CA40">
        <f>IF(OR(E40&gt;0,F40&gt;0,G40&gt;0,H40&gt;0,I40&gt;0),1,0)</f>
        <v>0</v>
      </c>
    </row>
    <row r="41" spans="2:82" x14ac:dyDescent="0.2">
      <c r="B41" t="s">
        <v>426</v>
      </c>
      <c r="C41">
        <v>290</v>
      </c>
      <c r="D41" t="s">
        <v>245</v>
      </c>
      <c r="J41">
        <f t="shared" si="1"/>
        <v>0</v>
      </c>
      <c r="CA41">
        <f>IF(OR(E41&gt;0,F41&gt;0,G41&gt;0,H41&gt;0,I41&gt;0),1,0)</f>
        <v>0</v>
      </c>
    </row>
    <row r="42" spans="2:82" x14ac:dyDescent="0.2">
      <c r="B42" t="s">
        <v>413</v>
      </c>
      <c r="C42">
        <v>300</v>
      </c>
      <c r="D42" t="s">
        <v>251</v>
      </c>
      <c r="J42">
        <f t="shared" si="1"/>
        <v>0</v>
      </c>
    </row>
    <row r="43" spans="2:82" x14ac:dyDescent="0.2">
      <c r="B43" t="s">
        <v>414</v>
      </c>
      <c r="C43">
        <v>310</v>
      </c>
      <c r="D43" t="s">
        <v>251</v>
      </c>
      <c r="J43">
        <f t="shared" si="1"/>
        <v>0</v>
      </c>
    </row>
    <row r="44" spans="2:82" x14ac:dyDescent="0.2">
      <c r="B44" t="s">
        <v>415</v>
      </c>
      <c r="C44">
        <v>315</v>
      </c>
      <c r="D44" t="s">
        <v>251</v>
      </c>
      <c r="J44">
        <f t="shared" si="1"/>
        <v>0</v>
      </c>
    </row>
    <row r="45" spans="2:82" x14ac:dyDescent="0.2">
      <c r="B45" t="s">
        <v>429</v>
      </c>
      <c r="C45">
        <v>320</v>
      </c>
      <c r="D45" t="s">
        <v>251</v>
      </c>
      <c r="E45">
        <f>SUM(E19:E44)</f>
        <v>0</v>
      </c>
      <c r="F45">
        <f>SUM(F19:F44)</f>
        <v>0</v>
      </c>
      <c r="H45">
        <f>SUM(H19:H44)</f>
        <v>0</v>
      </c>
      <c r="I45">
        <f>SUM(I19:I44)</f>
        <v>0</v>
      </c>
      <c r="J45">
        <f>SUM(J19:J44)</f>
        <v>0</v>
      </c>
    </row>
    <row r="46" spans="2:82" x14ac:dyDescent="0.2">
      <c r="B46" t="s">
        <v>417</v>
      </c>
      <c r="C46">
        <v>340</v>
      </c>
      <c r="D46" t="s">
        <v>251</v>
      </c>
      <c r="F46">
        <f>SUM(H46+I46)*-1</f>
        <v>0</v>
      </c>
      <c r="J46">
        <f>SUM(E46:I46)</f>
        <v>0</v>
      </c>
    </row>
    <row r="47" spans="2:82" x14ac:dyDescent="0.2">
      <c r="B47" t="s">
        <v>418</v>
      </c>
      <c r="C47">
        <v>345</v>
      </c>
      <c r="D47" t="s">
        <v>251</v>
      </c>
      <c r="F47">
        <f>SUM(H47+I47)*-1</f>
        <v>0</v>
      </c>
      <c r="J47">
        <f>SUM(E47:I47)</f>
        <v>0</v>
      </c>
    </row>
    <row r="48" spans="2:82" x14ac:dyDescent="0.2">
      <c r="B48" t="s">
        <v>419</v>
      </c>
      <c r="C48">
        <v>350</v>
      </c>
      <c r="D48" t="s">
        <v>251</v>
      </c>
      <c r="E48">
        <f>SUM(E45:E47)+E17</f>
        <v>0</v>
      </c>
      <c r="F48">
        <f>SUM(F45:F47)+F17</f>
        <v>0</v>
      </c>
      <c r="H48">
        <f>SUM(H45:H47)+H17</f>
        <v>0</v>
      </c>
      <c r="I48">
        <f>SUM(I45:I47)+I17</f>
        <v>0</v>
      </c>
      <c r="J48">
        <f>SUM(J44:J47)+J17</f>
        <v>0</v>
      </c>
      <c r="CD48">
        <f>IF(H48&gt;=0,0,1)</f>
        <v>0</v>
      </c>
    </row>
    <row r="49" spans="2:10" x14ac:dyDescent="0.2">
      <c r="D49" t="s">
        <v>25</v>
      </c>
      <c r="E49" t="s">
        <v>235</v>
      </c>
      <c r="F49" t="s">
        <v>236</v>
      </c>
      <c r="H49" t="s">
        <v>294</v>
      </c>
      <c r="I49" t="s">
        <v>295</v>
      </c>
      <c r="J49" t="s">
        <v>296</v>
      </c>
    </row>
    <row r="50" spans="2:10" x14ac:dyDescent="0.2">
      <c r="B50" t="s">
        <v>420</v>
      </c>
      <c r="C50" t="s">
        <v>238</v>
      </c>
      <c r="E50" t="s">
        <v>384</v>
      </c>
      <c r="F50" t="s">
        <v>385</v>
      </c>
      <c r="H50" t="s">
        <v>338</v>
      </c>
      <c r="I50" t="s">
        <v>339</v>
      </c>
      <c r="J50" t="s">
        <v>386</v>
      </c>
    </row>
    <row r="51" spans="2:10" x14ac:dyDescent="0.2">
      <c r="C51" t="s">
        <v>242</v>
      </c>
      <c r="E51" t="s">
        <v>243</v>
      </c>
      <c r="F51" t="s">
        <v>243</v>
      </c>
      <c r="H51" t="s">
        <v>243</v>
      </c>
      <c r="I51" t="s">
        <v>243</v>
      </c>
      <c r="J51" t="s">
        <v>243</v>
      </c>
    </row>
    <row r="52" spans="2:10" x14ac:dyDescent="0.2">
      <c r="B52" t="s">
        <v>421</v>
      </c>
      <c r="C52">
        <v>400</v>
      </c>
      <c r="D52" t="s">
        <v>251</v>
      </c>
    </row>
    <row r="53" spans="2:10" x14ac:dyDescent="0.2">
      <c r="B53" t="s">
        <v>304</v>
      </c>
      <c r="C53">
        <v>410</v>
      </c>
      <c r="D53" t="s">
        <v>251</v>
      </c>
    </row>
    <row r="54" spans="2:10" x14ac:dyDescent="0.2">
      <c r="B54" t="s">
        <v>303</v>
      </c>
      <c r="C54">
        <v>420</v>
      </c>
      <c r="D54" t="s">
        <v>251</v>
      </c>
    </row>
    <row r="55" spans="2:10" x14ac:dyDescent="0.2">
      <c r="B55" t="s">
        <v>387</v>
      </c>
      <c r="C55">
        <v>430</v>
      </c>
      <c r="D55" t="s">
        <v>251</v>
      </c>
    </row>
    <row r="56" spans="2:10" x14ac:dyDescent="0.2">
      <c r="B56" t="s">
        <v>388</v>
      </c>
      <c r="C56">
        <v>440</v>
      </c>
      <c r="D56" t="s">
        <v>251</v>
      </c>
    </row>
    <row r="57" spans="2:10" x14ac:dyDescent="0.2">
      <c r="B57" t="s">
        <v>389</v>
      </c>
      <c r="C57">
        <v>450</v>
      </c>
      <c r="D57" t="s">
        <v>251</v>
      </c>
    </row>
    <row r="58" spans="2:10" x14ac:dyDescent="0.2">
      <c r="B58" t="s">
        <v>390</v>
      </c>
      <c r="C58">
        <v>460</v>
      </c>
      <c r="D58" t="s">
        <v>251</v>
      </c>
    </row>
    <row r="59" spans="2:10" x14ac:dyDescent="0.2">
      <c r="B59" t="s">
        <v>391</v>
      </c>
      <c r="C59">
        <v>470</v>
      </c>
      <c r="D59" t="s">
        <v>251</v>
      </c>
    </row>
    <row r="60" spans="2:10" x14ac:dyDescent="0.2">
      <c r="B60" t="s">
        <v>2912</v>
      </c>
    </row>
    <row r="62" spans="2:10" x14ac:dyDescent="0.2">
      <c r="B62" t="s">
        <v>394</v>
      </c>
      <c r="C62">
        <v>480</v>
      </c>
      <c r="D62" t="s">
        <v>251</v>
      </c>
    </row>
    <row r="63" spans="2:10" x14ac:dyDescent="0.2">
      <c r="B63" t="s">
        <v>395</v>
      </c>
      <c r="C63">
        <v>490</v>
      </c>
      <c r="D63" t="s">
        <v>251</v>
      </c>
    </row>
    <row r="64" spans="2:10" x14ac:dyDescent="0.2">
      <c r="B64" t="s">
        <v>396</v>
      </c>
      <c r="C64">
        <v>500</v>
      </c>
      <c r="D64" t="s">
        <v>251</v>
      </c>
    </row>
    <row r="65" spans="2:4" x14ac:dyDescent="0.2">
      <c r="B65" t="s">
        <v>397</v>
      </c>
      <c r="C65">
        <v>510</v>
      </c>
      <c r="D65" t="s">
        <v>251</v>
      </c>
    </row>
    <row r="66" spans="2:4" x14ac:dyDescent="0.2">
      <c r="B66" t="s">
        <v>2913</v>
      </c>
      <c r="C66">
        <v>520</v>
      </c>
      <c r="D66" t="s">
        <v>251</v>
      </c>
    </row>
    <row r="67" spans="2:4" x14ac:dyDescent="0.2">
      <c r="B67" t="s">
        <v>399</v>
      </c>
      <c r="C67">
        <v>530</v>
      </c>
      <c r="D67" t="s">
        <v>251</v>
      </c>
    </row>
    <row r="68" spans="2:4" x14ac:dyDescent="0.2">
      <c r="B68" t="s">
        <v>2007</v>
      </c>
      <c r="C68">
        <v>540</v>
      </c>
      <c r="D68" t="s">
        <v>251</v>
      </c>
    </row>
    <row r="69" spans="2:4" x14ac:dyDescent="0.2">
      <c r="B69" t="s">
        <v>400</v>
      </c>
      <c r="C69">
        <v>550</v>
      </c>
      <c r="D69" t="s">
        <v>251</v>
      </c>
    </row>
    <row r="70" spans="2:4" x14ac:dyDescent="0.2">
      <c r="B70" t="s">
        <v>2914</v>
      </c>
      <c r="C70">
        <v>560</v>
      </c>
      <c r="D70" t="s">
        <v>251</v>
      </c>
    </row>
    <row r="71" spans="2:4" x14ac:dyDescent="0.2">
      <c r="B71" t="s">
        <v>2915</v>
      </c>
      <c r="C71">
        <v>570</v>
      </c>
      <c r="D71" t="s">
        <v>251</v>
      </c>
    </row>
    <row r="72" spans="2:4" x14ac:dyDescent="0.2">
      <c r="B72" t="s">
        <v>268</v>
      </c>
    </row>
    <row r="73" spans="2:4" x14ac:dyDescent="0.2">
      <c r="B73" t="s">
        <v>403</v>
      </c>
      <c r="C73">
        <v>580</v>
      </c>
      <c r="D73" t="s">
        <v>251</v>
      </c>
    </row>
    <row r="74" spans="2:4" x14ac:dyDescent="0.2">
      <c r="B74" t="s">
        <v>2916</v>
      </c>
      <c r="C74">
        <v>590</v>
      </c>
      <c r="D74" t="s">
        <v>251</v>
      </c>
    </row>
    <row r="75" spans="2:4" x14ac:dyDescent="0.2">
      <c r="B75" t="s">
        <v>405</v>
      </c>
      <c r="C75">
        <v>600</v>
      </c>
      <c r="D75" t="s">
        <v>251</v>
      </c>
    </row>
    <row r="76" spans="2:4" x14ac:dyDescent="0.2">
      <c r="B76" t="s">
        <v>406</v>
      </c>
      <c r="C76">
        <v>610</v>
      </c>
      <c r="D76" t="s">
        <v>245</v>
      </c>
    </row>
    <row r="77" spans="2:4" x14ac:dyDescent="0.2">
      <c r="B77" t="s">
        <v>407</v>
      </c>
      <c r="C77">
        <v>620</v>
      </c>
      <c r="D77" t="s">
        <v>248</v>
      </c>
    </row>
    <row r="78" spans="2:4" x14ac:dyDescent="0.2">
      <c r="B78" t="s">
        <v>2917</v>
      </c>
      <c r="C78">
        <v>630</v>
      </c>
      <c r="D78" t="s">
        <v>248</v>
      </c>
    </row>
    <row r="79" spans="2:4" x14ac:dyDescent="0.2">
      <c r="B79" t="s">
        <v>425</v>
      </c>
      <c r="C79">
        <v>640</v>
      </c>
      <c r="D79" t="s">
        <v>245</v>
      </c>
    </row>
    <row r="80" spans="2:4" x14ac:dyDescent="0.2">
      <c r="B80" t="s">
        <v>411</v>
      </c>
      <c r="C80">
        <v>650</v>
      </c>
      <c r="D80" t="s">
        <v>245</v>
      </c>
    </row>
    <row r="81" spans="2:4" x14ac:dyDescent="0.2">
      <c r="B81" t="s">
        <v>426</v>
      </c>
      <c r="C81">
        <v>660</v>
      </c>
      <c r="D81" t="s">
        <v>245</v>
      </c>
    </row>
    <row r="82" spans="2:4" x14ac:dyDescent="0.2">
      <c r="B82" t="s">
        <v>2918</v>
      </c>
      <c r="C82">
        <v>670</v>
      </c>
      <c r="D82" t="s">
        <v>251</v>
      </c>
    </row>
    <row r="83" spans="2:4" x14ac:dyDescent="0.2">
      <c r="B83" t="s">
        <v>414</v>
      </c>
      <c r="C83">
        <v>680</v>
      </c>
      <c r="D83" t="s">
        <v>251</v>
      </c>
    </row>
    <row r="84" spans="2:4" x14ac:dyDescent="0.2">
      <c r="B84" t="s">
        <v>2919</v>
      </c>
      <c r="C84">
        <v>690</v>
      </c>
      <c r="D84" t="s">
        <v>251</v>
      </c>
    </row>
    <row r="85" spans="2:4" x14ac:dyDescent="0.2">
      <c r="B85" t="s">
        <v>480</v>
      </c>
      <c r="C85">
        <v>700</v>
      </c>
      <c r="D85" t="s">
        <v>251</v>
      </c>
    </row>
    <row r="86" spans="2:4" x14ac:dyDescent="0.2">
      <c r="B86" t="s">
        <v>430</v>
      </c>
      <c r="C86">
        <v>710</v>
      </c>
      <c r="D86" t="s">
        <v>251</v>
      </c>
    </row>
  </sheetData>
  <sheetProtection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J48"/>
  <sheetViews>
    <sheetView zoomScale="70" zoomScaleNormal="70" workbookViewId="0"/>
  </sheetViews>
  <sheetFormatPr defaultRowHeight="12.75" x14ac:dyDescent="0.2"/>
  <sheetData>
    <row r="1" spans="1:10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10" x14ac:dyDescent="0.2">
      <c r="A2" t="s">
        <v>3727</v>
      </c>
    </row>
    <row r="3" spans="1:10" x14ac:dyDescent="0.2">
      <c r="A3" t="s">
        <v>3758</v>
      </c>
    </row>
    <row r="4" spans="1:10" x14ac:dyDescent="0.2">
      <c r="B4" t="s">
        <v>381</v>
      </c>
    </row>
    <row r="5" spans="1:10" x14ac:dyDescent="0.2">
      <c r="B5" t="s">
        <v>66</v>
      </c>
    </row>
    <row r="7" spans="1:10" x14ac:dyDescent="0.2">
      <c r="D7" t="s">
        <v>25</v>
      </c>
      <c r="E7" t="s">
        <v>235</v>
      </c>
      <c r="F7" t="s">
        <v>236</v>
      </c>
      <c r="H7" t="s">
        <v>294</v>
      </c>
      <c r="I7" t="s">
        <v>295</v>
      </c>
      <c r="J7" t="s">
        <v>296</v>
      </c>
    </row>
    <row r="8" spans="1:10" x14ac:dyDescent="0.2">
      <c r="B8" t="s">
        <v>383</v>
      </c>
      <c r="C8" t="s">
        <v>238</v>
      </c>
      <c r="E8" t="s">
        <v>384</v>
      </c>
      <c r="F8" t="s">
        <v>385</v>
      </c>
      <c r="H8" t="s">
        <v>338</v>
      </c>
      <c r="I8" t="s">
        <v>339</v>
      </c>
      <c r="J8" t="s">
        <v>386</v>
      </c>
    </row>
    <row r="9" spans="1:10" x14ac:dyDescent="0.2">
      <c r="C9" t="s">
        <v>242</v>
      </c>
      <c r="E9" t="s">
        <v>243</v>
      </c>
      <c r="F9" t="s">
        <v>243</v>
      </c>
      <c r="H9" t="s">
        <v>243</v>
      </c>
      <c r="I9" t="s">
        <v>243</v>
      </c>
      <c r="J9" t="s">
        <v>243</v>
      </c>
    </row>
    <row r="10" spans="1:10" x14ac:dyDescent="0.2">
      <c r="B10" t="s">
        <v>1033</v>
      </c>
      <c r="C10">
        <v>100</v>
      </c>
      <c r="D10" t="s">
        <v>251</v>
      </c>
    </row>
    <row r="11" spans="1:10" x14ac:dyDescent="0.2">
      <c r="B11" t="s">
        <v>304</v>
      </c>
      <c r="C11">
        <v>101</v>
      </c>
      <c r="D11" t="s">
        <v>251</v>
      </c>
    </row>
    <row r="12" spans="1:10" x14ac:dyDescent="0.2">
      <c r="B12" t="s">
        <v>303</v>
      </c>
      <c r="C12">
        <v>102</v>
      </c>
      <c r="D12" t="s">
        <v>251</v>
      </c>
    </row>
    <row r="13" spans="1:10" x14ac:dyDescent="0.2">
      <c r="B13" t="s">
        <v>387</v>
      </c>
      <c r="C13">
        <v>103</v>
      </c>
      <c r="D13" t="s">
        <v>251</v>
      </c>
    </row>
    <row r="14" spans="1:10" x14ac:dyDescent="0.2">
      <c r="B14" t="s">
        <v>388</v>
      </c>
      <c r="C14">
        <v>104</v>
      </c>
      <c r="D14" t="s">
        <v>251</v>
      </c>
    </row>
    <row r="15" spans="1:10" x14ac:dyDescent="0.2">
      <c r="B15" t="s">
        <v>389</v>
      </c>
      <c r="C15">
        <v>105</v>
      </c>
      <c r="D15" t="s">
        <v>251</v>
      </c>
    </row>
    <row r="16" spans="1:10" x14ac:dyDescent="0.2">
      <c r="B16" t="s">
        <v>390</v>
      </c>
      <c r="C16">
        <v>106</v>
      </c>
      <c r="D16" t="s">
        <v>251</v>
      </c>
    </row>
    <row r="17" spans="2:4" x14ac:dyDescent="0.2">
      <c r="B17" t="s">
        <v>391</v>
      </c>
      <c r="C17">
        <v>107</v>
      </c>
      <c r="D17" t="s">
        <v>251</v>
      </c>
    </row>
    <row r="18" spans="2:4" x14ac:dyDescent="0.2">
      <c r="B18" t="s">
        <v>422</v>
      </c>
    </row>
    <row r="19" spans="2:4" x14ac:dyDescent="0.2">
      <c r="B19" t="s">
        <v>393</v>
      </c>
      <c r="C19">
        <v>110</v>
      </c>
      <c r="D19" t="s">
        <v>251</v>
      </c>
    </row>
    <row r="20" spans="2:4" x14ac:dyDescent="0.2">
      <c r="B20" t="s">
        <v>394</v>
      </c>
      <c r="C20">
        <v>120</v>
      </c>
      <c r="D20" t="s">
        <v>251</v>
      </c>
    </row>
    <row r="21" spans="2:4" x14ac:dyDescent="0.2">
      <c r="B21" t="s">
        <v>395</v>
      </c>
      <c r="C21">
        <v>130</v>
      </c>
      <c r="D21" t="s">
        <v>251</v>
      </c>
    </row>
    <row r="22" spans="2:4" x14ac:dyDescent="0.2">
      <c r="B22" t="s">
        <v>396</v>
      </c>
      <c r="C22">
        <v>140</v>
      </c>
      <c r="D22" t="s">
        <v>251</v>
      </c>
    </row>
    <row r="23" spans="2:4" x14ac:dyDescent="0.2">
      <c r="B23" t="s">
        <v>397</v>
      </c>
      <c r="C23">
        <v>150</v>
      </c>
      <c r="D23" t="s">
        <v>251</v>
      </c>
    </row>
    <row r="24" spans="2:4" x14ac:dyDescent="0.2">
      <c r="B24" t="s">
        <v>398</v>
      </c>
      <c r="C24">
        <v>155</v>
      </c>
      <c r="D24" t="s">
        <v>251</v>
      </c>
    </row>
    <row r="25" spans="2:4" x14ac:dyDescent="0.2">
      <c r="B25" t="s">
        <v>399</v>
      </c>
      <c r="C25">
        <v>170</v>
      </c>
      <c r="D25" t="s">
        <v>251</v>
      </c>
    </row>
    <row r="26" spans="2:4" x14ac:dyDescent="0.2">
      <c r="B26" t="s">
        <v>263</v>
      </c>
      <c r="C26">
        <v>180</v>
      </c>
      <c r="D26" t="s">
        <v>251</v>
      </c>
    </row>
    <row r="27" spans="2:4" x14ac:dyDescent="0.2">
      <c r="B27" t="s">
        <v>400</v>
      </c>
      <c r="C27">
        <v>190</v>
      </c>
      <c r="D27" t="s">
        <v>251</v>
      </c>
    </row>
    <row r="28" spans="2:4" x14ac:dyDescent="0.2">
      <c r="B28" t="s">
        <v>401</v>
      </c>
      <c r="C28">
        <v>215</v>
      </c>
      <c r="D28" t="s">
        <v>251</v>
      </c>
    </row>
    <row r="29" spans="2:4" x14ac:dyDescent="0.2">
      <c r="B29" t="s">
        <v>402</v>
      </c>
      <c r="C29">
        <v>217</v>
      </c>
      <c r="D29" t="s">
        <v>251</v>
      </c>
    </row>
    <row r="30" spans="2:4" x14ac:dyDescent="0.2">
      <c r="B30" t="s">
        <v>268</v>
      </c>
    </row>
    <row r="31" spans="2:4" x14ac:dyDescent="0.2">
      <c r="B31" t="s">
        <v>403</v>
      </c>
      <c r="C31">
        <v>220</v>
      </c>
      <c r="D31" t="s">
        <v>251</v>
      </c>
    </row>
    <row r="32" spans="2:4" x14ac:dyDescent="0.2">
      <c r="B32" t="s">
        <v>404</v>
      </c>
      <c r="C32">
        <v>225</v>
      </c>
      <c r="D32" t="s">
        <v>251</v>
      </c>
    </row>
    <row r="34" spans="2:4" x14ac:dyDescent="0.2">
      <c r="B34" t="s">
        <v>405</v>
      </c>
      <c r="C34">
        <v>230</v>
      </c>
      <c r="D34" t="s">
        <v>251</v>
      </c>
    </row>
    <row r="35" spans="2:4" x14ac:dyDescent="0.2">
      <c r="B35" t="s">
        <v>406</v>
      </c>
      <c r="C35">
        <v>240</v>
      </c>
      <c r="D35" t="s">
        <v>245</v>
      </c>
    </row>
    <row r="36" spans="2:4" x14ac:dyDescent="0.2">
      <c r="B36" t="s">
        <v>407</v>
      </c>
      <c r="C36">
        <v>250</v>
      </c>
      <c r="D36" t="s">
        <v>248</v>
      </c>
    </row>
    <row r="37" spans="2:4" x14ac:dyDescent="0.2">
      <c r="B37" t="s">
        <v>424</v>
      </c>
      <c r="C37">
        <v>260</v>
      </c>
      <c r="D37" t="s">
        <v>248</v>
      </c>
    </row>
    <row r="38" spans="2:4" x14ac:dyDescent="0.2">
      <c r="B38" t="s">
        <v>409</v>
      </c>
      <c r="C38">
        <v>265</v>
      </c>
      <c r="D38" t="s">
        <v>251</v>
      </c>
    </row>
    <row r="39" spans="2:4" x14ac:dyDescent="0.2">
      <c r="B39" t="s">
        <v>425</v>
      </c>
      <c r="C39">
        <v>270</v>
      </c>
      <c r="D39" t="s">
        <v>245</v>
      </c>
    </row>
    <row r="40" spans="2:4" x14ac:dyDescent="0.2">
      <c r="B40" t="s">
        <v>411</v>
      </c>
      <c r="C40">
        <v>280</v>
      </c>
      <c r="D40" t="s">
        <v>245</v>
      </c>
    </row>
    <row r="41" spans="2:4" x14ac:dyDescent="0.2">
      <c r="B41" t="s">
        <v>426</v>
      </c>
      <c r="C41">
        <v>290</v>
      </c>
      <c r="D41" t="s">
        <v>245</v>
      </c>
    </row>
    <row r="42" spans="2:4" x14ac:dyDescent="0.2">
      <c r="B42" t="s">
        <v>413</v>
      </c>
      <c r="C42">
        <v>300</v>
      </c>
      <c r="D42" t="s">
        <v>251</v>
      </c>
    </row>
    <row r="43" spans="2:4" x14ac:dyDescent="0.2">
      <c r="B43" t="s">
        <v>414</v>
      </c>
      <c r="C43">
        <v>310</v>
      </c>
      <c r="D43" t="s">
        <v>251</v>
      </c>
    </row>
    <row r="44" spans="2:4" x14ac:dyDescent="0.2">
      <c r="B44" t="s">
        <v>415</v>
      </c>
      <c r="C44">
        <v>315</v>
      </c>
      <c r="D44" t="s">
        <v>251</v>
      </c>
    </row>
    <row r="45" spans="2:4" x14ac:dyDescent="0.2">
      <c r="B45" t="s">
        <v>429</v>
      </c>
      <c r="C45">
        <v>320</v>
      </c>
      <c r="D45" t="s">
        <v>251</v>
      </c>
    </row>
    <row r="46" spans="2:4" x14ac:dyDescent="0.2">
      <c r="B46" t="s">
        <v>417</v>
      </c>
      <c r="C46">
        <v>340</v>
      </c>
      <c r="D46" t="s">
        <v>251</v>
      </c>
    </row>
    <row r="47" spans="2:4" x14ac:dyDescent="0.2">
      <c r="B47" t="s">
        <v>418</v>
      </c>
      <c r="C47">
        <v>345</v>
      </c>
      <c r="D47" t="s">
        <v>251</v>
      </c>
    </row>
    <row r="48" spans="2:4" x14ac:dyDescent="0.2">
      <c r="B48" t="s">
        <v>419</v>
      </c>
      <c r="C48">
        <v>350</v>
      </c>
      <c r="D48" t="s">
        <v>251</v>
      </c>
    </row>
  </sheetData>
  <sheetProtection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CK176"/>
  <sheetViews>
    <sheetView zoomScale="70" zoomScaleNormal="70" workbookViewId="0"/>
  </sheetViews>
  <sheetFormatPr defaultRowHeight="12.75" x14ac:dyDescent="0.2"/>
  <sheetData>
    <row r="1" spans="1:88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8" x14ac:dyDescent="0.2">
      <c r="A2" t="s">
        <v>3727</v>
      </c>
    </row>
    <row r="3" spans="1:88" x14ac:dyDescent="0.2">
      <c r="A3" t="s">
        <v>3759</v>
      </c>
    </row>
    <row r="4" spans="1:88" x14ac:dyDescent="0.2">
      <c r="B4" t="s">
        <v>431</v>
      </c>
    </row>
    <row r="5" spans="1:88" x14ac:dyDescent="0.2">
      <c r="B5" t="s">
        <v>66</v>
      </c>
      <c r="CA5" t="s">
        <v>230</v>
      </c>
      <c r="CB5">
        <f>0</f>
        <v>0</v>
      </c>
    </row>
    <row r="6" spans="1:88" x14ac:dyDescent="0.2">
      <c r="CA6" t="s">
        <v>231</v>
      </c>
      <c r="CB6" t="s">
        <v>232</v>
      </c>
      <c r="CJ6" t="s">
        <v>432</v>
      </c>
    </row>
    <row r="7" spans="1:88" x14ac:dyDescent="0.2">
      <c r="D7" t="s">
        <v>25</v>
      </c>
      <c r="E7" t="s">
        <v>235</v>
      </c>
      <c r="F7" t="s">
        <v>236</v>
      </c>
      <c r="BC7" t="s">
        <v>237</v>
      </c>
      <c r="CA7">
        <f>SUM(CA10:CA174)</f>
        <v>0</v>
      </c>
      <c r="CB7">
        <f>SUM(CB10:CB174)</f>
        <v>0</v>
      </c>
    </row>
    <row r="8" spans="1:88" x14ac:dyDescent="0.2">
      <c r="B8" t="s">
        <v>433</v>
      </c>
      <c r="C8" t="s">
        <v>238</v>
      </c>
      <c r="E8" t="s">
        <v>239</v>
      </c>
      <c r="F8" t="s">
        <v>240</v>
      </c>
      <c r="BC8" t="s">
        <v>241</v>
      </c>
    </row>
    <row r="9" spans="1:88" x14ac:dyDescent="0.2">
      <c r="C9" t="s">
        <v>242</v>
      </c>
      <c r="E9" t="s">
        <v>243</v>
      </c>
      <c r="F9" t="s">
        <v>243</v>
      </c>
    </row>
    <row r="10" spans="1:88" x14ac:dyDescent="0.2">
      <c r="B10" t="s">
        <v>434</v>
      </c>
    </row>
    <row r="11" spans="1:88" x14ac:dyDescent="0.2">
      <c r="B11" t="s">
        <v>435</v>
      </c>
      <c r="C11">
        <v>100</v>
      </c>
      <c r="D11" t="s">
        <v>251</v>
      </c>
    </row>
    <row r="12" spans="1:88" x14ac:dyDescent="0.2">
      <c r="B12" t="s">
        <v>436</v>
      </c>
      <c r="C12">
        <v>110</v>
      </c>
      <c r="D12" t="s">
        <v>248</v>
      </c>
      <c r="CB12">
        <f>IF(OR(E12&lt;0,BC12&lt;0),1,0)</f>
        <v>0</v>
      </c>
    </row>
    <row r="13" spans="1:88" x14ac:dyDescent="0.2">
      <c r="B13" t="s">
        <v>399</v>
      </c>
      <c r="C13">
        <v>120</v>
      </c>
      <c r="D13" t="s">
        <v>251</v>
      </c>
    </row>
    <row r="14" spans="1:88" x14ac:dyDescent="0.2">
      <c r="B14" t="s">
        <v>437</v>
      </c>
      <c r="C14">
        <v>130</v>
      </c>
      <c r="D14" t="s">
        <v>251</v>
      </c>
    </row>
    <row r="15" spans="1:88" x14ac:dyDescent="0.2">
      <c r="B15" t="s">
        <v>438</v>
      </c>
      <c r="C15">
        <v>140</v>
      </c>
      <c r="D15" t="s">
        <v>245</v>
      </c>
      <c r="CA15">
        <f>IF(OR(E15&gt;0,BC15&gt;0),1,0)</f>
        <v>0</v>
      </c>
    </row>
    <row r="16" spans="1:88" x14ac:dyDescent="0.2">
      <c r="B16" t="s">
        <v>439</v>
      </c>
      <c r="C16">
        <v>150</v>
      </c>
      <c r="D16" t="s">
        <v>245</v>
      </c>
      <c r="BC16">
        <f t="shared" ref="BC16:BC24" si="0">E16</f>
        <v>0</v>
      </c>
      <c r="CA16">
        <f>IF(OR(E16&gt;0,BC16&gt;0),1,0)</f>
        <v>0</v>
      </c>
    </row>
    <row r="17" spans="2:89" x14ac:dyDescent="0.2">
      <c r="B17" t="s">
        <v>440</v>
      </c>
      <c r="C17">
        <v>160</v>
      </c>
      <c r="D17" t="s">
        <v>245</v>
      </c>
      <c r="BC17">
        <f t="shared" si="0"/>
        <v>0</v>
      </c>
      <c r="CA17">
        <f>IF(OR(E17&gt;0,BC17&gt;0),1,0)</f>
        <v>0</v>
      </c>
    </row>
    <row r="18" spans="2:89" x14ac:dyDescent="0.2">
      <c r="B18" t="s">
        <v>441</v>
      </c>
      <c r="C18">
        <v>170</v>
      </c>
      <c r="D18" t="s">
        <v>251</v>
      </c>
      <c r="BC18">
        <f t="shared" si="0"/>
        <v>0</v>
      </c>
    </row>
    <row r="19" spans="2:89" x14ac:dyDescent="0.2">
      <c r="B19" t="s">
        <v>442</v>
      </c>
      <c r="C19">
        <v>180</v>
      </c>
      <c r="D19" t="s">
        <v>248</v>
      </c>
      <c r="BC19">
        <f t="shared" si="0"/>
        <v>0</v>
      </c>
      <c r="CB19">
        <f>IF(OR(E19&lt;0,BC19&lt;0),1,0)</f>
        <v>0</v>
      </c>
    </row>
    <row r="20" spans="2:89" x14ac:dyDescent="0.2">
      <c r="B20" t="s">
        <v>443</v>
      </c>
      <c r="C20">
        <v>190</v>
      </c>
      <c r="D20" t="s">
        <v>251</v>
      </c>
      <c r="E20">
        <f>E101</f>
        <v>0</v>
      </c>
      <c r="BC20">
        <f t="shared" si="0"/>
        <v>0</v>
      </c>
    </row>
    <row r="21" spans="2:89" x14ac:dyDescent="0.2">
      <c r="B21" t="s">
        <v>444</v>
      </c>
      <c r="C21">
        <v>200</v>
      </c>
      <c r="D21" t="s">
        <v>251</v>
      </c>
      <c r="E21">
        <f>E109</f>
        <v>0</v>
      </c>
      <c r="BC21">
        <f t="shared" si="0"/>
        <v>0</v>
      </c>
    </row>
    <row r="22" spans="2:89" x14ac:dyDescent="0.2">
      <c r="B22" t="s">
        <v>445</v>
      </c>
      <c r="C22">
        <v>210</v>
      </c>
      <c r="D22" t="s">
        <v>251</v>
      </c>
      <c r="E22">
        <f>E116</f>
        <v>0</v>
      </c>
      <c r="BC22">
        <f t="shared" si="0"/>
        <v>0</v>
      </c>
    </row>
    <row r="23" spans="2:89" x14ac:dyDescent="0.2">
      <c r="B23" t="s">
        <v>446</v>
      </c>
      <c r="C23">
        <v>220</v>
      </c>
      <c r="D23" t="s">
        <v>251</v>
      </c>
      <c r="E23">
        <f>E124</f>
        <v>0</v>
      </c>
      <c r="BC23">
        <f t="shared" si="0"/>
        <v>0</v>
      </c>
    </row>
    <row r="24" spans="2:89" x14ac:dyDescent="0.2">
      <c r="B24" t="s">
        <v>447</v>
      </c>
      <c r="C24">
        <v>230</v>
      </c>
      <c r="D24" t="s">
        <v>251</v>
      </c>
      <c r="E24">
        <f>E131</f>
        <v>0</v>
      </c>
      <c r="BC24">
        <f t="shared" si="0"/>
        <v>0</v>
      </c>
    </row>
    <row r="25" spans="2:89" x14ac:dyDescent="0.2">
      <c r="B25" t="s">
        <v>448</v>
      </c>
      <c r="C25">
        <v>240</v>
      </c>
      <c r="D25" t="s">
        <v>245</v>
      </c>
      <c r="CA25">
        <f>IF(OR(E25&gt;0,BC25&gt;0),1,0)</f>
        <v>0</v>
      </c>
    </row>
    <row r="26" spans="2:89" x14ac:dyDescent="0.2">
      <c r="B26" t="s">
        <v>449</v>
      </c>
      <c r="C26">
        <v>250</v>
      </c>
      <c r="D26" t="s">
        <v>251</v>
      </c>
      <c r="E26">
        <f>E137</f>
        <v>0</v>
      </c>
      <c r="BC26">
        <f>E26</f>
        <v>0</v>
      </c>
    </row>
    <row r="27" spans="2:89" x14ac:dyDescent="0.2">
      <c r="B27" t="s">
        <v>450</v>
      </c>
      <c r="C27">
        <v>260</v>
      </c>
      <c r="D27" t="s">
        <v>251</v>
      </c>
      <c r="E27">
        <f>SUM(E11:E26)</f>
        <v>0</v>
      </c>
      <c r="BC27">
        <f>SUM(BC11:BC26)</f>
        <v>0</v>
      </c>
    </row>
    <row r="28" spans="2:89" x14ac:dyDescent="0.2">
      <c r="B28" t="s">
        <v>451</v>
      </c>
    </row>
    <row r="29" spans="2:89" x14ac:dyDescent="0.2">
      <c r="B29" t="s">
        <v>452</v>
      </c>
      <c r="C29">
        <v>270</v>
      </c>
      <c r="D29" t="s">
        <v>248</v>
      </c>
      <c r="BC29">
        <f t="shared" ref="BC29:BC42" si="1">E29</f>
        <v>0</v>
      </c>
      <c r="CB29">
        <f>IF(OR(E29&lt;0,BC29&lt;0),1,0)</f>
        <v>0</v>
      </c>
    </row>
    <row r="30" spans="2:89" x14ac:dyDescent="0.2">
      <c r="B30" t="s">
        <v>453</v>
      </c>
      <c r="C30">
        <v>280</v>
      </c>
      <c r="D30" t="s">
        <v>245</v>
      </c>
      <c r="BC30">
        <f t="shared" si="1"/>
        <v>0</v>
      </c>
      <c r="CA30">
        <f>IF(OR(E30&gt;0,BC30&gt;0),1,0)</f>
        <v>0</v>
      </c>
      <c r="CJ30">
        <f>E30+E31</f>
        <v>0</v>
      </c>
      <c r="CK30">
        <f>BC30+BC31</f>
        <v>0</v>
      </c>
    </row>
    <row r="31" spans="2:89" x14ac:dyDescent="0.2">
      <c r="B31" t="s">
        <v>454</v>
      </c>
      <c r="C31">
        <v>290</v>
      </c>
      <c r="D31" t="s">
        <v>245</v>
      </c>
      <c r="BC31">
        <f t="shared" si="1"/>
        <v>0</v>
      </c>
      <c r="CA31">
        <f>IF(OR(E31&gt;0,BC31&gt;0),1,0)</f>
        <v>0</v>
      </c>
    </row>
    <row r="32" spans="2:89" x14ac:dyDescent="0.2">
      <c r="B32" t="s">
        <v>455</v>
      </c>
      <c r="C32">
        <v>300</v>
      </c>
      <c r="D32" t="s">
        <v>245</v>
      </c>
      <c r="BC32">
        <f t="shared" si="1"/>
        <v>0</v>
      </c>
      <c r="CA32">
        <f>IF(OR(E32&gt;0,BC32&gt;0),1,0)</f>
        <v>0</v>
      </c>
    </row>
    <row r="33" spans="2:83" x14ac:dyDescent="0.2">
      <c r="B33" t="s">
        <v>456</v>
      </c>
      <c r="C33">
        <v>310</v>
      </c>
      <c r="D33" t="s">
        <v>245</v>
      </c>
      <c r="BC33">
        <f t="shared" si="1"/>
        <v>0</v>
      </c>
      <c r="CA33">
        <f>IF(OR(E33&gt;0,BC33&gt;0),1,0)</f>
        <v>0</v>
      </c>
    </row>
    <row r="34" spans="2:83" x14ac:dyDescent="0.2">
      <c r="B34" t="s">
        <v>457</v>
      </c>
      <c r="C34">
        <v>320</v>
      </c>
      <c r="D34" t="s">
        <v>245</v>
      </c>
      <c r="BC34">
        <f t="shared" si="1"/>
        <v>0</v>
      </c>
      <c r="CA34">
        <f>IF(OR(E34&gt;0,BC34&gt;0),1,0)</f>
        <v>0</v>
      </c>
    </row>
    <row r="35" spans="2:83" x14ac:dyDescent="0.2">
      <c r="B35" t="s">
        <v>458</v>
      </c>
      <c r="C35">
        <v>330</v>
      </c>
      <c r="D35" t="s">
        <v>248</v>
      </c>
      <c r="BC35">
        <f t="shared" si="1"/>
        <v>0</v>
      </c>
      <c r="CB35">
        <f>IF(OR(E35&lt;0,BC35&lt;0),1,0)</f>
        <v>0</v>
      </c>
    </row>
    <row r="36" spans="2:83" x14ac:dyDescent="0.2">
      <c r="B36" t="s">
        <v>459</v>
      </c>
      <c r="C36">
        <v>340</v>
      </c>
      <c r="D36" t="s">
        <v>248</v>
      </c>
      <c r="BC36">
        <f t="shared" si="1"/>
        <v>0</v>
      </c>
      <c r="CB36">
        <f>IF(OR(E36&lt;0,BC36&lt;0),1,0)</f>
        <v>0</v>
      </c>
    </row>
    <row r="37" spans="2:83" x14ac:dyDescent="0.2">
      <c r="B37" t="s">
        <v>460</v>
      </c>
      <c r="C37">
        <v>350</v>
      </c>
      <c r="D37" t="s">
        <v>248</v>
      </c>
      <c r="BC37">
        <f t="shared" si="1"/>
        <v>0</v>
      </c>
      <c r="CB37">
        <f>IF(OR(E37&lt;0,BC37&lt;0),1,0)</f>
        <v>0</v>
      </c>
    </row>
    <row r="38" spans="2:83" x14ac:dyDescent="0.2">
      <c r="B38" t="s">
        <v>461</v>
      </c>
      <c r="C38">
        <v>360</v>
      </c>
      <c r="D38" t="s">
        <v>248</v>
      </c>
      <c r="BC38">
        <f t="shared" si="1"/>
        <v>0</v>
      </c>
      <c r="CB38">
        <f>IF(OR(E38&lt;0,BC38&lt;0),1,0)</f>
        <v>0</v>
      </c>
    </row>
    <row r="39" spans="2:83" x14ac:dyDescent="0.2">
      <c r="B39" t="s">
        <v>462</v>
      </c>
      <c r="C39">
        <v>370</v>
      </c>
      <c r="D39" t="s">
        <v>248</v>
      </c>
      <c r="BC39">
        <f t="shared" si="1"/>
        <v>0</v>
      </c>
      <c r="CB39">
        <f>IF(OR(E39&lt;0,BC39&lt;0),1,0)</f>
        <v>0</v>
      </c>
    </row>
    <row r="40" spans="2:83" x14ac:dyDescent="0.2">
      <c r="B40" t="s">
        <v>463</v>
      </c>
      <c r="C40">
        <v>380</v>
      </c>
      <c r="D40" t="s">
        <v>245</v>
      </c>
      <c r="BC40">
        <f t="shared" si="1"/>
        <v>0</v>
      </c>
      <c r="CA40">
        <f>IF(OR(E40&gt;0,BC40&gt;0),1,0)</f>
        <v>0</v>
      </c>
    </row>
    <row r="41" spans="2:83" x14ac:dyDescent="0.2">
      <c r="B41" t="s">
        <v>464</v>
      </c>
      <c r="C41">
        <v>390</v>
      </c>
      <c r="D41" t="s">
        <v>248</v>
      </c>
      <c r="BC41">
        <f t="shared" si="1"/>
        <v>0</v>
      </c>
      <c r="CB41">
        <f>IF(OR(E41&lt;0,BC41&lt;0),1,0)</f>
        <v>0</v>
      </c>
      <c r="CC41" t="s">
        <v>465</v>
      </c>
    </row>
    <row r="42" spans="2:83" x14ac:dyDescent="0.2">
      <c r="B42" t="s">
        <v>165</v>
      </c>
      <c r="C42">
        <v>400</v>
      </c>
      <c r="D42" t="s">
        <v>248</v>
      </c>
      <c r="BC42">
        <f t="shared" si="1"/>
        <v>0</v>
      </c>
      <c r="CB42">
        <f>IF(OR(E42&lt;0,BC42&lt;0),1,0)</f>
        <v>0</v>
      </c>
      <c r="CC42">
        <f>BC44*-1</f>
        <v>0</v>
      </c>
      <c r="CD42">
        <f>BC37+BC38+BC32+BC33+BC34+BC39</f>
        <v>0</v>
      </c>
      <c r="CE42">
        <f>CC42+CD42</f>
        <v>0</v>
      </c>
    </row>
    <row r="43" spans="2:83" x14ac:dyDescent="0.2">
      <c r="B43" t="s">
        <v>466</v>
      </c>
      <c r="C43">
        <v>410</v>
      </c>
      <c r="D43" t="s">
        <v>251</v>
      </c>
      <c r="E43">
        <f>SUM(E29:E42)</f>
        <v>0</v>
      </c>
      <c r="BC43">
        <f>SUM(BC29:BC42)</f>
        <v>0</v>
      </c>
    </row>
    <row r="44" spans="2:83" x14ac:dyDescent="0.2">
      <c r="B44" t="s">
        <v>467</v>
      </c>
      <c r="C44">
        <v>420</v>
      </c>
      <c r="D44" t="s">
        <v>251</v>
      </c>
      <c r="E44">
        <f>E27+E43</f>
        <v>0</v>
      </c>
      <c r="BC44">
        <f>BC27+BC43</f>
        <v>0</v>
      </c>
    </row>
    <row r="45" spans="2:83" x14ac:dyDescent="0.2">
      <c r="B45" t="s">
        <v>468</v>
      </c>
    </row>
    <row r="46" spans="2:83" x14ac:dyDescent="0.2">
      <c r="B46" t="s">
        <v>2920</v>
      </c>
      <c r="C46">
        <v>430</v>
      </c>
      <c r="D46" t="s">
        <v>248</v>
      </c>
      <c r="BC46">
        <f t="shared" ref="BC46:BC53" si="2">E46</f>
        <v>0</v>
      </c>
      <c r="CB46">
        <f>IF(OR(E46&lt;0,BC46&lt;0),1,0)</f>
        <v>0</v>
      </c>
    </row>
    <row r="47" spans="2:83" x14ac:dyDescent="0.2">
      <c r="B47" t="s">
        <v>2921</v>
      </c>
      <c r="C47">
        <v>440</v>
      </c>
      <c r="D47" t="s">
        <v>245</v>
      </c>
      <c r="BC47">
        <f t="shared" si="2"/>
        <v>0</v>
      </c>
      <c r="CA47">
        <f>IF(OR(E47&gt;0,BC47&gt;0),1,0)</f>
        <v>0</v>
      </c>
    </row>
    <row r="48" spans="2:83" x14ac:dyDescent="0.2">
      <c r="B48" t="s">
        <v>471</v>
      </c>
      <c r="C48">
        <v>450</v>
      </c>
      <c r="D48" t="s">
        <v>248</v>
      </c>
      <c r="BC48">
        <f t="shared" si="2"/>
        <v>0</v>
      </c>
      <c r="CB48">
        <f>IF(OR(E48&lt;0,BC48&lt;0),1,0)</f>
        <v>0</v>
      </c>
    </row>
    <row r="49" spans="2:80" x14ac:dyDescent="0.2">
      <c r="B49" t="s">
        <v>472</v>
      </c>
      <c r="C49">
        <v>460</v>
      </c>
      <c r="D49" t="s">
        <v>248</v>
      </c>
      <c r="BC49">
        <f t="shared" si="2"/>
        <v>0</v>
      </c>
      <c r="CB49">
        <f>IF(OR(E49&lt;0,BC49&lt;0),1,0)</f>
        <v>0</v>
      </c>
    </row>
    <row r="50" spans="2:80" x14ac:dyDescent="0.2">
      <c r="B50" t="s">
        <v>473</v>
      </c>
      <c r="C50">
        <v>470</v>
      </c>
      <c r="D50" t="s">
        <v>248</v>
      </c>
      <c r="BC50">
        <f t="shared" si="2"/>
        <v>0</v>
      </c>
      <c r="CB50">
        <f>IF(OR(E50&lt;0,BC50&lt;0),1,0)</f>
        <v>0</v>
      </c>
    </row>
    <row r="51" spans="2:80" x14ac:dyDescent="0.2">
      <c r="B51" t="s">
        <v>474</v>
      </c>
      <c r="C51">
        <v>480</v>
      </c>
      <c r="D51" t="s">
        <v>245</v>
      </c>
      <c r="BC51">
        <f t="shared" si="2"/>
        <v>0</v>
      </c>
      <c r="CA51">
        <f>IF(OR(E51&gt;0,BC51&gt;0),1,0)</f>
        <v>0</v>
      </c>
    </row>
    <row r="52" spans="2:80" x14ac:dyDescent="0.2">
      <c r="B52" t="s">
        <v>475</v>
      </c>
      <c r="C52">
        <v>490</v>
      </c>
      <c r="D52" t="s">
        <v>245</v>
      </c>
      <c r="BC52">
        <f t="shared" si="2"/>
        <v>0</v>
      </c>
      <c r="CA52">
        <f>IF(OR(E52&gt;0,BC52&gt;0),1,0)</f>
        <v>0</v>
      </c>
    </row>
    <row r="53" spans="2:80" x14ac:dyDescent="0.2">
      <c r="B53" t="s">
        <v>476</v>
      </c>
      <c r="C53">
        <v>500</v>
      </c>
      <c r="D53" t="s">
        <v>245</v>
      </c>
      <c r="BC53">
        <f t="shared" si="2"/>
        <v>0</v>
      </c>
      <c r="CA53">
        <f>IF(OR(E53&gt;0,BC53&gt;0),1,0)</f>
        <v>0</v>
      </c>
    </row>
    <row r="54" spans="2:80" x14ac:dyDescent="0.2">
      <c r="B54" t="s">
        <v>477</v>
      </c>
      <c r="C54">
        <v>510</v>
      </c>
      <c r="D54" t="s">
        <v>248</v>
      </c>
    </row>
    <row r="55" spans="2:80" x14ac:dyDescent="0.2">
      <c r="B55" t="s">
        <v>2922</v>
      </c>
      <c r="C55">
        <v>520</v>
      </c>
      <c r="D55" t="s">
        <v>251</v>
      </c>
      <c r="BC55">
        <f>E55</f>
        <v>0</v>
      </c>
    </row>
    <row r="56" spans="2:80" x14ac:dyDescent="0.2">
      <c r="B56" t="s">
        <v>479</v>
      </c>
      <c r="C56">
        <v>530</v>
      </c>
      <c r="D56" t="s">
        <v>245</v>
      </c>
      <c r="BC56">
        <f>E56</f>
        <v>0</v>
      </c>
      <c r="CA56">
        <f>IF(OR(E56&gt;0,BC56&gt;0),1,0)</f>
        <v>0</v>
      </c>
    </row>
    <row r="57" spans="2:80" x14ac:dyDescent="0.2">
      <c r="B57" t="s">
        <v>480</v>
      </c>
      <c r="C57">
        <v>540</v>
      </c>
      <c r="D57" t="s">
        <v>248</v>
      </c>
    </row>
    <row r="58" spans="2:80" x14ac:dyDescent="0.2">
      <c r="B58" t="s">
        <v>481</v>
      </c>
      <c r="C58">
        <v>550</v>
      </c>
      <c r="D58" t="s">
        <v>245</v>
      </c>
    </row>
    <row r="59" spans="2:80" x14ac:dyDescent="0.2">
      <c r="B59" t="s">
        <v>482</v>
      </c>
      <c r="C59">
        <v>560</v>
      </c>
      <c r="D59" t="s">
        <v>248</v>
      </c>
      <c r="BC59">
        <f>E59</f>
        <v>0</v>
      </c>
      <c r="CB59">
        <f>IF(OR(E59&lt;0,BC59&lt;0),1,0)</f>
        <v>0</v>
      </c>
    </row>
    <row r="60" spans="2:80" x14ac:dyDescent="0.2">
      <c r="B60" t="s">
        <v>483</v>
      </c>
      <c r="C60">
        <v>570</v>
      </c>
      <c r="D60" t="s">
        <v>251</v>
      </c>
    </row>
    <row r="61" spans="2:80" x14ac:dyDescent="0.2">
      <c r="B61" t="s">
        <v>484</v>
      </c>
      <c r="C61">
        <v>580</v>
      </c>
      <c r="D61" t="s">
        <v>251</v>
      </c>
      <c r="E61">
        <f>SUM(E46:E60)</f>
        <v>0</v>
      </c>
      <c r="BC61">
        <f>SUM(BC46:BC60)</f>
        <v>0</v>
      </c>
    </row>
    <row r="62" spans="2:80" x14ac:dyDescent="0.2">
      <c r="B62" t="s">
        <v>485</v>
      </c>
      <c r="C62">
        <v>590</v>
      </c>
      <c r="D62" t="s">
        <v>251</v>
      </c>
      <c r="E62">
        <f>SUM(E61+E43+E27)</f>
        <v>0</v>
      </c>
      <c r="BC62">
        <f>SUM(BC61+BC43+BC27)</f>
        <v>0</v>
      </c>
    </row>
    <row r="63" spans="2:80" x14ac:dyDescent="0.2">
      <c r="B63" t="s">
        <v>486</v>
      </c>
      <c r="C63">
        <v>600</v>
      </c>
      <c r="D63" t="s">
        <v>251</v>
      </c>
      <c r="BC63">
        <f>E63</f>
        <v>0</v>
      </c>
    </row>
    <row r="64" spans="2:80" x14ac:dyDescent="0.2">
      <c r="B64" t="s">
        <v>487</v>
      </c>
      <c r="C64">
        <v>610</v>
      </c>
      <c r="D64" t="s">
        <v>251</v>
      </c>
      <c r="BC64">
        <f>E64</f>
        <v>0</v>
      </c>
    </row>
    <row r="65" spans="2:55" x14ac:dyDescent="0.2">
      <c r="B65" t="s">
        <v>2923</v>
      </c>
      <c r="C65">
        <v>620</v>
      </c>
      <c r="D65" t="s">
        <v>251</v>
      </c>
      <c r="E65">
        <f>E63+E64</f>
        <v>0</v>
      </c>
      <c r="BC65">
        <f>BC63+BC64</f>
        <v>0</v>
      </c>
    </row>
    <row r="66" spans="2:55" x14ac:dyDescent="0.2">
      <c r="B66" t="s">
        <v>489</v>
      </c>
      <c r="C66">
        <v>630</v>
      </c>
      <c r="D66" t="s">
        <v>251</v>
      </c>
      <c r="BC66">
        <f>E66</f>
        <v>0</v>
      </c>
    </row>
    <row r="67" spans="2:55" x14ac:dyDescent="0.2">
      <c r="B67" t="s">
        <v>490</v>
      </c>
      <c r="C67">
        <v>640</v>
      </c>
      <c r="D67" t="s">
        <v>251</v>
      </c>
      <c r="E67">
        <f>E62+SUM(E65:E66)</f>
        <v>0</v>
      </c>
      <c r="BC67">
        <f>BC62+SUM(BC65:BC66)</f>
        <v>0</v>
      </c>
    </row>
    <row r="71" spans="2:55" x14ac:dyDescent="0.2">
      <c r="D71" t="s">
        <v>25</v>
      </c>
    </row>
    <row r="72" spans="2:55" x14ac:dyDescent="0.2">
      <c r="B72" t="s">
        <v>491</v>
      </c>
      <c r="C72" t="s">
        <v>238</v>
      </c>
    </row>
    <row r="73" spans="2:55" x14ac:dyDescent="0.2">
      <c r="C73" t="s">
        <v>242</v>
      </c>
    </row>
    <row r="74" spans="2:55" x14ac:dyDescent="0.2">
      <c r="B74" t="s">
        <v>492</v>
      </c>
      <c r="C74">
        <v>700</v>
      </c>
      <c r="D74" t="s">
        <v>248</v>
      </c>
    </row>
    <row r="75" spans="2:55" x14ac:dyDescent="0.2">
      <c r="B75" t="s">
        <v>493</v>
      </c>
      <c r="C75">
        <v>710</v>
      </c>
      <c r="D75" t="s">
        <v>245</v>
      </c>
    </row>
    <row r="76" spans="2:55" x14ac:dyDescent="0.2">
      <c r="B76" t="s">
        <v>494</v>
      </c>
      <c r="C76">
        <v>720</v>
      </c>
      <c r="D76" t="s">
        <v>251</v>
      </c>
    </row>
    <row r="77" spans="2:55" x14ac:dyDescent="0.2">
      <c r="B77" t="s">
        <v>495</v>
      </c>
      <c r="C77">
        <v>730</v>
      </c>
      <c r="D77" t="s">
        <v>248</v>
      </c>
    </row>
    <row r="78" spans="2:55" x14ac:dyDescent="0.2">
      <c r="B78" t="s">
        <v>496</v>
      </c>
      <c r="C78">
        <v>740</v>
      </c>
      <c r="D78" t="s">
        <v>251</v>
      </c>
    </row>
    <row r="79" spans="2:55" x14ac:dyDescent="0.2">
      <c r="B79" t="s">
        <v>497</v>
      </c>
      <c r="C79">
        <v>750</v>
      </c>
      <c r="D79" t="s">
        <v>248</v>
      </c>
    </row>
    <row r="80" spans="2:55" x14ac:dyDescent="0.2">
      <c r="B80" t="s">
        <v>498</v>
      </c>
      <c r="C80">
        <v>760</v>
      </c>
      <c r="D80" t="s">
        <v>248</v>
      </c>
    </row>
    <row r="81" spans="2:80" x14ac:dyDescent="0.2">
      <c r="B81" t="s">
        <v>499</v>
      </c>
      <c r="C81">
        <v>770</v>
      </c>
      <c r="D81" t="s">
        <v>248</v>
      </c>
    </row>
    <row r="85" spans="2:80" x14ac:dyDescent="0.2">
      <c r="D85" t="s">
        <v>25</v>
      </c>
      <c r="E85" t="s">
        <v>235</v>
      </c>
      <c r="BC85" t="s">
        <v>237</v>
      </c>
    </row>
    <row r="86" spans="2:80" x14ac:dyDescent="0.2">
      <c r="B86" t="s">
        <v>500</v>
      </c>
      <c r="C86" t="s">
        <v>238</v>
      </c>
      <c r="E86" t="s">
        <v>239</v>
      </c>
      <c r="BC86" t="s">
        <v>241</v>
      </c>
    </row>
    <row r="87" spans="2:80" x14ac:dyDescent="0.2">
      <c r="C87" t="s">
        <v>242</v>
      </c>
      <c r="E87" t="s">
        <v>243</v>
      </c>
    </row>
    <row r="88" spans="2:80" x14ac:dyDescent="0.2">
      <c r="B88" t="s">
        <v>501</v>
      </c>
      <c r="C88">
        <v>800</v>
      </c>
      <c r="D88" t="s">
        <v>248</v>
      </c>
      <c r="BC88">
        <f>E88</f>
        <v>0</v>
      </c>
      <c r="CB88">
        <f>IF(OR(E88&lt;0,BC88&lt;0),1,0)</f>
        <v>0</v>
      </c>
    </row>
    <row r="89" spans="2:80" x14ac:dyDescent="0.2">
      <c r="B89" t="s">
        <v>502</v>
      </c>
      <c r="C89">
        <v>810</v>
      </c>
      <c r="D89" t="s">
        <v>245</v>
      </c>
      <c r="BC89">
        <f>E89</f>
        <v>0</v>
      </c>
      <c r="CA89">
        <f>IF(OR(E89&gt;0,BC89&gt;0),1,0)</f>
        <v>0</v>
      </c>
    </row>
    <row r="90" spans="2:80" x14ac:dyDescent="0.2">
      <c r="B90" t="s">
        <v>503</v>
      </c>
      <c r="C90">
        <v>820</v>
      </c>
      <c r="D90" t="s">
        <v>248</v>
      </c>
    </row>
    <row r="91" spans="2:80" x14ac:dyDescent="0.2">
      <c r="B91" t="s">
        <v>340</v>
      </c>
      <c r="C91">
        <v>822</v>
      </c>
      <c r="D91" t="s">
        <v>251</v>
      </c>
      <c r="E91">
        <f>SUM(E88:E90)</f>
        <v>0</v>
      </c>
      <c r="BC91">
        <f>SUM(BC88:BC90)</f>
        <v>0</v>
      </c>
    </row>
    <row r="92" spans="2:80" x14ac:dyDescent="0.2">
      <c r="B92" t="s">
        <v>504</v>
      </c>
      <c r="C92">
        <v>830</v>
      </c>
    </row>
    <row r="94" spans="2:80" x14ac:dyDescent="0.2">
      <c r="D94" t="s">
        <v>25</v>
      </c>
      <c r="E94" t="s">
        <v>235</v>
      </c>
    </row>
    <row r="95" spans="2:80" x14ac:dyDescent="0.2">
      <c r="B95" t="s">
        <v>505</v>
      </c>
      <c r="C95" t="s">
        <v>238</v>
      </c>
      <c r="E95" t="s">
        <v>239</v>
      </c>
    </row>
    <row r="96" spans="2:80" x14ac:dyDescent="0.2">
      <c r="C96" t="s">
        <v>242</v>
      </c>
      <c r="E96" t="s">
        <v>243</v>
      </c>
    </row>
    <row r="97" spans="2:5" x14ac:dyDescent="0.2">
      <c r="B97" t="s">
        <v>316</v>
      </c>
    </row>
    <row r="98" spans="2:5" x14ac:dyDescent="0.2">
      <c r="B98" t="s">
        <v>506</v>
      </c>
      <c r="C98">
        <v>850</v>
      </c>
      <c r="D98" t="s">
        <v>251</v>
      </c>
    </row>
    <row r="99" spans="2:5" x14ac:dyDescent="0.2">
      <c r="B99" t="s">
        <v>507</v>
      </c>
      <c r="C99">
        <v>860</v>
      </c>
      <c r="D99" t="s">
        <v>251</v>
      </c>
    </row>
    <row r="100" spans="2:5" x14ac:dyDescent="0.2">
      <c r="B100" t="s">
        <v>508</v>
      </c>
      <c r="C100">
        <v>870</v>
      </c>
      <c r="D100" t="s">
        <v>251</v>
      </c>
    </row>
    <row r="101" spans="2:5" x14ac:dyDescent="0.2">
      <c r="B101" t="s">
        <v>509</v>
      </c>
      <c r="C101">
        <v>880</v>
      </c>
      <c r="D101" t="s">
        <v>251</v>
      </c>
      <c r="E101">
        <f>E98+E99+E100</f>
        <v>0</v>
      </c>
    </row>
    <row r="102" spans="2:5" x14ac:dyDescent="0.2">
      <c r="B102" t="s">
        <v>510</v>
      </c>
    </row>
    <row r="103" spans="2:5" x14ac:dyDescent="0.2">
      <c r="B103" t="s">
        <v>511</v>
      </c>
      <c r="C103">
        <v>890</v>
      </c>
      <c r="D103" t="s">
        <v>251</v>
      </c>
    </row>
    <row r="104" spans="2:5" x14ac:dyDescent="0.2">
      <c r="B104" t="s">
        <v>512</v>
      </c>
    </row>
    <row r="105" spans="2:5" x14ac:dyDescent="0.2">
      <c r="B105" t="s">
        <v>513</v>
      </c>
      <c r="C105">
        <v>900</v>
      </c>
      <c r="D105" t="s">
        <v>251</v>
      </c>
      <c r="E105">
        <f>E141</f>
        <v>0</v>
      </c>
    </row>
    <row r="106" spans="2:5" x14ac:dyDescent="0.2">
      <c r="B106" t="s">
        <v>514</v>
      </c>
      <c r="C106">
        <v>910</v>
      </c>
      <c r="D106" t="s">
        <v>251</v>
      </c>
    </row>
    <row r="107" spans="2:5" x14ac:dyDescent="0.2">
      <c r="B107" t="s">
        <v>508</v>
      </c>
      <c r="C107">
        <v>920</v>
      </c>
      <c r="D107" t="s">
        <v>251</v>
      </c>
    </row>
    <row r="108" spans="2:5" x14ac:dyDescent="0.2">
      <c r="B108" t="s">
        <v>515</v>
      </c>
      <c r="C108">
        <v>930</v>
      </c>
      <c r="D108" t="s">
        <v>251</v>
      </c>
    </row>
    <row r="109" spans="2:5" x14ac:dyDescent="0.2">
      <c r="B109" t="s">
        <v>516</v>
      </c>
      <c r="C109">
        <v>940</v>
      </c>
      <c r="D109" t="s">
        <v>251</v>
      </c>
      <c r="E109">
        <f>E103-E105-E106-E107-E108</f>
        <v>0</v>
      </c>
    </row>
    <row r="110" spans="2:5" x14ac:dyDescent="0.2">
      <c r="B110" t="s">
        <v>142</v>
      </c>
    </row>
    <row r="111" spans="2:5" x14ac:dyDescent="0.2">
      <c r="B111" t="s">
        <v>517</v>
      </c>
      <c r="C111">
        <v>950</v>
      </c>
      <c r="D111" t="s">
        <v>251</v>
      </c>
    </row>
    <row r="112" spans="2:5" x14ac:dyDescent="0.2">
      <c r="B112" t="s">
        <v>518</v>
      </c>
    </row>
    <row r="113" spans="2:5" x14ac:dyDescent="0.2">
      <c r="B113" t="s">
        <v>519</v>
      </c>
      <c r="C113">
        <v>960</v>
      </c>
      <c r="D113" t="s">
        <v>251</v>
      </c>
    </row>
    <row r="114" spans="2:5" x14ac:dyDescent="0.2">
      <c r="B114" t="s">
        <v>520</v>
      </c>
      <c r="C114">
        <v>970</v>
      </c>
      <c r="D114" t="s">
        <v>251</v>
      </c>
    </row>
    <row r="115" spans="2:5" x14ac:dyDescent="0.2">
      <c r="B115" t="s">
        <v>508</v>
      </c>
      <c r="C115">
        <v>980</v>
      </c>
      <c r="D115" t="s">
        <v>251</v>
      </c>
    </row>
    <row r="116" spans="2:5" x14ac:dyDescent="0.2">
      <c r="B116" t="s">
        <v>521</v>
      </c>
      <c r="C116">
        <v>990</v>
      </c>
      <c r="D116" t="s">
        <v>251</v>
      </c>
      <c r="E116">
        <f>E111-E113-E114-E115</f>
        <v>0</v>
      </c>
    </row>
    <row r="117" spans="2:5" x14ac:dyDescent="0.2">
      <c r="B117" t="s">
        <v>522</v>
      </c>
    </row>
    <row r="118" spans="2:5" x14ac:dyDescent="0.2">
      <c r="B118" t="s">
        <v>523</v>
      </c>
      <c r="C118">
        <v>1000</v>
      </c>
      <c r="D118" t="s">
        <v>251</v>
      </c>
    </row>
    <row r="119" spans="2:5" x14ac:dyDescent="0.2">
      <c r="B119" t="s">
        <v>524</v>
      </c>
    </row>
    <row r="120" spans="2:5" x14ac:dyDescent="0.2">
      <c r="B120" t="s">
        <v>525</v>
      </c>
      <c r="C120">
        <v>1010</v>
      </c>
      <c r="D120" t="s">
        <v>251</v>
      </c>
      <c r="E120">
        <f>E144</f>
        <v>0</v>
      </c>
    </row>
    <row r="121" spans="2:5" x14ac:dyDescent="0.2">
      <c r="B121" t="s">
        <v>520</v>
      </c>
      <c r="C121">
        <v>1020</v>
      </c>
      <c r="D121" t="s">
        <v>251</v>
      </c>
    </row>
    <row r="122" spans="2:5" x14ac:dyDescent="0.2">
      <c r="B122" t="s">
        <v>508</v>
      </c>
      <c r="C122">
        <v>1030</v>
      </c>
      <c r="D122" t="s">
        <v>251</v>
      </c>
    </row>
    <row r="123" spans="2:5" x14ac:dyDescent="0.2">
      <c r="B123" t="s">
        <v>515</v>
      </c>
      <c r="C123">
        <v>1040</v>
      </c>
      <c r="D123" t="s">
        <v>251</v>
      </c>
    </row>
    <row r="124" spans="2:5" x14ac:dyDescent="0.2">
      <c r="B124" t="s">
        <v>526</v>
      </c>
      <c r="C124">
        <v>1050</v>
      </c>
      <c r="D124" t="s">
        <v>251</v>
      </c>
      <c r="E124">
        <f>E118-E120-E121-E122-E123</f>
        <v>0</v>
      </c>
    </row>
    <row r="125" spans="2:5" x14ac:dyDescent="0.2">
      <c r="B125" t="s">
        <v>323</v>
      </c>
    </row>
    <row r="126" spans="2:5" x14ac:dyDescent="0.2">
      <c r="B126" t="s">
        <v>527</v>
      </c>
      <c r="C126">
        <v>1060</v>
      </c>
      <c r="D126" t="s">
        <v>251</v>
      </c>
    </row>
    <row r="127" spans="2:5" x14ac:dyDescent="0.2">
      <c r="B127" t="s">
        <v>528</v>
      </c>
    </row>
    <row r="128" spans="2:5" x14ac:dyDescent="0.2">
      <c r="B128" t="s">
        <v>529</v>
      </c>
      <c r="C128">
        <v>1070</v>
      </c>
      <c r="D128" t="s">
        <v>251</v>
      </c>
    </row>
    <row r="129" spans="2:80" x14ac:dyDescent="0.2">
      <c r="B129" t="s">
        <v>530</v>
      </c>
      <c r="C129">
        <v>1080</v>
      </c>
      <c r="D129" t="s">
        <v>248</v>
      </c>
      <c r="CB129">
        <f>IF(E129&lt;0,1,0)</f>
        <v>0</v>
      </c>
    </row>
    <row r="130" spans="2:80" x14ac:dyDescent="0.2">
      <c r="B130" t="s">
        <v>531</v>
      </c>
      <c r="C130">
        <v>1090</v>
      </c>
      <c r="D130" t="s">
        <v>251</v>
      </c>
    </row>
    <row r="131" spans="2:80" x14ac:dyDescent="0.2">
      <c r="B131" t="s">
        <v>532</v>
      </c>
      <c r="C131">
        <v>1100</v>
      </c>
      <c r="D131" t="s">
        <v>251</v>
      </c>
      <c r="E131">
        <f>E126-E128-E129-E130</f>
        <v>0</v>
      </c>
    </row>
    <row r="132" spans="2:80" x14ac:dyDescent="0.2">
      <c r="B132" t="s">
        <v>170</v>
      </c>
    </row>
    <row r="133" spans="2:80" x14ac:dyDescent="0.2">
      <c r="B133" t="s">
        <v>533</v>
      </c>
      <c r="C133">
        <v>1110</v>
      </c>
      <c r="D133" t="s">
        <v>251</v>
      </c>
    </row>
    <row r="134" spans="2:80" x14ac:dyDescent="0.2">
      <c r="B134" t="s">
        <v>534</v>
      </c>
    </row>
    <row r="135" spans="2:80" x14ac:dyDescent="0.2">
      <c r="B135" t="s">
        <v>535</v>
      </c>
      <c r="C135">
        <v>1120</v>
      </c>
      <c r="D135" t="s">
        <v>251</v>
      </c>
    </row>
    <row r="136" spans="2:80" x14ac:dyDescent="0.2">
      <c r="B136" t="s">
        <v>536</v>
      </c>
      <c r="C136">
        <v>1130</v>
      </c>
      <c r="D136" t="s">
        <v>251</v>
      </c>
    </row>
    <row r="137" spans="2:80" x14ac:dyDescent="0.2">
      <c r="B137" t="s">
        <v>537</v>
      </c>
      <c r="C137">
        <v>1140</v>
      </c>
      <c r="D137" t="s">
        <v>251</v>
      </c>
      <c r="E137">
        <f>E133-E135-E136</f>
        <v>0</v>
      </c>
    </row>
    <row r="138" spans="2:80" x14ac:dyDescent="0.2">
      <c r="B138" t="s">
        <v>538</v>
      </c>
    </row>
    <row r="139" spans="2:80" x14ac:dyDescent="0.2">
      <c r="B139" t="s">
        <v>539</v>
      </c>
      <c r="C139">
        <v>1150</v>
      </c>
      <c r="D139" t="s">
        <v>248</v>
      </c>
    </row>
    <row r="140" spans="2:80" x14ac:dyDescent="0.2">
      <c r="B140" t="s">
        <v>540</v>
      </c>
      <c r="C140">
        <v>1160</v>
      </c>
      <c r="D140" t="s">
        <v>248</v>
      </c>
    </row>
    <row r="141" spans="2:80" x14ac:dyDescent="0.2">
      <c r="B141" t="s">
        <v>541</v>
      </c>
      <c r="C141">
        <v>1170</v>
      </c>
      <c r="D141" t="s">
        <v>251</v>
      </c>
      <c r="E141">
        <f>E139-E140</f>
        <v>0</v>
      </c>
    </row>
    <row r="142" spans="2:80" x14ac:dyDescent="0.2">
      <c r="B142" t="s">
        <v>542</v>
      </c>
      <c r="C142">
        <v>1180</v>
      </c>
      <c r="D142" t="s">
        <v>248</v>
      </c>
    </row>
    <row r="143" spans="2:80" x14ac:dyDescent="0.2">
      <c r="B143" t="s">
        <v>543</v>
      </c>
      <c r="C143">
        <v>1190</v>
      </c>
      <c r="D143" t="s">
        <v>248</v>
      </c>
    </row>
    <row r="144" spans="2:80" x14ac:dyDescent="0.2">
      <c r="B144" t="s">
        <v>544</v>
      </c>
      <c r="C144">
        <v>1200</v>
      </c>
      <c r="D144" t="s">
        <v>251</v>
      </c>
      <c r="E144">
        <f>E143-E142</f>
        <v>0</v>
      </c>
    </row>
    <row r="147" spans="2:80" x14ac:dyDescent="0.2">
      <c r="B147" t="s">
        <v>2924</v>
      </c>
      <c r="C147">
        <v>1210</v>
      </c>
      <c r="D147" t="s">
        <v>248</v>
      </c>
    </row>
    <row r="148" spans="2:80" x14ac:dyDescent="0.2">
      <c r="B148" t="s">
        <v>2925</v>
      </c>
      <c r="C148">
        <v>1220</v>
      </c>
      <c r="D148" t="s">
        <v>248</v>
      </c>
    </row>
    <row r="150" spans="2:80" x14ac:dyDescent="0.2">
      <c r="D150" t="s">
        <v>25</v>
      </c>
      <c r="E150" t="s">
        <v>235</v>
      </c>
      <c r="BC150" t="s">
        <v>237</v>
      </c>
    </row>
    <row r="151" spans="2:80" x14ac:dyDescent="0.2">
      <c r="B151" t="s">
        <v>2926</v>
      </c>
      <c r="C151" t="s">
        <v>238</v>
      </c>
      <c r="E151" t="s">
        <v>239</v>
      </c>
      <c r="BC151" t="s">
        <v>241</v>
      </c>
    </row>
    <row r="152" spans="2:80" x14ac:dyDescent="0.2">
      <c r="C152" t="s">
        <v>242</v>
      </c>
      <c r="E152" t="s">
        <v>243</v>
      </c>
    </row>
    <row r="153" spans="2:80" x14ac:dyDescent="0.2">
      <c r="B153" t="s">
        <v>2927</v>
      </c>
      <c r="C153">
        <v>1230</v>
      </c>
      <c r="D153" t="s">
        <v>248</v>
      </c>
      <c r="BC153">
        <f>E153</f>
        <v>0</v>
      </c>
      <c r="CB153">
        <f>IF(OR(E153&lt;0,BC153&lt;0),1,0)</f>
        <v>0</v>
      </c>
    </row>
    <row r="154" spans="2:80" x14ac:dyDescent="0.2">
      <c r="B154" t="s">
        <v>555</v>
      </c>
      <c r="C154">
        <v>1235</v>
      </c>
      <c r="D154" t="s">
        <v>251</v>
      </c>
      <c r="BC154">
        <f>E154</f>
        <v>0</v>
      </c>
    </row>
    <row r="155" spans="2:80" x14ac:dyDescent="0.2">
      <c r="B155" t="s">
        <v>2928</v>
      </c>
      <c r="C155">
        <v>1240</v>
      </c>
      <c r="D155" t="s">
        <v>248</v>
      </c>
      <c r="E155">
        <f>E157-E156-E153-E154</f>
        <v>0</v>
      </c>
      <c r="BC155">
        <f>BC157-BC153-BC154</f>
        <v>0</v>
      </c>
    </row>
    <row r="156" spans="2:80" x14ac:dyDescent="0.2">
      <c r="B156" t="s">
        <v>2929</v>
      </c>
      <c r="C156">
        <v>1242</v>
      </c>
      <c r="D156" t="s">
        <v>248</v>
      </c>
      <c r="E156">
        <f>E88</f>
        <v>0</v>
      </c>
    </row>
    <row r="157" spans="2:80" x14ac:dyDescent="0.2">
      <c r="B157" t="s">
        <v>2930</v>
      </c>
      <c r="C157">
        <v>1245</v>
      </c>
      <c r="D157" t="s">
        <v>248</v>
      </c>
      <c r="E157">
        <f>E46</f>
        <v>0</v>
      </c>
      <c r="BC157">
        <f>BC46</f>
        <v>0</v>
      </c>
    </row>
    <row r="158" spans="2:80" x14ac:dyDescent="0.2">
      <c r="B158" t="s">
        <v>2931</v>
      </c>
      <c r="C158">
        <v>1250</v>
      </c>
      <c r="D158" t="s">
        <v>245</v>
      </c>
      <c r="BC158">
        <f>E158</f>
        <v>0</v>
      </c>
      <c r="CA158">
        <f>IF(OR(E158&gt;0,BC158&gt;0),1,0)</f>
        <v>0</v>
      </c>
    </row>
    <row r="159" spans="2:80" x14ac:dyDescent="0.2">
      <c r="B159" t="s">
        <v>555</v>
      </c>
      <c r="C159">
        <v>1255</v>
      </c>
      <c r="D159" t="s">
        <v>251</v>
      </c>
      <c r="BC159">
        <f>E159</f>
        <v>0</v>
      </c>
    </row>
    <row r="160" spans="2:80" x14ac:dyDescent="0.2">
      <c r="B160" t="s">
        <v>2932</v>
      </c>
      <c r="C160">
        <v>1260</v>
      </c>
      <c r="D160" t="s">
        <v>245</v>
      </c>
      <c r="E160">
        <f>E162-E161-E158-E159</f>
        <v>0</v>
      </c>
      <c r="BC160">
        <f>BC162-BC158-BC159</f>
        <v>0</v>
      </c>
    </row>
    <row r="161" spans="2:80" x14ac:dyDescent="0.2">
      <c r="B161" t="s">
        <v>2933</v>
      </c>
      <c r="C161">
        <v>1270</v>
      </c>
      <c r="D161" t="s">
        <v>245</v>
      </c>
      <c r="E161">
        <f>E89</f>
        <v>0</v>
      </c>
    </row>
    <row r="162" spans="2:80" x14ac:dyDescent="0.2">
      <c r="B162" t="s">
        <v>2934</v>
      </c>
      <c r="C162">
        <v>1275</v>
      </c>
      <c r="D162" t="s">
        <v>245</v>
      </c>
      <c r="E162">
        <f>E47</f>
        <v>0</v>
      </c>
      <c r="BC162">
        <f>BC47</f>
        <v>0</v>
      </c>
    </row>
    <row r="166" spans="2:80" x14ac:dyDescent="0.2">
      <c r="D166" t="s">
        <v>25</v>
      </c>
      <c r="E166" t="s">
        <v>235</v>
      </c>
      <c r="F166" t="s">
        <v>236</v>
      </c>
      <c r="BC166" t="s">
        <v>237</v>
      </c>
    </row>
    <row r="167" spans="2:80" x14ac:dyDescent="0.2">
      <c r="B167" t="s">
        <v>561</v>
      </c>
      <c r="C167" t="s">
        <v>238</v>
      </c>
      <c r="E167" t="s">
        <v>239</v>
      </c>
      <c r="F167" t="s">
        <v>240</v>
      </c>
      <c r="BC167" t="s">
        <v>241</v>
      </c>
    </row>
    <row r="168" spans="2:80" x14ac:dyDescent="0.2">
      <c r="C168" t="s">
        <v>242</v>
      </c>
      <c r="E168" t="s">
        <v>243</v>
      </c>
      <c r="F168" t="s">
        <v>243</v>
      </c>
    </row>
    <row r="169" spans="2:80" x14ac:dyDescent="0.2">
      <c r="B169" t="s">
        <v>562</v>
      </c>
      <c r="C169">
        <v>1280</v>
      </c>
      <c r="D169" t="s">
        <v>248</v>
      </c>
      <c r="CB169">
        <f>IF(OR(E169&lt;0,BC169&lt;0),1,0)</f>
        <v>0</v>
      </c>
    </row>
    <row r="170" spans="2:80" x14ac:dyDescent="0.2">
      <c r="B170" t="s">
        <v>563</v>
      </c>
      <c r="C170">
        <v>1290</v>
      </c>
      <c r="D170" t="s">
        <v>248</v>
      </c>
      <c r="CB170">
        <f>IF(OR(E170&lt;0,BC170&lt;0),1,0)</f>
        <v>0</v>
      </c>
    </row>
    <row r="171" spans="2:80" x14ac:dyDescent="0.2">
      <c r="B171" t="s">
        <v>564</v>
      </c>
      <c r="C171">
        <v>1300</v>
      </c>
      <c r="D171" t="s">
        <v>248</v>
      </c>
      <c r="E171">
        <f>E172-E169-E170</f>
        <v>0</v>
      </c>
      <c r="F171">
        <f>F172-F169-F170</f>
        <v>0</v>
      </c>
      <c r="BC171">
        <f>BC172-BC169-BC170</f>
        <v>0</v>
      </c>
    </row>
    <row r="172" spans="2:80" x14ac:dyDescent="0.2">
      <c r="B172" t="s">
        <v>565</v>
      </c>
      <c r="C172">
        <v>1305</v>
      </c>
      <c r="D172" t="s">
        <v>248</v>
      </c>
      <c r="E172">
        <f>E50</f>
        <v>0</v>
      </c>
      <c r="F172">
        <f>F50</f>
        <v>0</v>
      </c>
      <c r="BC172">
        <f>BC50</f>
        <v>0</v>
      </c>
    </row>
    <row r="173" spans="2:80" x14ac:dyDescent="0.2">
      <c r="B173" t="s">
        <v>566</v>
      </c>
      <c r="C173">
        <v>1310</v>
      </c>
      <c r="D173" t="s">
        <v>245</v>
      </c>
      <c r="BC173">
        <f>E173</f>
        <v>0</v>
      </c>
      <c r="CA173">
        <f>IF(OR(E173&gt;0,BC173&gt;0),1,0)</f>
        <v>0</v>
      </c>
    </row>
    <row r="174" spans="2:80" x14ac:dyDescent="0.2">
      <c r="B174" t="s">
        <v>567</v>
      </c>
      <c r="C174">
        <v>1320</v>
      </c>
      <c r="D174" t="s">
        <v>245</v>
      </c>
      <c r="BC174">
        <f>E174</f>
        <v>0</v>
      </c>
      <c r="CA174">
        <f>IF(OR(E174&gt;0,BC174&gt;0),1,0)</f>
        <v>0</v>
      </c>
    </row>
    <row r="175" spans="2:80" x14ac:dyDescent="0.2">
      <c r="B175" t="s">
        <v>568</v>
      </c>
      <c r="C175">
        <v>1325</v>
      </c>
      <c r="D175" t="s">
        <v>245</v>
      </c>
      <c r="E175">
        <f>E176-E173-E174</f>
        <v>0</v>
      </c>
      <c r="F175">
        <f>F176-F173-F174</f>
        <v>0</v>
      </c>
      <c r="BC175">
        <f>BC176-BC173-BC174</f>
        <v>0</v>
      </c>
    </row>
    <row r="176" spans="2:80" x14ac:dyDescent="0.2">
      <c r="B176" t="s">
        <v>569</v>
      </c>
      <c r="C176">
        <v>1330</v>
      </c>
      <c r="D176" t="s">
        <v>245</v>
      </c>
      <c r="E176">
        <f>E53</f>
        <v>0</v>
      </c>
      <c r="F176">
        <f>F53</f>
        <v>0</v>
      </c>
      <c r="BC176">
        <f>BC53</f>
        <v>0</v>
      </c>
    </row>
  </sheetData>
  <sheetProtection sheet="1" objects="1" scenarios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CK99"/>
  <sheetViews>
    <sheetView zoomScale="70" zoomScaleNormal="70" workbookViewId="0"/>
  </sheetViews>
  <sheetFormatPr defaultRowHeight="12.75" x14ac:dyDescent="0.2"/>
  <sheetData>
    <row r="1" spans="1:87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7" x14ac:dyDescent="0.2">
      <c r="A2" t="s">
        <v>3727</v>
      </c>
    </row>
    <row r="3" spans="1:87" x14ac:dyDescent="0.2">
      <c r="A3" t="s">
        <v>3760</v>
      </c>
    </row>
    <row r="4" spans="1:87" x14ac:dyDescent="0.2">
      <c r="B4" t="s">
        <v>570</v>
      </c>
    </row>
    <row r="5" spans="1:87" x14ac:dyDescent="0.2">
      <c r="B5" t="s">
        <v>66</v>
      </c>
      <c r="CA5" t="s">
        <v>230</v>
      </c>
      <c r="CB5">
        <f>0</f>
        <v>0</v>
      </c>
    </row>
    <row r="6" spans="1:87" x14ac:dyDescent="0.2">
      <c r="I6" t="s">
        <v>571</v>
      </c>
      <c r="CA6" t="s">
        <v>231</v>
      </c>
      <c r="CB6" t="s">
        <v>232</v>
      </c>
      <c r="CC6" t="s">
        <v>572</v>
      </c>
      <c r="CE6" t="s">
        <v>573</v>
      </c>
      <c r="CG6" t="s">
        <v>574</v>
      </c>
      <c r="CH6" t="s">
        <v>575</v>
      </c>
      <c r="CI6" t="s">
        <v>575</v>
      </c>
    </row>
    <row r="7" spans="1:87" x14ac:dyDescent="0.2">
      <c r="D7" t="s">
        <v>25</v>
      </c>
      <c r="E7" t="s">
        <v>235</v>
      </c>
      <c r="F7" t="s">
        <v>236</v>
      </c>
      <c r="G7" t="s">
        <v>293</v>
      </c>
      <c r="H7" t="s">
        <v>294</v>
      </c>
      <c r="I7" t="s">
        <v>295</v>
      </c>
      <c r="J7" t="s">
        <v>296</v>
      </c>
      <c r="K7" t="s">
        <v>342</v>
      </c>
      <c r="L7" t="s">
        <v>297</v>
      </c>
      <c r="M7" t="s">
        <v>298</v>
      </c>
      <c r="N7" t="s">
        <v>299</v>
      </c>
      <c r="O7" t="s">
        <v>360</v>
      </c>
      <c r="P7" t="s">
        <v>361</v>
      </c>
      <c r="Q7" t="s">
        <v>362</v>
      </c>
      <c r="R7" t="s">
        <v>576</v>
      </c>
      <c r="S7" t="s">
        <v>577</v>
      </c>
      <c r="T7" t="s">
        <v>578</v>
      </c>
      <c r="U7" t="s">
        <v>579</v>
      </c>
      <c r="V7" t="s">
        <v>580</v>
      </c>
      <c r="W7" t="s">
        <v>581</v>
      </c>
      <c r="X7" t="s">
        <v>582</v>
      </c>
      <c r="Y7" t="s">
        <v>583</v>
      </c>
      <c r="Z7" t="s">
        <v>584</v>
      </c>
      <c r="BC7" t="s">
        <v>237</v>
      </c>
      <c r="CB7">
        <f>SUM(CB8:CB75)</f>
        <v>0</v>
      </c>
      <c r="CC7">
        <f>SUM(CC10:CC93)</f>
        <v>0</v>
      </c>
      <c r="CE7">
        <f>SUM(CE10:CE98)</f>
        <v>0</v>
      </c>
    </row>
    <row r="8" spans="1:87" x14ac:dyDescent="0.2">
      <c r="C8" t="s">
        <v>238</v>
      </c>
      <c r="E8" t="s">
        <v>239</v>
      </c>
      <c r="F8" t="s">
        <v>240</v>
      </c>
      <c r="G8" t="s">
        <v>585</v>
      </c>
      <c r="H8" t="s">
        <v>586</v>
      </c>
      <c r="I8" t="s">
        <v>587</v>
      </c>
      <c r="J8" t="s">
        <v>588</v>
      </c>
      <c r="K8" t="s">
        <v>589</v>
      </c>
      <c r="L8" t="s">
        <v>590</v>
      </c>
      <c r="M8" t="s">
        <v>591</v>
      </c>
      <c r="N8" t="s">
        <v>592</v>
      </c>
      <c r="O8" t="s">
        <v>593</v>
      </c>
      <c r="P8" t="s">
        <v>594</v>
      </c>
      <c r="Q8" t="s">
        <v>595</v>
      </c>
      <c r="R8" t="s">
        <v>596</v>
      </c>
      <c r="S8" t="s">
        <v>597</v>
      </c>
      <c r="T8" t="s">
        <v>598</v>
      </c>
      <c r="U8" t="s">
        <v>599</v>
      </c>
      <c r="V8" t="s">
        <v>600</v>
      </c>
      <c r="W8" t="s">
        <v>601</v>
      </c>
      <c r="X8" t="s">
        <v>602</v>
      </c>
      <c r="Y8" t="s">
        <v>603</v>
      </c>
      <c r="Z8" t="s">
        <v>604</v>
      </c>
      <c r="BC8" t="s">
        <v>241</v>
      </c>
      <c r="CG8" t="s">
        <v>605</v>
      </c>
    </row>
    <row r="9" spans="1:87" x14ac:dyDescent="0.2">
      <c r="B9" t="s">
        <v>91</v>
      </c>
      <c r="C9" t="s">
        <v>242</v>
      </c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N9" t="s">
        <v>243</v>
      </c>
      <c r="O9" t="s">
        <v>243</v>
      </c>
      <c r="P9" t="s">
        <v>243</v>
      </c>
      <c r="Q9" t="s">
        <v>243</v>
      </c>
      <c r="R9" t="s">
        <v>243</v>
      </c>
      <c r="S9" t="s">
        <v>243</v>
      </c>
      <c r="T9" t="s">
        <v>243</v>
      </c>
      <c r="U9" t="s">
        <v>243</v>
      </c>
      <c r="V9" t="s">
        <v>243</v>
      </c>
      <c r="W9" t="s">
        <v>243</v>
      </c>
      <c r="X9" t="s">
        <v>243</v>
      </c>
      <c r="Y9" t="s">
        <v>243</v>
      </c>
      <c r="Z9" t="s">
        <v>243</v>
      </c>
      <c r="BC9" t="s">
        <v>243</v>
      </c>
    </row>
    <row r="10" spans="1:87" x14ac:dyDescent="0.2">
      <c r="B10" t="s">
        <v>218</v>
      </c>
      <c r="C10">
        <v>100</v>
      </c>
      <c r="D10" t="s">
        <v>248</v>
      </c>
      <c r="E10">
        <f>SUM(H10:Y10)</f>
        <v>0</v>
      </c>
      <c r="BC10">
        <f>E10</f>
        <v>0</v>
      </c>
      <c r="CB10">
        <f>IF(OR(E10&lt;0,I10&lt;0,J10&lt;0,K10&lt;0,L10&lt;0,M10&lt;0,N10&lt;0,O10&lt;0,Q10&lt;0,S10&lt;0,U10&lt;0,W10&lt;0,Y10&lt;0,Z10&lt;0,BC10&lt;0),1,0)</f>
        <v>0</v>
      </c>
      <c r="CG10">
        <f>F29+F30</f>
        <v>0</v>
      </c>
    </row>
    <row r="11" spans="1:87" x14ac:dyDescent="0.2">
      <c r="B11" t="s">
        <v>606</v>
      </c>
      <c r="C11">
        <v>110</v>
      </c>
      <c r="D11" t="s">
        <v>248</v>
      </c>
      <c r="E11">
        <f>SUM(H11:Y11)</f>
        <v>0</v>
      </c>
      <c r="BC11">
        <f>E11</f>
        <v>0</v>
      </c>
      <c r="CB11">
        <f>IF(OR(E11&lt;0,I11&lt;0,J11&lt;0,K11&lt;0,L11&lt;0,M11&lt;0,N11&lt;0,O11&lt;0,Q11&lt;0,S11&lt;0,U11&lt;0,W11&lt;0,Y11&lt;0,Z11&lt;0,BC11&lt;0),1,0)</f>
        <v>0</v>
      </c>
      <c r="CG11" t="s">
        <v>607</v>
      </c>
      <c r="CH11" t="s">
        <v>608</v>
      </c>
      <c r="CI11">
        <f>SUM(BC12+BC13+BC14)</f>
        <v>0</v>
      </c>
    </row>
    <row r="12" spans="1:87" x14ac:dyDescent="0.2">
      <c r="B12" t="s">
        <v>217</v>
      </c>
      <c r="C12">
        <v>120</v>
      </c>
      <c r="D12" t="s">
        <v>248</v>
      </c>
      <c r="E12">
        <f>SUM(H12:Y12)</f>
        <v>0</v>
      </c>
      <c r="BC12">
        <f>E12</f>
        <v>0</v>
      </c>
      <c r="CB12">
        <f>IF(OR(E12&lt;0,I12&lt;0,J12&lt;0,K12&lt;0,L12&lt;0,M12&lt;0,N12&lt;0,O12&lt;0,Q12&lt;0,S12&lt;0,U12&lt;0,W12&lt;0,Y12&lt;0,Z12&lt;0,BC12&lt;0),1,0)</f>
        <v>0</v>
      </c>
      <c r="CH12" t="s">
        <v>609</v>
      </c>
    </row>
    <row r="13" spans="1:87" x14ac:dyDescent="0.2">
      <c r="B13" t="s">
        <v>610</v>
      </c>
      <c r="C13">
        <v>130</v>
      </c>
      <c r="D13" t="s">
        <v>248</v>
      </c>
    </row>
    <row r="14" spans="1:87" x14ac:dyDescent="0.2">
      <c r="B14" t="s">
        <v>611</v>
      </c>
      <c r="C14">
        <v>140</v>
      </c>
      <c r="D14" t="s">
        <v>248</v>
      </c>
      <c r="CG14">
        <f>F34+F35</f>
        <v>0</v>
      </c>
    </row>
    <row r="15" spans="1:87" x14ac:dyDescent="0.2">
      <c r="B15" t="s">
        <v>612</v>
      </c>
      <c r="C15">
        <v>150</v>
      </c>
      <c r="D15" t="s">
        <v>248</v>
      </c>
      <c r="E15">
        <f>SUM(H15:Y15)</f>
        <v>0</v>
      </c>
      <c r="BC15">
        <f>E15</f>
        <v>0</v>
      </c>
      <c r="CB15">
        <f>IF(OR(E15&lt;0,I15&lt;0,J15&lt;0,K15&lt;0,L15&lt;0,M15&lt;0,N15&lt;0,O15&lt;0,Q15&lt;0,S15&lt;0,U15&lt;0,W15&lt;0,Y15&lt;0,Z15&lt;0,BC15&lt;0),1,0)</f>
        <v>0</v>
      </c>
      <c r="CG15">
        <f>F34+F35</f>
        <v>0</v>
      </c>
      <c r="CH15" t="s">
        <v>613</v>
      </c>
      <c r="CI15">
        <f>SUM(BC20+BC21+BC23)</f>
        <v>0</v>
      </c>
    </row>
    <row r="16" spans="1:87" x14ac:dyDescent="0.2">
      <c r="B16" t="s">
        <v>618</v>
      </c>
      <c r="C16">
        <v>160</v>
      </c>
      <c r="D16" t="s">
        <v>248</v>
      </c>
      <c r="E16">
        <f>SUM(H16:Y16)</f>
        <v>0</v>
      </c>
      <c r="BC16">
        <f>E16</f>
        <v>0</v>
      </c>
      <c r="CB16">
        <f>IF(OR(E16&lt;0,I16&lt;0,J16&lt;0,K16&lt;0,L16&lt;0,M16&lt;0,N16&lt;0,O16&lt;0,Q16&lt;0,S16&lt;0,U16&lt;0,W16&lt;0,Y16&lt;0,Z16&lt;0,BC16&lt;0),1,0)</f>
        <v>0</v>
      </c>
    </row>
    <row r="17" spans="2:88" x14ac:dyDescent="0.2">
      <c r="B17" t="s">
        <v>614</v>
      </c>
      <c r="C17">
        <v>170</v>
      </c>
      <c r="D17" t="s">
        <v>248</v>
      </c>
      <c r="E17">
        <f>SUM(H17:Y17)</f>
        <v>0</v>
      </c>
      <c r="BC17">
        <f>E17</f>
        <v>0</v>
      </c>
      <c r="CB17">
        <f>IF(OR(E17&lt;0,I17&lt;0,J17&lt;0,K17&lt;0,L17&lt;0,M17&lt;0,N17&lt;0,O17&lt;0,Q17&lt;0,S17&lt;0,U17&lt;0,W17&lt;0,Y17&lt;0,Z17&lt;0,BC17&lt;0),1,0)</f>
        <v>0</v>
      </c>
    </row>
    <row r="18" spans="2:88" x14ac:dyDescent="0.2">
      <c r="B18" t="s">
        <v>2935</v>
      </c>
      <c r="C18">
        <v>180</v>
      </c>
      <c r="D18" t="s">
        <v>248</v>
      </c>
      <c r="E18">
        <f>SUM(H18:Y18)</f>
        <v>0</v>
      </c>
      <c r="BC18">
        <f>E18</f>
        <v>0</v>
      </c>
      <c r="CB18">
        <f>IF(OR(E18&lt;0,I18&lt;0,J18&lt;0,K18&lt;0,L18&lt;0,M18&lt;0,N18&lt;0,O18&lt;0,Q18&lt;0,S18&lt;0,U18&lt;0,W18&lt;0,Y18&lt;0,Z18&lt;0,BC18&lt;0),1,0)</f>
        <v>0</v>
      </c>
      <c r="CE18">
        <f>IF(SUM(H18:Z18)&lt;=E18,0,1)</f>
        <v>0</v>
      </c>
    </row>
    <row r="19" spans="2:88" x14ac:dyDescent="0.2">
      <c r="B19" t="s">
        <v>2936</v>
      </c>
      <c r="C19">
        <v>185</v>
      </c>
      <c r="D19" t="s">
        <v>248</v>
      </c>
      <c r="E19">
        <f>SUM(E10:E15)+SUM(E17:E18)</f>
        <v>0</v>
      </c>
      <c r="F19">
        <f>SUM(F10:F15)+SUM(F17:F18)</f>
        <v>0</v>
      </c>
      <c r="I19">
        <f>SUM(I10:I15)+SUM(I17:I18)</f>
        <v>0</v>
      </c>
      <c r="J19">
        <f>SUM(J10:J15)+SUM(J17:J18)</f>
        <v>0</v>
      </c>
      <c r="K19">
        <f>SUM(K10:K15)+SUM(K17:K18)</f>
        <v>0</v>
      </c>
      <c r="L19">
        <f>SUM(L10:L15)+SUM(L17:L18)</f>
        <v>0</v>
      </c>
      <c r="M19">
        <f>SUM(M10:M15)+SUM(M17:M18)</f>
        <v>0</v>
      </c>
      <c r="O19">
        <f>SUM(O10:O15)+SUM(O17:O18)</f>
        <v>0</v>
      </c>
      <c r="Q19">
        <f>SUM(Q10:Q15)+SUM(Q17:Q18)</f>
        <v>0</v>
      </c>
      <c r="S19">
        <f>SUM(S10:S15)+SUM(S17:S18)</f>
        <v>0</v>
      </c>
      <c r="U19">
        <f>SUM(U10:U15)+SUM(U17:U18)</f>
        <v>0</v>
      </c>
      <c r="W19">
        <f>SUM(W10:W15)+SUM(W17:W18)</f>
        <v>0</v>
      </c>
      <c r="Y19">
        <f>SUM(Y10:Y15)+SUM(Y17:Y18)</f>
        <v>0</v>
      </c>
      <c r="Z19">
        <f>SUM(Z10:Z15)+SUM(Z17:Z18)</f>
        <v>0</v>
      </c>
      <c r="BC19">
        <f>SUM(BC10:BC15)+SUM(BC17:BC18)</f>
        <v>0</v>
      </c>
    </row>
    <row r="20" spans="2:88" x14ac:dyDescent="0.2">
      <c r="B20" t="s">
        <v>619</v>
      </c>
      <c r="C20">
        <v>190</v>
      </c>
      <c r="D20" t="s">
        <v>248</v>
      </c>
      <c r="BC20">
        <f>E20</f>
        <v>0</v>
      </c>
      <c r="CB20">
        <f>IF(OR(E20&lt;0,I20&lt;0,J20&lt;0,K20&lt;0,L20&lt;0,M20&lt;0,N20&lt;0,O20&lt;0,Q20&lt;0,S20&lt;0,U20&lt;0,W20&lt;0,Y20&lt;0,Z20&lt;0,BC20&lt;0),1,0)</f>
        <v>0</v>
      </c>
    </row>
    <row r="21" spans="2:88" x14ac:dyDescent="0.2">
      <c r="B21" t="s">
        <v>620</v>
      </c>
      <c r="C21">
        <v>200</v>
      </c>
      <c r="D21" t="s">
        <v>248</v>
      </c>
      <c r="BC21">
        <f>E21</f>
        <v>0</v>
      </c>
      <c r="CB21">
        <f>IF(OR(E21&lt;0,I21&lt;0,J21&lt;0,K21&lt;0,L21&lt;0,M21&lt;0,N21&lt;0,O21&lt;0,Q21&lt;0,S21&lt;0,U21&lt;0,W21&lt;0,Y21&lt;0,Z21&lt;0,BC21&lt;0),1,0)</f>
        <v>0</v>
      </c>
    </row>
    <row r="22" spans="2:88" x14ac:dyDescent="0.2">
      <c r="B22" t="s">
        <v>621</v>
      </c>
      <c r="C22">
        <v>210</v>
      </c>
      <c r="D22" t="s">
        <v>248</v>
      </c>
      <c r="BC22">
        <f>E22</f>
        <v>0</v>
      </c>
      <c r="CB22">
        <f>IF(OR(E22&lt;0,I22&lt;0,J22&lt;0,K22&lt;0,L22&lt;0,M22&lt;0,N22&lt;0,O22&lt;0,Q22&lt;0,S22&lt;0,U22&lt;0,W22&lt;0,Y22&lt;0,Z22&lt;0,BC22&lt;0),1,0)</f>
        <v>0</v>
      </c>
    </row>
    <row r="23" spans="2:88" x14ac:dyDescent="0.2">
      <c r="B23" t="s">
        <v>622</v>
      </c>
      <c r="C23">
        <v>220</v>
      </c>
      <c r="D23" t="s">
        <v>248</v>
      </c>
      <c r="BC23">
        <f>E23</f>
        <v>0</v>
      </c>
      <c r="CB23">
        <f>IF(OR(E23&lt;0,I23&lt;0,J23&lt;0,K23&lt;0,L23&lt;0,M23&lt;0,N23&lt;0,O23&lt;0,Q23&lt;0,S23&lt;0,U23&lt;0,W23&lt;0,Y23&lt;0,Z23&lt;0,BC23&lt;0),1,0)</f>
        <v>0</v>
      </c>
      <c r="CC23">
        <f>IF(ISERROR(E23/E24),0,IF(E23/E24&gt;=0.3,1,0))</f>
        <v>0</v>
      </c>
    </row>
    <row r="24" spans="2:88" x14ac:dyDescent="0.2">
      <c r="B24" t="s">
        <v>623</v>
      </c>
      <c r="C24">
        <v>230</v>
      </c>
      <c r="D24" t="s">
        <v>248</v>
      </c>
      <c r="E24">
        <f>SUM(E10:E23)-E19</f>
        <v>0</v>
      </c>
      <c r="I24">
        <f>SUM(I10:I23)-I19</f>
        <v>0</v>
      </c>
      <c r="J24">
        <f>SUM(J10:J23)-J19</f>
        <v>0</v>
      </c>
      <c r="K24">
        <f>SUM(K10:K23)-K19</f>
        <v>0</v>
      </c>
      <c r="L24">
        <f>SUM(L10:L23)-L19</f>
        <v>0</v>
      </c>
      <c r="M24">
        <f>SUM(M10:M23)-M19</f>
        <v>0</v>
      </c>
      <c r="O24">
        <f>SUM(O10:O23)-O19</f>
        <v>0</v>
      </c>
      <c r="Q24">
        <f>SUM(Q10:Q23)-Q19</f>
        <v>0</v>
      </c>
      <c r="S24">
        <f>SUM(S10:S23)-S19</f>
        <v>0</v>
      </c>
      <c r="U24">
        <f>SUM(U10:U23)-U19</f>
        <v>0</v>
      </c>
      <c r="W24">
        <f>SUM(W10:W23)-W19</f>
        <v>0</v>
      </c>
      <c r="Y24">
        <f>SUM(Y10:Y23)-Y19</f>
        <v>0</v>
      </c>
      <c r="Z24">
        <f>SUM(Z10:Z23)-Z19</f>
        <v>0</v>
      </c>
      <c r="BC24">
        <f>SUM(BC10:BC23)-BC19</f>
        <v>0</v>
      </c>
    </row>
    <row r="25" spans="2:88" x14ac:dyDescent="0.2">
      <c r="B25" t="s">
        <v>92</v>
      </c>
    </row>
    <row r="26" spans="2:88" x14ac:dyDescent="0.2">
      <c r="B26" t="s">
        <v>624</v>
      </c>
      <c r="C26">
        <v>250</v>
      </c>
      <c r="D26" t="s">
        <v>248</v>
      </c>
      <c r="BC26">
        <f>E26</f>
        <v>0</v>
      </c>
      <c r="CB26">
        <f>IF(OR(E26&lt;0,I26&lt;0,J26&lt;0,K26&lt;0,L26&lt;0,M26&lt;0,N26&lt;0,O26&lt;0,Q26&lt;0,S26&lt;0,U26&lt;0,W26&lt;0,Y26&lt;0,Z26&lt;0,BC26&lt;0),1,0)</f>
        <v>0</v>
      </c>
      <c r="CE26">
        <f>IF(SUM(H26:Z26)&lt;=E26,0,1)</f>
        <v>0</v>
      </c>
    </row>
    <row r="27" spans="2:88" x14ac:dyDescent="0.2">
      <c r="B27" t="s">
        <v>625</v>
      </c>
      <c r="C27">
        <v>260</v>
      </c>
      <c r="D27" t="s">
        <v>248</v>
      </c>
      <c r="BC27">
        <f>E27</f>
        <v>0</v>
      </c>
      <c r="CB27">
        <f>IF(OR(E27&lt;0,I27&lt;0,J27&lt;0,K27&lt;0,L27&lt;0,M27&lt;0,N27&lt;0,O27&lt;0,Q27&lt;0,S27&lt;0,U27&lt;0,W27&lt;0,Y27&lt;0,Z27&lt;0,BC27&lt;0),1,0)</f>
        <v>0</v>
      </c>
      <c r="CE27">
        <f>IF(SUM(H27:Z27)&lt;=E27,0,1)</f>
        <v>0</v>
      </c>
    </row>
    <row r="28" spans="2:88" x14ac:dyDescent="0.2">
      <c r="B28" t="s">
        <v>626</v>
      </c>
      <c r="C28">
        <v>270</v>
      </c>
      <c r="D28" t="s">
        <v>248</v>
      </c>
      <c r="BC28">
        <f>E28</f>
        <v>0</v>
      </c>
      <c r="CB28">
        <f>IF(OR(E28&lt;0,I28&lt;0,J28&lt;0,K28&lt;0,L28&lt;0,M28&lt;0,N28&lt;0,O28&lt;0,Q28&lt;0,S28&lt;0,U28&lt;0,W28&lt;0,Y28&lt;0,Z28&lt;0,BC28&lt;0),1,0)</f>
        <v>0</v>
      </c>
      <c r="CE28">
        <f>IF(SUM(H28:Z28)&lt;=E28,0,1)</f>
        <v>0</v>
      </c>
    </row>
    <row r="29" spans="2:88" x14ac:dyDescent="0.2">
      <c r="B29" t="s">
        <v>627</v>
      </c>
      <c r="C29">
        <v>280</v>
      </c>
      <c r="D29" t="s">
        <v>248</v>
      </c>
      <c r="E29">
        <f>Z29</f>
        <v>0</v>
      </c>
      <c r="BC29">
        <f>E29</f>
        <v>0</v>
      </c>
      <c r="CB29">
        <f>IF(OR(E29&lt;0,I29&lt;0,J29&lt;0,K29&lt;0,L29&lt;0,M29&lt;0,N29&lt;0,O29&lt;0,Q29&lt;0,S29&lt;0,U29&lt;0,W29&lt;0,Y29&lt;0,Z29&lt;0,BC29&lt;0),1,0)</f>
        <v>0</v>
      </c>
      <c r="CE29">
        <f>IF(SUM(H29:Z29)&lt;=E29,0,1)</f>
        <v>0</v>
      </c>
    </row>
    <row r="30" spans="2:88" x14ac:dyDescent="0.2">
      <c r="B30" t="s">
        <v>628</v>
      </c>
      <c r="C30">
        <v>285</v>
      </c>
      <c r="D30" t="s">
        <v>248</v>
      </c>
      <c r="BC30">
        <f>E30</f>
        <v>0</v>
      </c>
      <c r="CB30">
        <f>IF(OR(E30&lt;0,I30&lt;0,J30&lt;0,K30&lt;0,L30&lt;0,M30&lt;0,N30&lt;0,O30&lt;0,Q30&lt;0,S30&lt;0,U30&lt;0,W30&lt;0,Y30&lt;0,Z30&lt;0,BC30&lt;0),1,0)</f>
        <v>0</v>
      </c>
      <c r="CE30">
        <f>IF(SUM(H30:Z30)&lt;=E30,0,1)</f>
        <v>0</v>
      </c>
    </row>
    <row r="31" spans="2:88" x14ac:dyDescent="0.2">
      <c r="B31" t="s">
        <v>629</v>
      </c>
      <c r="C31">
        <v>286</v>
      </c>
      <c r="D31" t="s">
        <v>248</v>
      </c>
      <c r="E31">
        <f>SUM(E29:E30)</f>
        <v>0</v>
      </c>
      <c r="F31">
        <f>SUM(F29:F30)</f>
        <v>0</v>
      </c>
      <c r="I31">
        <f>SUM(I29:I30)</f>
        <v>0</v>
      </c>
      <c r="J31">
        <f>SUM(J29:J30)</f>
        <v>0</v>
      </c>
      <c r="K31">
        <f>SUM(K29:K30)</f>
        <v>0</v>
      </c>
      <c r="L31">
        <f>SUM(L29:L30)</f>
        <v>0</v>
      </c>
      <c r="M31">
        <f>SUM(M29:M30)</f>
        <v>0</v>
      </c>
      <c r="O31">
        <f>SUM(O29:O30)</f>
        <v>0</v>
      </c>
      <c r="Q31">
        <f>SUM(Q29:Q30)</f>
        <v>0</v>
      </c>
      <c r="S31">
        <f>SUM(S29:S30)</f>
        <v>0</v>
      </c>
      <c r="U31">
        <f>SUM(U29:U30)</f>
        <v>0</v>
      </c>
      <c r="W31">
        <f>SUM(W29:W30)</f>
        <v>0</v>
      </c>
      <c r="Y31">
        <f>SUM(Y29:Y30)</f>
        <v>0</v>
      </c>
      <c r="Z31">
        <f>SUM(Z29:Z30)</f>
        <v>0</v>
      </c>
      <c r="BC31">
        <f>SUM(BC29:BC30)</f>
        <v>0</v>
      </c>
    </row>
    <row r="32" spans="2:88" x14ac:dyDescent="0.2">
      <c r="B32" t="s">
        <v>630</v>
      </c>
      <c r="C32">
        <v>287</v>
      </c>
      <c r="D32" t="s">
        <v>248</v>
      </c>
      <c r="BC32">
        <f>E32</f>
        <v>0</v>
      </c>
      <c r="CB32">
        <f>IF(OR(E32&lt;0,I32&lt;0,J32&lt;0,K32&lt;0,L32&lt;0,M32&lt;0,N32&lt;0,O32&lt;0,Q32&lt;0,S32&lt;0,U32&lt;0,W32&lt;0,Y32&lt;0,Z32&lt;0,BC32&lt;0),1,0)</f>
        <v>0</v>
      </c>
      <c r="CE32">
        <f>IF(SUM(H32:Z32)&lt;=E32,0,1)</f>
        <v>0</v>
      </c>
      <c r="CJ32">
        <f>E32</f>
        <v>0</v>
      </c>
    </row>
    <row r="33" spans="2:89" x14ac:dyDescent="0.2">
      <c r="B33" t="s">
        <v>631</v>
      </c>
      <c r="C33">
        <v>288</v>
      </c>
      <c r="D33" t="s">
        <v>248</v>
      </c>
      <c r="BC33">
        <f>E33</f>
        <v>0</v>
      </c>
      <c r="CB33">
        <f>IF(OR(E33&lt;0,I33&lt;0,J33&lt;0,K33&lt;0,L33&lt;0,M33&lt;0,N33&lt;0,O33&lt;0,Q33&lt;0,S33&lt;0,U33&lt;0,W33&lt;0,Y33&lt;0,Z33&lt;0,BC33&lt;0),1,0)</f>
        <v>0</v>
      </c>
      <c r="CE33">
        <f>IF(SUM(H33:Z33)&lt;=E33,0,1)</f>
        <v>0</v>
      </c>
    </row>
    <row r="34" spans="2:89" x14ac:dyDescent="0.2">
      <c r="B34" t="s">
        <v>2937</v>
      </c>
      <c r="C34">
        <v>290</v>
      </c>
      <c r="D34" t="s">
        <v>248</v>
      </c>
      <c r="E34">
        <f>SUM(E32:E33)</f>
        <v>0</v>
      </c>
      <c r="I34">
        <f>SUM(I32:I33)</f>
        <v>0</v>
      </c>
      <c r="J34">
        <f>SUM(J32:J33)</f>
        <v>0</v>
      </c>
      <c r="K34">
        <f>SUM(K32:K33)</f>
        <v>0</v>
      </c>
      <c r="L34">
        <f>SUM(L32:L33)</f>
        <v>0</v>
      </c>
      <c r="M34">
        <f>SUM(M32:M33)</f>
        <v>0</v>
      </c>
      <c r="O34">
        <f>SUM(O32:O33)</f>
        <v>0</v>
      </c>
      <c r="Q34">
        <f>SUM(Q32:Q33)</f>
        <v>0</v>
      </c>
      <c r="S34">
        <f>SUM(S32:S33)</f>
        <v>0</v>
      </c>
      <c r="U34">
        <f>SUM(U32:U33)</f>
        <v>0</v>
      </c>
      <c r="W34">
        <f>SUM(W32:W33)</f>
        <v>0</v>
      </c>
      <c r="Y34">
        <f>SUM(Y32:Y33)</f>
        <v>0</v>
      </c>
      <c r="Z34">
        <f>SUM(Z32:Z33)</f>
        <v>0</v>
      </c>
      <c r="BC34">
        <f>SUM(BC32:BC33)</f>
        <v>0</v>
      </c>
      <c r="CE34">
        <f>IF(SUM(H34:Z34)&lt;=E34,0,1)</f>
        <v>0</v>
      </c>
      <c r="CK34">
        <f>BC34</f>
        <v>0</v>
      </c>
    </row>
    <row r="35" spans="2:89" x14ac:dyDescent="0.2">
      <c r="B35" t="s">
        <v>2938</v>
      </c>
      <c r="C35">
        <v>295</v>
      </c>
      <c r="D35" t="s">
        <v>248</v>
      </c>
    </row>
    <row r="36" spans="2:89" x14ac:dyDescent="0.2">
      <c r="B36" t="s">
        <v>634</v>
      </c>
      <c r="C36">
        <v>300</v>
      </c>
      <c r="D36" t="s">
        <v>248</v>
      </c>
      <c r="BC36">
        <f>E36</f>
        <v>0</v>
      </c>
      <c r="CB36">
        <f>IF(OR(E36&lt;0,I36&lt;0,J36&lt;0,K36&lt;0,L36&lt;0,M36&lt;0,N36&lt;0,O36&lt;0,Q36&lt;0,S36&lt;0,U36&lt;0,W36&lt;0,Y36&lt;0,Z36&lt;0,BC36&lt;0),1,0)</f>
        <v>0</v>
      </c>
      <c r="CE36">
        <f t="shared" ref="CE36:CE47" si="0">IF(SUM(H36:Z36)&lt;=E36,0,1)</f>
        <v>0</v>
      </c>
    </row>
    <row r="37" spans="2:89" x14ac:dyDescent="0.2">
      <c r="B37" t="s">
        <v>635</v>
      </c>
      <c r="C37">
        <v>310</v>
      </c>
      <c r="D37" t="s">
        <v>248</v>
      </c>
      <c r="BC37">
        <f>E37</f>
        <v>0</v>
      </c>
      <c r="CB37">
        <f>IF(OR(E37&lt;0,I37&lt;0,J37&lt;0,K37&lt;0,L37&lt;0,M37&lt;0,N37&lt;0,O37&lt;0,Q37&lt;0,S37&lt;0,U37&lt;0,W37&lt;0,Y37&lt;0,Z37&lt;0,BC37&lt;0),1,0)</f>
        <v>0</v>
      </c>
      <c r="CE37">
        <f t="shared" si="0"/>
        <v>0</v>
      </c>
    </row>
    <row r="38" spans="2:89" x14ac:dyDescent="0.2">
      <c r="B38" t="s">
        <v>636</v>
      </c>
      <c r="C38">
        <v>320</v>
      </c>
      <c r="D38" t="s">
        <v>248</v>
      </c>
      <c r="BC38">
        <f>E38</f>
        <v>0</v>
      </c>
      <c r="CB38">
        <f>IF(OR(E38&lt;0,I38&lt;0,J38&lt;0,K38&lt;0,L38&lt;0,M38&lt;0,N38&lt;0,O38&lt;0,Q38&lt;0,S38&lt;0,U38&lt;0,W38&lt;0,Y38&lt;0,Z38&lt;0,BC38&lt;0),1,0)</f>
        <v>0</v>
      </c>
      <c r="CE38">
        <f t="shared" si="0"/>
        <v>0</v>
      </c>
    </row>
    <row r="39" spans="2:89" x14ac:dyDescent="0.2">
      <c r="B39" t="s">
        <v>637</v>
      </c>
      <c r="C39">
        <v>325</v>
      </c>
      <c r="D39" t="s">
        <v>248</v>
      </c>
      <c r="BC39">
        <f>E39</f>
        <v>0</v>
      </c>
      <c r="CB39">
        <f>IF(OR(E39&lt;0,I39&lt;0,J39&lt;0,K39&lt;0,L39&lt;0,M39&lt;0,N39&lt;0,O39&lt;0,Q39&lt;0,S39&lt;0,U39&lt;0,W39&lt;0,Y39&lt;0,Z39&lt;0,BC39&lt;0),1,0)</f>
        <v>0</v>
      </c>
      <c r="CE39">
        <f t="shared" si="0"/>
        <v>0</v>
      </c>
    </row>
    <row r="40" spans="2:89" x14ac:dyDescent="0.2">
      <c r="B40" t="s">
        <v>638</v>
      </c>
      <c r="C40">
        <v>326</v>
      </c>
      <c r="D40" t="s">
        <v>248</v>
      </c>
      <c r="BC40">
        <f>E40</f>
        <v>0</v>
      </c>
      <c r="CB40">
        <f>IF(OR(E40&lt;0,I40&lt;0,J40&lt;0,K40&lt;0,L40&lt;0,M40&lt;0,N40&lt;0,O40&lt;0,Q40&lt;0,S40&lt;0,U40&lt;0,W40&lt;0,Y40&lt;0,Z40&lt;0,BC40&lt;0),1,0)</f>
        <v>0</v>
      </c>
      <c r="CE40">
        <f t="shared" si="0"/>
        <v>0</v>
      </c>
    </row>
    <row r="41" spans="2:89" x14ac:dyDescent="0.2">
      <c r="B41" t="s">
        <v>639</v>
      </c>
      <c r="C41">
        <v>330</v>
      </c>
      <c r="D41" t="s">
        <v>248</v>
      </c>
      <c r="E41">
        <f>SUM(E39:E40)</f>
        <v>0</v>
      </c>
      <c r="I41">
        <f>SUM(I39:I40)</f>
        <v>0</v>
      </c>
      <c r="J41">
        <f>SUM(J39:J40)</f>
        <v>0</v>
      </c>
      <c r="K41">
        <f>SUM(K39:K40)</f>
        <v>0</v>
      </c>
      <c r="L41">
        <f>SUM(L39:L40)</f>
        <v>0</v>
      </c>
      <c r="M41">
        <f>SUM(M39:M40)</f>
        <v>0</v>
      </c>
      <c r="O41">
        <f>SUM(O39:O40)</f>
        <v>0</v>
      </c>
      <c r="Q41">
        <f>SUM(Q39:Q40)</f>
        <v>0</v>
      </c>
      <c r="S41">
        <f>SUM(S39:S40)</f>
        <v>0</v>
      </c>
      <c r="U41">
        <f>SUM(U39:U40)</f>
        <v>0</v>
      </c>
      <c r="W41">
        <f>SUM(W39:W40)</f>
        <v>0</v>
      </c>
      <c r="Y41">
        <f>SUM(Y39:Y40)</f>
        <v>0</v>
      </c>
      <c r="BC41">
        <f>SUM(BC39:BC40)</f>
        <v>0</v>
      </c>
      <c r="CE41">
        <f t="shared" si="0"/>
        <v>0</v>
      </c>
    </row>
    <row r="42" spans="2:89" x14ac:dyDescent="0.2">
      <c r="B42" t="s">
        <v>640</v>
      </c>
      <c r="C42">
        <v>335</v>
      </c>
      <c r="D42" t="s">
        <v>248</v>
      </c>
      <c r="BC42">
        <f>E42</f>
        <v>0</v>
      </c>
      <c r="CB42">
        <f>IF(OR(E42&lt;0,I42&lt;0,J42&lt;0,K42&lt;0,L42&lt;0,M42&lt;0,N42&lt;0,O42&lt;0,Q42&lt;0,S42&lt;0,U42&lt;0,W42&lt;0,Y42&lt;0,Z42&lt;0,BC42&lt;0),1,0)</f>
        <v>0</v>
      </c>
      <c r="CE42">
        <f t="shared" si="0"/>
        <v>0</v>
      </c>
    </row>
    <row r="43" spans="2:89" x14ac:dyDescent="0.2">
      <c r="B43" t="s">
        <v>641</v>
      </c>
      <c r="C43">
        <v>336</v>
      </c>
      <c r="D43" t="s">
        <v>248</v>
      </c>
      <c r="BC43">
        <f>E43</f>
        <v>0</v>
      </c>
      <c r="CB43">
        <f>IF(OR(E43&lt;0,I43&lt;0,J43&lt;0,K43&lt;0,L43&lt;0,M43&lt;0,N43&lt;0,O43&lt;0,Q43&lt;0,S43&lt;0,U43&lt;0,W43&lt;0,Y43&lt;0,Z43&lt;0,BC43&lt;0),1,0)</f>
        <v>0</v>
      </c>
      <c r="CE43">
        <f t="shared" si="0"/>
        <v>0</v>
      </c>
    </row>
    <row r="44" spans="2:89" x14ac:dyDescent="0.2">
      <c r="B44" t="s">
        <v>642</v>
      </c>
      <c r="C44">
        <v>340</v>
      </c>
      <c r="D44" t="s">
        <v>248</v>
      </c>
      <c r="E44">
        <f>SUM(E42:E43)</f>
        <v>0</v>
      </c>
      <c r="I44">
        <f>SUM(I42:I43)</f>
        <v>0</v>
      </c>
      <c r="J44">
        <f>SUM(J42:J43)</f>
        <v>0</v>
      </c>
      <c r="K44">
        <f>SUM(K42:K43)</f>
        <v>0</v>
      </c>
      <c r="L44">
        <f>SUM(L42:L43)</f>
        <v>0</v>
      </c>
      <c r="M44">
        <f>SUM(M42:M43)</f>
        <v>0</v>
      </c>
      <c r="O44">
        <f>SUM(O42:O43)</f>
        <v>0</v>
      </c>
      <c r="Q44">
        <f>SUM(Q42:Q43)</f>
        <v>0</v>
      </c>
      <c r="S44">
        <f>SUM(S42:S43)</f>
        <v>0</v>
      </c>
      <c r="U44">
        <f>SUM(U42:U43)</f>
        <v>0</v>
      </c>
      <c r="W44">
        <f>SUM(W42:W43)</f>
        <v>0</v>
      </c>
      <c r="Y44">
        <f>SUM(Y42:Y43)</f>
        <v>0</v>
      </c>
      <c r="BC44">
        <f>SUM(BC42:BC43)</f>
        <v>0</v>
      </c>
      <c r="CE44">
        <f t="shared" si="0"/>
        <v>0</v>
      </c>
    </row>
    <row r="45" spans="2:89" x14ac:dyDescent="0.2">
      <c r="B45" t="s">
        <v>665</v>
      </c>
      <c r="C45">
        <v>345</v>
      </c>
      <c r="D45" t="s">
        <v>248</v>
      </c>
      <c r="BC45">
        <f>E45</f>
        <v>0</v>
      </c>
      <c r="CB45">
        <f>IF(OR(E45&lt;0,I45&lt;0,J45&lt;0,K45&lt;0,L45&lt;0,M45&lt;0,N45&lt;0,O45&lt;0,Q45&lt;0,S45&lt;0,U45&lt;0,W45&lt;0,Y45&lt;0,Z45&lt;0,BC45&lt;0),1,0)</f>
        <v>0</v>
      </c>
      <c r="CE45">
        <f t="shared" si="0"/>
        <v>0</v>
      </c>
    </row>
    <row r="46" spans="2:89" x14ac:dyDescent="0.2">
      <c r="B46" t="s">
        <v>2008</v>
      </c>
      <c r="C46">
        <v>346</v>
      </c>
      <c r="D46" t="s">
        <v>248</v>
      </c>
      <c r="BC46">
        <f>E46</f>
        <v>0</v>
      </c>
      <c r="CB46">
        <f>IF(OR(E46&lt;0,I46&lt;0,J46&lt;0,K46&lt;0,L46&lt;0,M46&lt;0,N46&lt;0,O46&lt;0,Q46&lt;0,S46&lt;0,U46&lt;0,W46&lt;0,Y46&lt;0,Z46&lt;0,BC46&lt;0),1,0)</f>
        <v>0</v>
      </c>
      <c r="CE46">
        <f t="shared" si="0"/>
        <v>0</v>
      </c>
    </row>
    <row r="47" spans="2:89" x14ac:dyDescent="0.2">
      <c r="B47" t="s">
        <v>2939</v>
      </c>
      <c r="C47">
        <v>350</v>
      </c>
      <c r="D47" t="s">
        <v>248</v>
      </c>
      <c r="E47">
        <f>SUM(E45:E46)</f>
        <v>0</v>
      </c>
      <c r="I47">
        <f>SUM(I45:I46)</f>
        <v>0</v>
      </c>
      <c r="J47">
        <f>SUM(J45:J46)</f>
        <v>0</v>
      </c>
      <c r="K47">
        <f>SUM(K45:K46)</f>
        <v>0</v>
      </c>
      <c r="L47">
        <f>SUM(L45:L46)</f>
        <v>0</v>
      </c>
      <c r="M47">
        <f>SUM(M45:M46)</f>
        <v>0</v>
      </c>
      <c r="O47">
        <f>SUM(O45:O46)</f>
        <v>0</v>
      </c>
      <c r="Q47">
        <f>SUM(Q45:Q46)</f>
        <v>0</v>
      </c>
      <c r="S47">
        <f>SUM(S45:S46)</f>
        <v>0</v>
      </c>
      <c r="U47">
        <f>SUM(U45:U46)</f>
        <v>0</v>
      </c>
      <c r="W47">
        <f>SUM(W45:W46)</f>
        <v>0</v>
      </c>
      <c r="Y47">
        <f>SUM(Y45:Y46)</f>
        <v>0</v>
      </c>
      <c r="BC47">
        <f>SUM(BC45:BC46)</f>
        <v>0</v>
      </c>
      <c r="CC47">
        <f>IF(ISERROR(E47/E48),0,IF(E47/E48&gt;=0.3,1,0))</f>
        <v>0</v>
      </c>
      <c r="CE47">
        <f t="shared" si="0"/>
        <v>0</v>
      </c>
    </row>
    <row r="48" spans="2:89" x14ac:dyDescent="0.2">
      <c r="B48" t="s">
        <v>646</v>
      </c>
      <c r="C48">
        <v>360</v>
      </c>
      <c r="D48" t="s">
        <v>248</v>
      </c>
      <c r="E48">
        <f>SUM(E26:E30)+SUM(E32:E33)+SUM(E35:E40)+SUM(E42:E43)+SUM(E45:E46)</f>
        <v>0</v>
      </c>
      <c r="I48">
        <f>SUM(I26:I30)+SUM(I32:I33)+SUM(I35:I40)+SUM(I42:I43)+SUM(I45:I46)</f>
        <v>0</v>
      </c>
      <c r="J48">
        <f>SUM(J26:J30)+SUM(J32:J33)+SUM(J35:J40)+SUM(J42:J43)+SUM(J45:J46)</f>
        <v>0</v>
      </c>
      <c r="K48">
        <f>SUM(K26:K30)+SUM(K32:K33)+SUM(K35:K40)+SUM(K42:K43)+SUM(K45:K46)</f>
        <v>0</v>
      </c>
      <c r="L48">
        <f>SUM(L26:L30)+SUM(L32:L33)+SUM(L35:L40)+SUM(L42:L43)+SUM(L45:L46)</f>
        <v>0</v>
      </c>
      <c r="M48">
        <f>SUM(M26:M30)+SUM(M32:M33)+SUM(M35:M40)+SUM(M42:M43)+SUM(M45:M46)</f>
        <v>0</v>
      </c>
      <c r="O48">
        <f>SUM(O26:O30)+SUM(O32:O33)+SUM(O35:O40)+SUM(O42:O43)+SUM(O45:O46)</f>
        <v>0</v>
      </c>
      <c r="Q48">
        <f>SUM(Q26:Q30)+SUM(Q32:Q33)+SUM(Q35:Q40)+SUM(Q42:Q43)+SUM(Q45:Q46)</f>
        <v>0</v>
      </c>
      <c r="S48">
        <f>SUM(S26:S30)+SUM(S32:S33)+SUM(S35:S40)+SUM(S42:S43)+SUM(S45:S46)</f>
        <v>0</v>
      </c>
      <c r="U48">
        <f>SUM(U26:U30)+SUM(U32:U33)+SUM(U35:U40)+SUM(U42:U43)+SUM(U45:U46)</f>
        <v>0</v>
      </c>
      <c r="W48">
        <f>SUM(W26:W30)+SUM(W32:W33)+SUM(W35:W40)+SUM(W42:W43)+SUM(W45:W46)</f>
        <v>0</v>
      </c>
      <c r="Y48">
        <f>SUM(Y26:Y30)+SUM(Y32:Y33)+SUM(Y35:Y40)+SUM(Y42:Y43)+SUM(Y45:Y46)</f>
        <v>0</v>
      </c>
      <c r="Z48">
        <f>SUM(Z26:Z30)+SUM(Z32:Z33)+SUM(Z35:Z40)+SUM(Z42:Z43)+SUM(Z45:Z46)</f>
        <v>0</v>
      </c>
      <c r="BC48">
        <f>SUM(BC26:BC30)+SUM(BC32:BC33)+SUM(BC35:BC40)+SUM(BC42:BC43)+SUM(BC45:BC46)</f>
        <v>0</v>
      </c>
    </row>
    <row r="49" spans="2:84" x14ac:dyDescent="0.2">
      <c r="B49" t="s">
        <v>647</v>
      </c>
      <c r="C49">
        <v>370</v>
      </c>
      <c r="D49" t="s">
        <v>248</v>
      </c>
      <c r="E49">
        <f>E24+E48</f>
        <v>0</v>
      </c>
      <c r="I49">
        <f>I24+I48</f>
        <v>0</v>
      </c>
      <c r="J49">
        <f>J24+J48</f>
        <v>0</v>
      </c>
      <c r="K49">
        <f>K24+K48</f>
        <v>0</v>
      </c>
      <c r="L49">
        <f>L24+L48</f>
        <v>0</v>
      </c>
      <c r="M49">
        <f>M24+M48</f>
        <v>0</v>
      </c>
      <c r="O49">
        <f>O24+O48</f>
        <v>0</v>
      </c>
      <c r="Q49">
        <f>Q24+Q48</f>
        <v>0</v>
      </c>
      <c r="S49">
        <f>S24+S48</f>
        <v>0</v>
      </c>
      <c r="U49">
        <f>U24+U48</f>
        <v>0</v>
      </c>
      <c r="W49">
        <f>W24+W48</f>
        <v>0</v>
      </c>
      <c r="Y49">
        <f>Y24+Y48</f>
        <v>0</v>
      </c>
      <c r="Z49">
        <f>Z24+Z48</f>
        <v>0</v>
      </c>
      <c r="BC49">
        <f>BC24+BC48</f>
        <v>0</v>
      </c>
    </row>
    <row r="51" spans="2:84" x14ac:dyDescent="0.2">
      <c r="B51" t="s">
        <v>111</v>
      </c>
    </row>
    <row r="53" spans="2:84" x14ac:dyDescent="0.2">
      <c r="B53" t="s">
        <v>648</v>
      </c>
      <c r="I53">
        <f>I49+I51</f>
        <v>0</v>
      </c>
      <c r="J53">
        <f>J49+J51</f>
        <v>0</v>
      </c>
      <c r="K53">
        <f>K49+K51</f>
        <v>0</v>
      </c>
      <c r="L53">
        <f>L49+L51</f>
        <v>0</v>
      </c>
      <c r="M53">
        <f>M49+M51</f>
        <v>0</v>
      </c>
      <c r="O53">
        <f>O49+O51</f>
        <v>0</v>
      </c>
      <c r="Q53">
        <f>Q49+Q51</f>
        <v>0</v>
      </c>
      <c r="S53">
        <f>S49+S51</f>
        <v>0</v>
      </c>
      <c r="U53">
        <f>U49+U51</f>
        <v>0</v>
      </c>
      <c r="W53">
        <f>W49+W51</f>
        <v>0</v>
      </c>
      <c r="Y53">
        <f>Y49+Y51</f>
        <v>0</v>
      </c>
      <c r="Z53">
        <f>Z49+Z51</f>
        <v>0</v>
      </c>
    </row>
    <row r="55" spans="2:84" x14ac:dyDescent="0.2">
      <c r="B55" t="s">
        <v>649</v>
      </c>
    </row>
    <row r="57" spans="2:84" x14ac:dyDescent="0.2">
      <c r="B57" t="s">
        <v>650</v>
      </c>
      <c r="I57">
        <f>I53-I55</f>
        <v>0</v>
      </c>
      <c r="J57">
        <f>J53-J55</f>
        <v>0</v>
      </c>
      <c r="K57">
        <f>K53-K55</f>
        <v>0</v>
      </c>
      <c r="L57">
        <f>L53-L55</f>
        <v>0</v>
      </c>
      <c r="M57">
        <f>M53-M55</f>
        <v>0</v>
      </c>
      <c r="O57">
        <f>O53-O55</f>
        <v>0</v>
      </c>
      <c r="Q57">
        <f>Q53-Q55</f>
        <v>0</v>
      </c>
      <c r="S57">
        <f>S53-S55</f>
        <v>0</v>
      </c>
      <c r="U57">
        <f>U53-U55</f>
        <v>0</v>
      </c>
      <c r="W57">
        <f>W53-W55</f>
        <v>0</v>
      </c>
      <c r="Y57">
        <f>Y53-Y55</f>
        <v>0</v>
      </c>
      <c r="CF57">
        <f>IF(OR(I57&lt;&gt;0,J57&lt;&gt;0,K57&lt;&gt;0,L57&lt;&gt;0,M57&lt;&gt;0,O57&lt;&gt;0,Q57&lt;&gt;0,S57&lt;&gt;0,U57&lt;&gt;0,W57&lt;&gt;0,Y57&lt;&gt;0),1,0)</f>
        <v>0</v>
      </c>
    </row>
    <row r="61" spans="2:84" x14ac:dyDescent="0.2">
      <c r="D61" t="s">
        <v>25</v>
      </c>
      <c r="E61" t="s">
        <v>235</v>
      </c>
      <c r="F61" t="s">
        <v>236</v>
      </c>
      <c r="G61" t="s">
        <v>293</v>
      </c>
    </row>
    <row r="62" spans="2:84" x14ac:dyDescent="0.2">
      <c r="B62" t="s">
        <v>651</v>
      </c>
      <c r="C62" t="s">
        <v>238</v>
      </c>
      <c r="E62" t="s">
        <v>239</v>
      </c>
      <c r="F62" t="s">
        <v>240</v>
      </c>
      <c r="G62" t="s">
        <v>585</v>
      </c>
    </row>
    <row r="63" spans="2:84" x14ac:dyDescent="0.2">
      <c r="C63" t="s">
        <v>242</v>
      </c>
      <c r="E63" t="s">
        <v>243</v>
      </c>
      <c r="F63" t="s">
        <v>243</v>
      </c>
      <c r="G63" t="s">
        <v>243</v>
      </c>
    </row>
    <row r="64" spans="2:84" x14ac:dyDescent="0.2">
      <c r="B64" t="s">
        <v>652</v>
      </c>
      <c r="C64">
        <v>380</v>
      </c>
      <c r="D64" t="s">
        <v>248</v>
      </c>
    </row>
    <row r="65" spans="2:80" x14ac:dyDescent="0.2">
      <c r="B65" t="s">
        <v>653</v>
      </c>
      <c r="C65">
        <v>390</v>
      </c>
      <c r="D65" t="s">
        <v>248</v>
      </c>
    </row>
    <row r="69" spans="2:80" x14ac:dyDescent="0.2">
      <c r="D69" t="s">
        <v>25</v>
      </c>
      <c r="E69" t="s">
        <v>235</v>
      </c>
      <c r="F69" t="s">
        <v>236</v>
      </c>
      <c r="G69" t="s">
        <v>293</v>
      </c>
    </row>
    <row r="70" spans="2:80" x14ac:dyDescent="0.2">
      <c r="B70" t="s">
        <v>654</v>
      </c>
      <c r="C70" t="s">
        <v>238</v>
      </c>
      <c r="E70" t="s">
        <v>239</v>
      </c>
      <c r="F70" t="s">
        <v>240</v>
      </c>
      <c r="G70" t="s">
        <v>585</v>
      </c>
    </row>
    <row r="71" spans="2:80" x14ac:dyDescent="0.2">
      <c r="C71" t="s">
        <v>242</v>
      </c>
      <c r="E71" t="s">
        <v>243</v>
      </c>
      <c r="F71" t="s">
        <v>243</v>
      </c>
      <c r="G71" t="s">
        <v>243</v>
      </c>
    </row>
    <row r="72" spans="2:80" x14ac:dyDescent="0.2">
      <c r="B72" t="s">
        <v>655</v>
      </c>
      <c r="C72">
        <v>400</v>
      </c>
      <c r="D72" t="s">
        <v>248</v>
      </c>
      <c r="CB72">
        <f>IF(E72&lt;0,1,0)</f>
        <v>0</v>
      </c>
    </row>
    <row r="73" spans="2:80" x14ac:dyDescent="0.2">
      <c r="B73" t="s">
        <v>656</v>
      </c>
      <c r="C73">
        <v>410</v>
      </c>
      <c r="D73" t="s">
        <v>248</v>
      </c>
      <c r="CB73">
        <f>IF(E73&lt;0,1,0)</f>
        <v>0</v>
      </c>
    </row>
    <row r="74" spans="2:80" x14ac:dyDescent="0.2">
      <c r="B74" t="s">
        <v>657</v>
      </c>
      <c r="C74">
        <v>420</v>
      </c>
      <c r="D74" t="s">
        <v>248</v>
      </c>
      <c r="E74">
        <f>E72-E73</f>
        <v>0</v>
      </c>
    </row>
    <row r="77" spans="2:80" x14ac:dyDescent="0.2">
      <c r="D77" t="s">
        <v>25</v>
      </c>
      <c r="E77" t="s">
        <v>235</v>
      </c>
      <c r="F77" t="s">
        <v>236</v>
      </c>
      <c r="G77" t="s">
        <v>293</v>
      </c>
      <c r="H77" t="s">
        <v>294</v>
      </c>
      <c r="I77" t="s">
        <v>295</v>
      </c>
      <c r="J77" t="s">
        <v>296</v>
      </c>
      <c r="K77" t="s">
        <v>342</v>
      </c>
      <c r="L77" t="s">
        <v>297</v>
      </c>
      <c r="M77" t="s">
        <v>298</v>
      </c>
      <c r="N77" t="s">
        <v>299</v>
      </c>
      <c r="O77" t="s">
        <v>360</v>
      </c>
      <c r="P77" t="s">
        <v>361</v>
      </c>
      <c r="Q77" t="s">
        <v>362</v>
      </c>
      <c r="R77" t="s">
        <v>576</v>
      </c>
      <c r="S77" t="s">
        <v>577</v>
      </c>
      <c r="T77" t="s">
        <v>578</v>
      </c>
      <c r="U77" t="s">
        <v>579</v>
      </c>
      <c r="V77" t="s">
        <v>580</v>
      </c>
      <c r="W77" t="s">
        <v>581</v>
      </c>
      <c r="X77" t="s">
        <v>582</v>
      </c>
      <c r="Y77" t="s">
        <v>583</v>
      </c>
      <c r="Z77" t="s">
        <v>584</v>
      </c>
      <c r="BC77" t="s">
        <v>237</v>
      </c>
    </row>
    <row r="78" spans="2:80" x14ac:dyDescent="0.2">
      <c r="B78" t="s">
        <v>658</v>
      </c>
      <c r="C78" t="s">
        <v>238</v>
      </c>
      <c r="E78" t="s">
        <v>239</v>
      </c>
      <c r="F78" t="s">
        <v>240</v>
      </c>
      <c r="G78" t="s">
        <v>585</v>
      </c>
      <c r="H78" t="s">
        <v>586</v>
      </c>
      <c r="I78" t="s">
        <v>587</v>
      </c>
      <c r="J78" t="s">
        <v>588</v>
      </c>
      <c r="K78" t="s">
        <v>589</v>
      </c>
      <c r="L78" t="s">
        <v>590</v>
      </c>
      <c r="M78" t="s">
        <v>591</v>
      </c>
      <c r="N78" t="s">
        <v>592</v>
      </c>
      <c r="O78" t="s">
        <v>593</v>
      </c>
      <c r="P78" t="s">
        <v>594</v>
      </c>
      <c r="Q78" t="s">
        <v>595</v>
      </c>
      <c r="R78" t="s">
        <v>596</v>
      </c>
      <c r="S78" t="s">
        <v>597</v>
      </c>
      <c r="T78" t="s">
        <v>598</v>
      </c>
      <c r="U78" t="s">
        <v>599</v>
      </c>
      <c r="V78" t="s">
        <v>600</v>
      </c>
      <c r="W78" t="s">
        <v>601</v>
      </c>
      <c r="X78" t="s">
        <v>602</v>
      </c>
      <c r="Y78" t="s">
        <v>603</v>
      </c>
      <c r="Z78" t="s">
        <v>604</v>
      </c>
      <c r="BC78" t="s">
        <v>241</v>
      </c>
    </row>
    <row r="79" spans="2:80" x14ac:dyDescent="0.2">
      <c r="C79" t="s">
        <v>242</v>
      </c>
      <c r="E79" t="s">
        <v>243</v>
      </c>
      <c r="F79" t="s">
        <v>243</v>
      </c>
      <c r="G79" t="s">
        <v>243</v>
      </c>
      <c r="H79" t="s">
        <v>243</v>
      </c>
      <c r="I79" t="s">
        <v>243</v>
      </c>
      <c r="J79" t="s">
        <v>243</v>
      </c>
      <c r="K79" t="s">
        <v>243</v>
      </c>
      <c r="L79" t="s">
        <v>243</v>
      </c>
      <c r="M79" t="s">
        <v>243</v>
      </c>
      <c r="N79" t="s">
        <v>243</v>
      </c>
      <c r="O79" t="s">
        <v>243</v>
      </c>
      <c r="P79" t="s">
        <v>243</v>
      </c>
      <c r="Q79" t="s">
        <v>243</v>
      </c>
      <c r="R79" t="s">
        <v>243</v>
      </c>
      <c r="S79" t="s">
        <v>243</v>
      </c>
      <c r="T79" t="s">
        <v>243</v>
      </c>
      <c r="U79" t="s">
        <v>243</v>
      </c>
      <c r="V79" t="s">
        <v>243</v>
      </c>
      <c r="W79" t="s">
        <v>243</v>
      </c>
      <c r="X79" t="s">
        <v>243</v>
      </c>
      <c r="Y79" t="s">
        <v>243</v>
      </c>
      <c r="Z79" t="s">
        <v>243</v>
      </c>
      <c r="BC79" t="s">
        <v>243</v>
      </c>
    </row>
    <row r="80" spans="2:80" x14ac:dyDescent="0.2">
      <c r="B80" t="s">
        <v>659</v>
      </c>
    </row>
    <row r="81" spans="2:4" x14ac:dyDescent="0.2">
      <c r="B81" t="s">
        <v>660</v>
      </c>
      <c r="C81">
        <v>430</v>
      </c>
      <c r="D81" t="s">
        <v>248</v>
      </c>
    </row>
    <row r="82" spans="2:4" x14ac:dyDescent="0.2">
      <c r="B82" t="s">
        <v>352</v>
      </c>
      <c r="C82">
        <v>440</v>
      </c>
      <c r="D82" t="s">
        <v>248</v>
      </c>
    </row>
    <row r="83" spans="2:4" x14ac:dyDescent="0.2">
      <c r="B83" t="s">
        <v>661</v>
      </c>
      <c r="C83">
        <v>450</v>
      </c>
      <c r="D83" t="s">
        <v>248</v>
      </c>
    </row>
    <row r="84" spans="2:4" x14ac:dyDescent="0.2">
      <c r="B84" t="s">
        <v>662</v>
      </c>
    </row>
    <row r="85" spans="2:4" x14ac:dyDescent="0.2">
      <c r="B85" t="s">
        <v>663</v>
      </c>
      <c r="C85">
        <v>460</v>
      </c>
      <c r="D85" t="s">
        <v>248</v>
      </c>
    </row>
    <row r="86" spans="2:4" x14ac:dyDescent="0.2">
      <c r="B86" t="s">
        <v>660</v>
      </c>
      <c r="C86">
        <v>470</v>
      </c>
      <c r="D86" t="s">
        <v>248</v>
      </c>
    </row>
    <row r="87" spans="2:4" x14ac:dyDescent="0.2">
      <c r="B87" t="s">
        <v>661</v>
      </c>
      <c r="C87">
        <v>480</v>
      </c>
      <c r="D87" t="s">
        <v>248</v>
      </c>
    </row>
    <row r="88" spans="2:4" x14ac:dyDescent="0.2">
      <c r="B88" t="s">
        <v>664</v>
      </c>
    </row>
    <row r="89" spans="2:4" x14ac:dyDescent="0.2">
      <c r="B89" t="s">
        <v>665</v>
      </c>
      <c r="C89">
        <v>490</v>
      </c>
      <c r="D89" t="s">
        <v>248</v>
      </c>
    </row>
    <row r="90" spans="2:4" x14ac:dyDescent="0.2">
      <c r="B90" t="s">
        <v>666</v>
      </c>
      <c r="C90">
        <v>500</v>
      </c>
      <c r="D90" t="s">
        <v>248</v>
      </c>
    </row>
    <row r="91" spans="2:4" x14ac:dyDescent="0.2">
      <c r="B91" t="s">
        <v>645</v>
      </c>
      <c r="C91">
        <v>510</v>
      </c>
      <c r="D91" t="s">
        <v>248</v>
      </c>
    </row>
    <row r="92" spans="2:4" x14ac:dyDescent="0.2">
      <c r="B92" t="s">
        <v>667</v>
      </c>
    </row>
    <row r="93" spans="2:4" x14ac:dyDescent="0.2">
      <c r="B93" t="s">
        <v>630</v>
      </c>
      <c r="C93">
        <v>520</v>
      </c>
      <c r="D93" t="s">
        <v>248</v>
      </c>
    </row>
    <row r="94" spans="2:4" x14ac:dyDescent="0.2">
      <c r="B94" t="s">
        <v>631</v>
      </c>
      <c r="C94">
        <v>530</v>
      </c>
      <c r="D94" t="s">
        <v>248</v>
      </c>
    </row>
    <row r="95" spans="2:4" x14ac:dyDescent="0.2">
      <c r="B95" t="s">
        <v>340</v>
      </c>
      <c r="C95">
        <v>540</v>
      </c>
      <c r="D95" t="s">
        <v>248</v>
      </c>
    </row>
    <row r="96" spans="2:4" x14ac:dyDescent="0.2">
      <c r="B96" t="s">
        <v>668</v>
      </c>
    </row>
    <row r="97" spans="2:4" x14ac:dyDescent="0.2">
      <c r="B97" t="s">
        <v>669</v>
      </c>
      <c r="C97">
        <v>550</v>
      </c>
      <c r="D97" t="s">
        <v>248</v>
      </c>
    </row>
    <row r="98" spans="2:4" x14ac:dyDescent="0.2">
      <c r="B98" t="s">
        <v>670</v>
      </c>
      <c r="C98">
        <v>560</v>
      </c>
      <c r="D98" t="s">
        <v>248</v>
      </c>
    </row>
    <row r="99" spans="2:4" x14ac:dyDescent="0.2">
      <c r="B99" t="s">
        <v>340</v>
      </c>
      <c r="C99">
        <v>570</v>
      </c>
      <c r="D99" t="s">
        <v>248</v>
      </c>
    </row>
  </sheetData>
  <sheetProtection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CM205"/>
  <sheetViews>
    <sheetView zoomScale="70" zoomScaleNormal="70" workbookViewId="0"/>
  </sheetViews>
  <sheetFormatPr defaultRowHeight="12.75" x14ac:dyDescent="0.2"/>
  <sheetData>
    <row r="1" spans="1:91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91" x14ac:dyDescent="0.2">
      <c r="A2" t="s">
        <v>3727</v>
      </c>
    </row>
    <row r="3" spans="1:91" x14ac:dyDescent="0.2">
      <c r="A3" t="s">
        <v>3761</v>
      </c>
    </row>
    <row r="4" spans="1:91" x14ac:dyDescent="0.2">
      <c r="B4" t="s">
        <v>676</v>
      </c>
    </row>
    <row r="5" spans="1:91" x14ac:dyDescent="0.2">
      <c r="B5" t="s">
        <v>66</v>
      </c>
      <c r="CA5" t="s">
        <v>230</v>
      </c>
      <c r="CB5">
        <f>0</f>
        <v>0</v>
      </c>
    </row>
    <row r="6" spans="1:91" x14ac:dyDescent="0.2">
      <c r="I6" t="s">
        <v>679</v>
      </c>
      <c r="CA6" t="s">
        <v>231</v>
      </c>
      <c r="CB6" t="s">
        <v>232</v>
      </c>
      <c r="CC6" t="s">
        <v>572</v>
      </c>
      <c r="CD6" t="s">
        <v>680</v>
      </c>
      <c r="CF6" t="s">
        <v>573</v>
      </c>
      <c r="CH6" t="s">
        <v>681</v>
      </c>
      <c r="CL6" t="s">
        <v>682</v>
      </c>
      <c r="CM6" t="s">
        <v>682</v>
      </c>
    </row>
    <row r="7" spans="1:91" x14ac:dyDescent="0.2">
      <c r="D7" t="s">
        <v>25</v>
      </c>
      <c r="E7" t="s">
        <v>235</v>
      </c>
      <c r="F7" t="s">
        <v>236</v>
      </c>
      <c r="I7" t="s">
        <v>295</v>
      </c>
      <c r="J7" t="s">
        <v>296</v>
      </c>
      <c r="K7" t="s">
        <v>342</v>
      </c>
      <c r="L7" t="s">
        <v>297</v>
      </c>
      <c r="M7" t="s">
        <v>298</v>
      </c>
      <c r="O7" t="s">
        <v>360</v>
      </c>
      <c r="Q7" t="s">
        <v>362</v>
      </c>
      <c r="S7" t="s">
        <v>577</v>
      </c>
      <c r="U7" t="s">
        <v>579</v>
      </c>
      <c r="W7" t="s">
        <v>581</v>
      </c>
      <c r="Y7" t="s">
        <v>583</v>
      </c>
      <c r="BC7" t="s">
        <v>237</v>
      </c>
      <c r="CA7">
        <f>SUM(CA10:CA66)</f>
        <v>0</v>
      </c>
      <c r="CB7">
        <f>SUM(CB10:CB210)</f>
        <v>0</v>
      </c>
      <c r="CF7">
        <f>SUM(CF10:CF196)</f>
        <v>0</v>
      </c>
    </row>
    <row r="8" spans="1:91" x14ac:dyDescent="0.2">
      <c r="C8" t="s">
        <v>238</v>
      </c>
      <c r="E8" t="s">
        <v>239</v>
      </c>
      <c r="F8" t="s">
        <v>240</v>
      </c>
      <c r="I8" t="s">
        <v>587</v>
      </c>
      <c r="J8" t="s">
        <v>688</v>
      </c>
      <c r="K8" t="s">
        <v>589</v>
      </c>
      <c r="L8" t="s">
        <v>590</v>
      </c>
      <c r="M8" t="s">
        <v>591</v>
      </c>
      <c r="O8" t="s">
        <v>593</v>
      </c>
      <c r="Q8" t="s">
        <v>595</v>
      </c>
      <c r="S8" t="s">
        <v>597</v>
      </c>
      <c r="U8" t="s">
        <v>599</v>
      </c>
      <c r="W8" t="s">
        <v>601</v>
      </c>
      <c r="Y8" t="s">
        <v>603</v>
      </c>
      <c r="BC8" t="s">
        <v>241</v>
      </c>
    </row>
    <row r="9" spans="1:91" x14ac:dyDescent="0.2">
      <c r="B9" t="s">
        <v>689</v>
      </c>
      <c r="C9" t="s">
        <v>242</v>
      </c>
      <c r="E9" t="s">
        <v>243</v>
      </c>
      <c r="F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O9" t="s">
        <v>243</v>
      </c>
      <c r="Q9" t="s">
        <v>243</v>
      </c>
      <c r="S9" t="s">
        <v>243</v>
      </c>
      <c r="U9" t="s">
        <v>243</v>
      </c>
      <c r="W9" t="s">
        <v>243</v>
      </c>
      <c r="Y9" t="s">
        <v>243</v>
      </c>
      <c r="BC9" t="s">
        <v>243</v>
      </c>
    </row>
    <row r="10" spans="1:91" x14ac:dyDescent="0.2">
      <c r="B10" t="s">
        <v>690</v>
      </c>
      <c r="C10">
        <v>100</v>
      </c>
      <c r="D10" t="s">
        <v>248</v>
      </c>
      <c r="E10">
        <f>SUM(H10:Y10)</f>
        <v>0</v>
      </c>
      <c r="BC10">
        <f>E10</f>
        <v>0</v>
      </c>
      <c r="CB10">
        <f t="shared" ref="CB10:CB25" si="0">IF(OR(E10&lt;0,I10&lt;0,J10&lt;0,K10&lt;0,L10&lt;0,M10&lt;0,O10&lt;0,Q10&lt;0,S10&lt;0,U10&lt;0,W10&lt;0,Y10&lt;0,BC10&lt;0),1,0)</f>
        <v>0</v>
      </c>
    </row>
    <row r="11" spans="1:91" x14ac:dyDescent="0.2">
      <c r="B11" t="s">
        <v>691</v>
      </c>
      <c r="C11">
        <v>110</v>
      </c>
      <c r="D11" t="s">
        <v>248</v>
      </c>
      <c r="E11">
        <f>SUM(H11:Y11)</f>
        <v>0</v>
      </c>
      <c r="BC11">
        <f>E11</f>
        <v>0</v>
      </c>
      <c r="CB11">
        <f t="shared" si="0"/>
        <v>0</v>
      </c>
    </row>
    <row r="12" spans="1:91" x14ac:dyDescent="0.2">
      <c r="B12" t="s">
        <v>692</v>
      </c>
      <c r="C12">
        <v>120</v>
      </c>
      <c r="D12" t="s">
        <v>248</v>
      </c>
      <c r="E12">
        <f>SUM(H12:Y12)</f>
        <v>0</v>
      </c>
      <c r="BC12">
        <f>E12</f>
        <v>0</v>
      </c>
      <c r="CB12">
        <f t="shared" si="0"/>
        <v>0</v>
      </c>
      <c r="CL12" t="s">
        <v>95</v>
      </c>
      <c r="CM12">
        <f>BC66</f>
        <v>0</v>
      </c>
    </row>
    <row r="13" spans="1:91" x14ac:dyDescent="0.2">
      <c r="B13" t="s">
        <v>693</v>
      </c>
      <c r="C13">
        <v>130</v>
      </c>
      <c r="D13" t="s">
        <v>248</v>
      </c>
      <c r="E13">
        <f>SUM(H13:Y13)</f>
        <v>0</v>
      </c>
      <c r="BC13">
        <f>E13</f>
        <v>0</v>
      </c>
      <c r="CB13">
        <f t="shared" si="0"/>
        <v>0</v>
      </c>
      <c r="CL13" t="s">
        <v>694</v>
      </c>
    </row>
    <row r="14" spans="1:91" x14ac:dyDescent="0.2">
      <c r="B14" t="s">
        <v>695</v>
      </c>
      <c r="C14">
        <v>135</v>
      </c>
      <c r="D14" t="s">
        <v>248</v>
      </c>
      <c r="E14">
        <f>SUM(E10:E13)</f>
        <v>0</v>
      </c>
      <c r="I14">
        <f>SUM(I10:I13)</f>
        <v>0</v>
      </c>
      <c r="J14">
        <f>SUM(J10:J13)</f>
        <v>0</v>
      </c>
      <c r="K14">
        <f>SUM(K10:K13)</f>
        <v>0</v>
      </c>
      <c r="L14">
        <f>SUM(L10:L13)</f>
        <v>0</v>
      </c>
      <c r="M14">
        <f>SUM(M10:M13)</f>
        <v>0</v>
      </c>
      <c r="O14">
        <f>SUM(O10:O13)</f>
        <v>0</v>
      </c>
      <c r="Q14">
        <f>SUM(Q10:Q13)</f>
        <v>0</v>
      </c>
      <c r="S14">
        <f>SUM(S10:S13)</f>
        <v>0</v>
      </c>
      <c r="U14">
        <f>SUM(U10:U13)</f>
        <v>0</v>
      </c>
      <c r="W14">
        <f>SUM(W10:W13)</f>
        <v>0</v>
      </c>
      <c r="Y14">
        <f>SUM(Y10:Y13)</f>
        <v>0</v>
      </c>
      <c r="BC14">
        <f>SUM(BC10:BC13)</f>
        <v>0</v>
      </c>
      <c r="CB14">
        <f t="shared" si="0"/>
        <v>0</v>
      </c>
    </row>
    <row r="15" spans="1:91" x14ac:dyDescent="0.2">
      <c r="B15" t="s">
        <v>696</v>
      </c>
      <c r="C15">
        <v>140</v>
      </c>
      <c r="D15" t="s">
        <v>248</v>
      </c>
      <c r="BC15">
        <f t="shared" ref="BC15:BC29" si="1">E15</f>
        <v>0</v>
      </c>
      <c r="CB15">
        <f t="shared" si="0"/>
        <v>0</v>
      </c>
      <c r="CF15">
        <f t="shared" ref="CF15:CF22" si="2">IF(SUM(H15:Y15)&lt;=E15,0,1)</f>
        <v>0</v>
      </c>
      <c r="CL15" t="s">
        <v>697</v>
      </c>
    </row>
    <row r="16" spans="1:91" x14ac:dyDescent="0.2">
      <c r="B16" t="s">
        <v>698</v>
      </c>
      <c r="C16">
        <v>150</v>
      </c>
      <c r="D16" t="s">
        <v>248</v>
      </c>
      <c r="BC16">
        <f t="shared" si="1"/>
        <v>0</v>
      </c>
      <c r="CB16">
        <f t="shared" si="0"/>
        <v>0</v>
      </c>
      <c r="CF16">
        <f t="shared" si="2"/>
        <v>0</v>
      </c>
    </row>
    <row r="17" spans="2:84" x14ac:dyDescent="0.2">
      <c r="B17" t="s">
        <v>2940</v>
      </c>
      <c r="C17">
        <v>160</v>
      </c>
      <c r="D17" t="s">
        <v>248</v>
      </c>
      <c r="BC17">
        <f t="shared" si="1"/>
        <v>0</v>
      </c>
      <c r="CB17">
        <f t="shared" si="0"/>
        <v>0</v>
      </c>
      <c r="CF17">
        <f t="shared" si="2"/>
        <v>0</v>
      </c>
    </row>
    <row r="18" spans="2:84" x14ac:dyDescent="0.2">
      <c r="B18" t="s">
        <v>2941</v>
      </c>
      <c r="C18">
        <v>170</v>
      </c>
      <c r="D18" t="s">
        <v>248</v>
      </c>
      <c r="BC18">
        <f t="shared" si="1"/>
        <v>0</v>
      </c>
      <c r="CB18">
        <f t="shared" si="0"/>
        <v>0</v>
      </c>
      <c r="CF18">
        <f t="shared" si="2"/>
        <v>0</v>
      </c>
    </row>
    <row r="19" spans="2:84" x14ac:dyDescent="0.2">
      <c r="B19" t="s">
        <v>701</v>
      </c>
      <c r="C19">
        <v>180</v>
      </c>
      <c r="D19" t="s">
        <v>248</v>
      </c>
      <c r="BC19">
        <f t="shared" si="1"/>
        <v>0</v>
      </c>
      <c r="CB19">
        <f t="shared" si="0"/>
        <v>0</v>
      </c>
      <c r="CF19">
        <f t="shared" si="2"/>
        <v>0</v>
      </c>
    </row>
    <row r="20" spans="2:84" x14ac:dyDescent="0.2">
      <c r="B20" t="s">
        <v>1747</v>
      </c>
      <c r="C20">
        <v>190</v>
      </c>
      <c r="D20" t="s">
        <v>248</v>
      </c>
      <c r="BC20">
        <f t="shared" si="1"/>
        <v>0</v>
      </c>
      <c r="CB20">
        <f t="shared" si="0"/>
        <v>0</v>
      </c>
      <c r="CF20">
        <f t="shared" si="2"/>
        <v>0</v>
      </c>
    </row>
    <row r="21" spans="2:84" x14ac:dyDescent="0.2">
      <c r="B21" t="s">
        <v>2942</v>
      </c>
      <c r="C21">
        <v>200</v>
      </c>
      <c r="D21" t="s">
        <v>248</v>
      </c>
      <c r="BC21">
        <f t="shared" si="1"/>
        <v>0</v>
      </c>
      <c r="CB21">
        <f t="shared" si="0"/>
        <v>0</v>
      </c>
      <c r="CF21">
        <f t="shared" si="2"/>
        <v>0</v>
      </c>
    </row>
    <row r="22" spans="2:84" x14ac:dyDescent="0.2">
      <c r="B22" t="s">
        <v>1748</v>
      </c>
      <c r="C22">
        <v>210</v>
      </c>
      <c r="D22" t="s">
        <v>248</v>
      </c>
      <c r="BC22">
        <f t="shared" si="1"/>
        <v>0</v>
      </c>
      <c r="CB22">
        <f t="shared" si="0"/>
        <v>0</v>
      </c>
      <c r="CF22">
        <f t="shared" si="2"/>
        <v>0</v>
      </c>
    </row>
    <row r="23" spans="2:84" x14ac:dyDescent="0.2">
      <c r="B23" t="s">
        <v>710</v>
      </c>
      <c r="C23">
        <v>212</v>
      </c>
      <c r="D23" t="s">
        <v>248</v>
      </c>
      <c r="BC23">
        <f t="shared" si="1"/>
        <v>0</v>
      </c>
      <c r="CB23">
        <f t="shared" si="0"/>
        <v>0</v>
      </c>
    </row>
    <row r="24" spans="2:84" x14ac:dyDescent="0.2">
      <c r="B24" t="s">
        <v>711</v>
      </c>
      <c r="C24">
        <v>214</v>
      </c>
      <c r="D24" t="s">
        <v>248</v>
      </c>
      <c r="BC24">
        <f t="shared" si="1"/>
        <v>0</v>
      </c>
      <c r="CB24">
        <f t="shared" si="0"/>
        <v>0</v>
      </c>
    </row>
    <row r="25" spans="2:84" x14ac:dyDescent="0.2">
      <c r="B25" t="s">
        <v>712</v>
      </c>
      <c r="C25">
        <v>216</v>
      </c>
      <c r="D25" t="s">
        <v>248</v>
      </c>
      <c r="BC25">
        <f t="shared" si="1"/>
        <v>0</v>
      </c>
      <c r="CB25">
        <f t="shared" si="0"/>
        <v>0</v>
      </c>
    </row>
    <row r="26" spans="2:84" x14ac:dyDescent="0.2">
      <c r="B26" t="s">
        <v>713</v>
      </c>
      <c r="C26">
        <v>220</v>
      </c>
      <c r="D26" t="s">
        <v>251</v>
      </c>
      <c r="BC26">
        <f t="shared" si="1"/>
        <v>0</v>
      </c>
    </row>
    <row r="27" spans="2:84" x14ac:dyDescent="0.2">
      <c r="B27" t="s">
        <v>714</v>
      </c>
      <c r="C27">
        <v>230</v>
      </c>
      <c r="D27" t="s">
        <v>248</v>
      </c>
      <c r="BC27">
        <f t="shared" si="1"/>
        <v>0</v>
      </c>
    </row>
    <row r="28" spans="2:84" x14ac:dyDescent="0.2">
      <c r="B28" t="s">
        <v>715</v>
      </c>
      <c r="C28">
        <v>235</v>
      </c>
      <c r="D28" t="s">
        <v>248</v>
      </c>
      <c r="E28">
        <f>(E30-E29)</f>
        <v>0</v>
      </c>
      <c r="BC28">
        <f t="shared" si="1"/>
        <v>0</v>
      </c>
      <c r="CB28">
        <f>IF(OR(E28&lt;0,I28&lt;0,J28&lt;0,K28&lt;0,L28&lt;0,M28&lt;0,O28&lt;0,Q28&lt;0,S28&lt;0,U28&lt;0,W28&lt;0,Y28&lt;0,BC28&lt;0),1,0)</f>
        <v>0</v>
      </c>
    </row>
    <row r="29" spans="2:84" x14ac:dyDescent="0.2">
      <c r="B29" t="s">
        <v>716</v>
      </c>
      <c r="C29">
        <v>236</v>
      </c>
      <c r="D29" t="s">
        <v>248</v>
      </c>
      <c r="BC29">
        <f t="shared" si="1"/>
        <v>0</v>
      </c>
      <c r="CB29">
        <f>IF(OR(E29&lt;0,I29&lt;0,J29&lt;0,K29&lt;0,L29&lt;0,M29&lt;0,O29&lt;0,Q29&lt;0,S29&lt;0,U29&lt;0,W29&lt;0,Y29&lt;0,BC29&lt;0),1,0)</f>
        <v>0</v>
      </c>
    </row>
    <row r="30" spans="2:84" x14ac:dyDescent="0.2">
      <c r="B30" t="s">
        <v>717</v>
      </c>
      <c r="C30">
        <v>240</v>
      </c>
      <c r="D30" t="s">
        <v>248</v>
      </c>
      <c r="BC30">
        <f>BC28+BC29</f>
        <v>0</v>
      </c>
      <c r="CD30">
        <f>SUM(E30:E33)</f>
        <v>0</v>
      </c>
    </row>
    <row r="31" spans="2:84" x14ac:dyDescent="0.2">
      <c r="B31" t="s">
        <v>2943</v>
      </c>
      <c r="C31">
        <v>245</v>
      </c>
      <c r="D31" t="s">
        <v>248</v>
      </c>
      <c r="E31">
        <f>(E33-E32)</f>
        <v>0</v>
      </c>
      <c r="BC31">
        <f>E31</f>
        <v>0</v>
      </c>
      <c r="CB31">
        <f>IF(OR(E31&lt;0,I31&lt;0,J31&lt;0,K31&lt;0,L31&lt;0,M31&lt;0,O31&lt;0,Q31&lt;0,S31&lt;0,U31&lt;0,W31&lt;0,Y31&lt;0,BC31&lt;0),1,0)</f>
        <v>0</v>
      </c>
    </row>
    <row r="32" spans="2:84" x14ac:dyDescent="0.2">
      <c r="B32" t="s">
        <v>719</v>
      </c>
      <c r="C32">
        <v>246</v>
      </c>
      <c r="D32" t="s">
        <v>248</v>
      </c>
      <c r="BC32">
        <f>E32</f>
        <v>0</v>
      </c>
      <c r="CB32">
        <f>IF(OR(E32&lt;0,I32&lt;0,J32&lt;0,K32&lt;0,L32&lt;0,M32&lt;0,O32&lt;0,Q32&lt;0,S32&lt;0,U32&lt;0,W32&lt;0,Y32&lt;0,BC32&lt;0),1,0)</f>
        <v>0</v>
      </c>
    </row>
    <row r="33" spans="2:91" x14ac:dyDescent="0.2">
      <c r="B33" t="s">
        <v>720</v>
      </c>
      <c r="C33">
        <v>250</v>
      </c>
      <c r="D33" t="s">
        <v>248</v>
      </c>
      <c r="BC33">
        <f>BC31+BC32</f>
        <v>0</v>
      </c>
      <c r="CD33">
        <f>SUM(BC30:BC33)</f>
        <v>0</v>
      </c>
    </row>
    <row r="34" spans="2:91" x14ac:dyDescent="0.2">
      <c r="B34" t="s">
        <v>721</v>
      </c>
      <c r="C34">
        <v>260</v>
      </c>
      <c r="D34" t="s">
        <v>251</v>
      </c>
    </row>
    <row r="35" spans="2:91" x14ac:dyDescent="0.2">
      <c r="B35" t="s">
        <v>722</v>
      </c>
      <c r="C35">
        <v>270</v>
      </c>
      <c r="D35" t="s">
        <v>251</v>
      </c>
    </row>
    <row r="36" spans="2:91" x14ac:dyDescent="0.2">
      <c r="B36" t="s">
        <v>723</v>
      </c>
      <c r="C36">
        <v>280</v>
      </c>
      <c r="D36" t="s">
        <v>251</v>
      </c>
    </row>
    <row r="37" spans="2:91" x14ac:dyDescent="0.2">
      <c r="B37" t="s">
        <v>724</v>
      </c>
      <c r="C37">
        <v>290</v>
      </c>
      <c r="D37" t="s">
        <v>251</v>
      </c>
      <c r="CL37" t="s">
        <v>725</v>
      </c>
      <c r="CM37">
        <f>SUM(F34:F38)+F27</f>
        <v>0</v>
      </c>
    </row>
    <row r="38" spans="2:91" x14ac:dyDescent="0.2">
      <c r="B38" t="s">
        <v>726</v>
      </c>
      <c r="C38">
        <v>300</v>
      </c>
      <c r="D38" t="s">
        <v>251</v>
      </c>
    </row>
    <row r="39" spans="2:91" x14ac:dyDescent="0.2">
      <c r="B39" t="s">
        <v>727</v>
      </c>
      <c r="C39">
        <v>310</v>
      </c>
      <c r="D39" t="s">
        <v>248</v>
      </c>
      <c r="BC39">
        <f>E39</f>
        <v>0</v>
      </c>
      <c r="CB39">
        <f>IF(OR(E39&lt;0,I39&lt;0,J39&lt;0,K39&lt;0,L39&lt;0,M39&lt;0,O39&lt;0,Q39&lt;0,S39&lt;0,U39&lt;0,W39&lt;0,Y39&lt;0,BC39&lt;0),1,0)</f>
        <v>0</v>
      </c>
      <c r="CF39">
        <f>IF(SUM(H39:Y39)&lt;=E39,0,1)</f>
        <v>0</v>
      </c>
    </row>
    <row r="40" spans="2:91" x14ac:dyDescent="0.2">
      <c r="B40" t="s">
        <v>728</v>
      </c>
      <c r="C40">
        <v>320</v>
      </c>
      <c r="D40" t="s">
        <v>248</v>
      </c>
      <c r="BC40">
        <f>E40</f>
        <v>0</v>
      </c>
      <c r="CB40">
        <f>IF(OR(E40&lt;0,I40&lt;0,J40&lt;0,K40&lt;0,L40&lt;0,M40&lt;0,O40&lt;0,Q40&lt;0,S40&lt;0,U40&lt;0,W40&lt;0,Y40&lt;0,BC40&lt;0),1,0)</f>
        <v>0</v>
      </c>
      <c r="CF40">
        <f>IF(SUM(H40:Y40)&lt;=E40,0,1)</f>
        <v>0</v>
      </c>
    </row>
    <row r="41" spans="2:91" x14ac:dyDescent="0.2">
      <c r="B41" t="s">
        <v>729</v>
      </c>
      <c r="C41">
        <v>330</v>
      </c>
      <c r="D41" t="s">
        <v>248</v>
      </c>
      <c r="W41">
        <f>E41</f>
        <v>0</v>
      </c>
      <c r="BC41">
        <f>E41</f>
        <v>0</v>
      </c>
      <c r="CB41">
        <f>IF(OR(E41&lt;0,I41&lt;0,J41&lt;0,K41&lt;0,L41&lt;0,M41&lt;0,O41&lt;0,Q41&lt;0,S41&lt;0,U41&lt;0,W41&lt;0,Y41&lt;0,BC41&lt;0),1,0)</f>
        <v>0</v>
      </c>
      <c r="CF41">
        <f>IF(SUM(H41:Y41)&lt;=E41,0,1)</f>
        <v>0</v>
      </c>
    </row>
    <row r="42" spans="2:91" x14ac:dyDescent="0.2">
      <c r="B42" t="s">
        <v>730</v>
      </c>
      <c r="C42">
        <v>340</v>
      </c>
      <c r="D42" t="s">
        <v>248</v>
      </c>
      <c r="BC42">
        <f>E42</f>
        <v>0</v>
      </c>
      <c r="CB42">
        <f>IF(OR(E42&lt;0,I42&lt;0,J42&lt;0,K42&lt;0,L42&lt;0,M42&lt;0,O42&lt;0,Q42&lt;0,S42&lt;0,U42&lt;0,W42&lt;0,Y42&lt;0,BC42&lt;0),1,0)</f>
        <v>0</v>
      </c>
      <c r="CF42">
        <f>IF(SUM(H42:Y42)&lt;=E42,0,1)</f>
        <v>0</v>
      </c>
    </row>
    <row r="43" spans="2:91" x14ac:dyDescent="0.2">
      <c r="B43" t="s">
        <v>731</v>
      </c>
      <c r="C43">
        <v>350</v>
      </c>
      <c r="D43" t="s">
        <v>248</v>
      </c>
      <c r="BC43">
        <f>E43</f>
        <v>0</v>
      </c>
      <c r="CB43">
        <f>IF(OR(E43&lt;0,I43&lt;0,J43&lt;0,K43&lt;0,L43&lt;0,M43&lt;0,O43&lt;0,Q43&lt;0,S43&lt;0,U43&lt;0,W43&lt;0,Y43&lt;0,BC43&lt;0),1,0)</f>
        <v>0</v>
      </c>
      <c r="CF43">
        <f>IF(SUM(H43:Y43)&lt;=E43,0,1)</f>
        <v>0</v>
      </c>
    </row>
    <row r="44" spans="2:91" x14ac:dyDescent="0.2">
      <c r="B44" t="s">
        <v>732</v>
      </c>
      <c r="C44">
        <v>355</v>
      </c>
      <c r="D44" t="s">
        <v>251</v>
      </c>
    </row>
    <row r="45" spans="2:91" x14ac:dyDescent="0.2">
      <c r="B45" t="s">
        <v>2944</v>
      </c>
      <c r="C45">
        <v>356</v>
      </c>
      <c r="D45" t="s">
        <v>248</v>
      </c>
      <c r="BC45">
        <f>E45</f>
        <v>0</v>
      </c>
      <c r="CB45">
        <f>IF(OR(E45&lt;0,I45&lt;0,J45&lt;0,K45&lt;0,L45&lt;0,M45&lt;0,O45&lt;0,Q45&lt;0,S45&lt;0,U45&lt;0,W45&lt;0,Y45&lt;0,BC45&lt;0),1,0)</f>
        <v>0</v>
      </c>
    </row>
    <row r="46" spans="2:91" x14ac:dyDescent="0.2">
      <c r="B46" t="s">
        <v>2011</v>
      </c>
      <c r="C46">
        <v>357</v>
      </c>
      <c r="D46" t="s">
        <v>248</v>
      </c>
      <c r="BC46">
        <f>E46</f>
        <v>0</v>
      </c>
      <c r="CB46">
        <f>IF(OR(E46&lt;0,I46&lt;0,J46&lt;0,K46&lt;0,L46&lt;0,M46&lt;0,O46&lt;0,Q46&lt;0,S46&lt;0,U46&lt;0,W46&lt;0,Y46&lt;0,BC46&lt;0),1,0)</f>
        <v>0</v>
      </c>
    </row>
    <row r="47" spans="2:91" x14ac:dyDescent="0.2">
      <c r="B47" t="s">
        <v>2945</v>
      </c>
      <c r="C47">
        <v>360</v>
      </c>
      <c r="D47" t="s">
        <v>248</v>
      </c>
      <c r="E47">
        <f>SUM(E44:E46)</f>
        <v>0</v>
      </c>
      <c r="I47">
        <f>SUM(I44:I46)</f>
        <v>0</v>
      </c>
      <c r="J47">
        <f>SUM(J44:J46)</f>
        <v>0</v>
      </c>
      <c r="K47">
        <f>SUM(K44:K46)</f>
        <v>0</v>
      </c>
      <c r="L47">
        <f>SUM(L44:L46)</f>
        <v>0</v>
      </c>
      <c r="M47">
        <f>SUM(M44:M46)</f>
        <v>0</v>
      </c>
      <c r="O47">
        <f>SUM(O44:O46)</f>
        <v>0</v>
      </c>
      <c r="Q47">
        <f>SUM(Q44:Q46)</f>
        <v>0</v>
      </c>
      <c r="S47">
        <f>SUM(S44:S46)</f>
        <v>0</v>
      </c>
      <c r="U47">
        <f>SUM(U44:U46)</f>
        <v>0</v>
      </c>
      <c r="W47">
        <f>SUM(W44:W46)</f>
        <v>0</v>
      </c>
      <c r="Y47">
        <f>SUM(Y44:Y46)</f>
        <v>0</v>
      </c>
      <c r="BC47">
        <f>SUM(BC44:BC46)</f>
        <v>0</v>
      </c>
      <c r="CC47">
        <f>IF(ISERROR(E47/E57),0,IF(E47/E57&gt;=0.3,1,0))</f>
        <v>0</v>
      </c>
      <c r="CF47">
        <f>IF(SUM(H47:Y47)&lt;=E47,0,1)</f>
        <v>0</v>
      </c>
    </row>
    <row r="57" spans="2:86" x14ac:dyDescent="0.2">
      <c r="B57" t="s">
        <v>358</v>
      </c>
      <c r="C57">
        <v>370</v>
      </c>
      <c r="D57" t="s">
        <v>248</v>
      </c>
      <c r="E57">
        <f>SUM(E10:E13)+SUM(E15:E29)+SUM(E31:E32)+SUM(E34:E46)+SUM(E48:E56)</f>
        <v>0</v>
      </c>
      <c r="I57">
        <f>SUM(I10:I13)+SUM(I15:I29)+SUM(I31:I32)+SUM(I34:I46)+SUM(I48:I56)</f>
        <v>0</v>
      </c>
      <c r="J57">
        <f>SUM(J10:J13)+SUM(J15:J29)+SUM(J31:J32)+SUM(J34:J46)+SUM(J48:J56)</f>
        <v>0</v>
      </c>
      <c r="K57">
        <f>SUM(K10:K13)+SUM(K15:K29)+SUM(K31:K32)+SUM(K34:K46)+SUM(K48:K56)</f>
        <v>0</v>
      </c>
      <c r="L57">
        <f>SUM(L10:L13)+SUM(L15:L29)+SUM(L31:L32)+SUM(L34:L46)+SUM(L48:L56)</f>
        <v>0</v>
      </c>
      <c r="M57">
        <f>SUM(M10:M13)+SUM(M15:M29)+SUM(M31:M32)+SUM(M34:M46)+SUM(M48:M56)</f>
        <v>0</v>
      </c>
      <c r="O57">
        <f>SUM(O10:O13)+SUM(O15:O29)+SUM(O31:O32)+SUM(O34:O46)+SUM(O48:O56)</f>
        <v>0</v>
      </c>
      <c r="Q57">
        <f>SUM(Q10:Q13)+SUM(Q15:Q29)+SUM(Q31:Q32)+SUM(Q34:Q46)+SUM(Q48:Q56)</f>
        <v>0</v>
      </c>
      <c r="S57">
        <f>SUM(S10:S13)+SUM(S15:S29)+SUM(S31:S32)+SUM(S34:S46)+SUM(S48:S56)</f>
        <v>0</v>
      </c>
      <c r="U57">
        <f>SUM(U10:U13)+SUM(U15:U29)+SUM(U31:U32)+SUM(U34:U46)+SUM(U48:U56)</f>
        <v>0</v>
      </c>
      <c r="W57">
        <f>SUM(W10:W13)+SUM(W15:W29)+SUM(W31:W32)+SUM(W34:W46)+SUM(W48:W56)</f>
        <v>0</v>
      </c>
      <c r="Y57">
        <f>SUM(Y10:Y13)+SUM(Y15:Y29)+SUM(Y31:Y32)+SUM(Y34:Y46)+SUM(Y48:Y56)</f>
        <v>0</v>
      </c>
      <c r="BC57">
        <f>SUM(BC10:BC13)+SUM(BC15:BC29)+SUM(BC31:BC32)+SUM(BC34:BC46)+SUM(BC48:BC56)</f>
        <v>0</v>
      </c>
    </row>
    <row r="58" spans="2:86" x14ac:dyDescent="0.2">
      <c r="B58" t="s">
        <v>746</v>
      </c>
      <c r="C58">
        <v>380</v>
      </c>
      <c r="D58" t="s">
        <v>248</v>
      </c>
      <c r="CH58">
        <f>IF(E58=0,1,0)</f>
        <v>1</v>
      </c>
    </row>
    <row r="62" spans="2:86" x14ac:dyDescent="0.2">
      <c r="B62" t="s">
        <v>2946</v>
      </c>
    </row>
    <row r="63" spans="2:86" x14ac:dyDescent="0.2">
      <c r="B63" t="s">
        <v>749</v>
      </c>
      <c r="C63">
        <v>400</v>
      </c>
      <c r="D63" t="s">
        <v>248</v>
      </c>
      <c r="BC63">
        <f>E63</f>
        <v>0</v>
      </c>
      <c r="CB63">
        <f>IF(OR(E63&lt;0,I63&lt;0,J63&lt;0,K63&lt;0,L63&lt;0,M63&lt;0,O63&lt;0,Q63&lt;0,S63&lt;0,U63&lt;0,W63&lt;0,Y63&lt;0,BC63&lt;0),1,0)</f>
        <v>0</v>
      </c>
    </row>
    <row r="64" spans="2:86" x14ac:dyDescent="0.2">
      <c r="B64" t="s">
        <v>750</v>
      </c>
      <c r="C64">
        <v>410</v>
      </c>
      <c r="D64" t="s">
        <v>248</v>
      </c>
      <c r="BC64">
        <f>E64</f>
        <v>0</v>
      </c>
      <c r="CB64">
        <f>IF(OR(E64&lt;0,I64&lt;0,J64&lt;0,K64&lt;0,L64&lt;0,M64&lt;0,O64&lt;0,Q64&lt;0,S64&lt;0,U64&lt;0,W64&lt;0,Y64&lt;0,BC64&lt;0),1,0)</f>
        <v>0</v>
      </c>
    </row>
    <row r="65" spans="2:85" x14ac:dyDescent="0.2">
      <c r="B65" t="s">
        <v>751</v>
      </c>
      <c r="C65">
        <v>420</v>
      </c>
      <c r="D65" t="s">
        <v>248</v>
      </c>
      <c r="E65">
        <f>SUM(E63:E64)</f>
        <v>0</v>
      </c>
      <c r="F65">
        <f>SUM(F63:F64)</f>
        <v>0</v>
      </c>
      <c r="I65">
        <f>SUM(I63:I64)</f>
        <v>0</v>
      </c>
      <c r="J65">
        <f>SUM(J63:J64)</f>
        <v>0</v>
      </c>
      <c r="K65">
        <f>SUM(K63:K64)</f>
        <v>0</v>
      </c>
      <c r="L65">
        <f>SUM(L63:L64)</f>
        <v>0</v>
      </c>
      <c r="M65">
        <f>SUM(M63:M64)</f>
        <v>0</v>
      </c>
      <c r="O65">
        <f>SUM(O63:O64)</f>
        <v>0</v>
      </c>
      <c r="Q65">
        <f>SUM(Q63:Q64)</f>
        <v>0</v>
      </c>
      <c r="S65">
        <f>SUM(S63:S64)</f>
        <v>0</v>
      </c>
      <c r="U65">
        <f>SUM(U63:U64)</f>
        <v>0</v>
      </c>
      <c r="W65">
        <f>SUM(W63:W64)</f>
        <v>0</v>
      </c>
      <c r="Y65">
        <f>SUM(Y63:Y64)</f>
        <v>0</v>
      </c>
      <c r="BC65">
        <f>SUM(BC63:BC64)</f>
        <v>0</v>
      </c>
    </row>
    <row r="66" spans="2:85" x14ac:dyDescent="0.2">
      <c r="B66" t="s">
        <v>752</v>
      </c>
      <c r="C66">
        <v>430</v>
      </c>
      <c r="D66" t="s">
        <v>248</v>
      </c>
      <c r="E66">
        <f>E57+E65</f>
        <v>0</v>
      </c>
      <c r="F66">
        <f>F57+F65</f>
        <v>0</v>
      </c>
      <c r="I66">
        <f>I57+I65</f>
        <v>0</v>
      </c>
      <c r="J66">
        <f>J57+J65</f>
        <v>0</v>
      </c>
      <c r="K66">
        <f>K57+K65</f>
        <v>0</v>
      </c>
      <c r="L66">
        <f>L57+L65</f>
        <v>0</v>
      </c>
      <c r="M66">
        <f>M57+M65</f>
        <v>0</v>
      </c>
      <c r="O66">
        <f>O57+O65</f>
        <v>0</v>
      </c>
      <c r="Q66">
        <f>Q57+Q65</f>
        <v>0</v>
      </c>
      <c r="S66">
        <f>S57+S65</f>
        <v>0</v>
      </c>
      <c r="U66">
        <f>U57+U65</f>
        <v>0</v>
      </c>
      <c r="W66">
        <f>W57+W65</f>
        <v>0</v>
      </c>
      <c r="Y66">
        <f>Y57+Y65</f>
        <v>0</v>
      </c>
      <c r="BC66">
        <f>BC57+BC65</f>
        <v>0</v>
      </c>
    </row>
    <row r="68" spans="2:85" x14ac:dyDescent="0.2">
      <c r="B68" t="s">
        <v>113</v>
      </c>
    </row>
    <row r="70" spans="2:85" x14ac:dyDescent="0.2">
      <c r="B70" t="s">
        <v>340</v>
      </c>
      <c r="I70">
        <f>I66+I68</f>
        <v>0</v>
      </c>
      <c r="J70">
        <f>J66+J68</f>
        <v>0</v>
      </c>
      <c r="K70">
        <f>K66+K68</f>
        <v>0</v>
      </c>
      <c r="L70">
        <f>L66+L68</f>
        <v>0</v>
      </c>
      <c r="M70">
        <f>M66+M68</f>
        <v>0</v>
      </c>
      <c r="O70">
        <f>O66+O68</f>
        <v>0</v>
      </c>
      <c r="Q70">
        <f>Q66+Q68</f>
        <v>0</v>
      </c>
      <c r="S70">
        <f>S66+S68</f>
        <v>0</v>
      </c>
      <c r="U70">
        <f>U66+U68</f>
        <v>0</v>
      </c>
      <c r="W70">
        <f>W66+W68</f>
        <v>0</v>
      </c>
      <c r="Y70">
        <f>Y66+Y68</f>
        <v>0</v>
      </c>
    </row>
    <row r="72" spans="2:85" x14ac:dyDescent="0.2">
      <c r="B72" t="s">
        <v>649</v>
      </c>
    </row>
    <row r="74" spans="2:85" x14ac:dyDescent="0.2">
      <c r="B74" t="s">
        <v>650</v>
      </c>
      <c r="I74">
        <f>I70-I72</f>
        <v>0</v>
      </c>
      <c r="J74">
        <f>J70-J72</f>
        <v>0</v>
      </c>
      <c r="K74">
        <f>K70-K72</f>
        <v>0</v>
      </c>
      <c r="L74">
        <f>L70-L72</f>
        <v>0</v>
      </c>
      <c r="M74">
        <f>M70-M72</f>
        <v>0</v>
      </c>
      <c r="O74">
        <f>O70-O72</f>
        <v>0</v>
      </c>
      <c r="Q74">
        <f>Q70-Q72</f>
        <v>0</v>
      </c>
      <c r="S74">
        <f>S70-S72</f>
        <v>0</v>
      </c>
      <c r="U74">
        <f>U70-U72</f>
        <v>0</v>
      </c>
      <c r="W74">
        <f>W70-W72</f>
        <v>0</v>
      </c>
      <c r="Y74">
        <f>Y70-Y72</f>
        <v>0</v>
      </c>
      <c r="CG74">
        <f>IF(OR(I74&lt;&gt;0,J74&lt;&gt;0,K74&lt;&gt;0,L74&lt;&gt;0,M74&lt;&gt;0,O74&lt;&gt;0,Q74&lt;&gt;0,S74&lt;&gt;0,U74&lt;&gt;0,W74&lt;&gt;0,Y74&lt;&gt;0),1,0)</f>
        <v>0</v>
      </c>
    </row>
    <row r="162" spans="2:84" x14ac:dyDescent="0.2">
      <c r="D162" t="s">
        <v>25</v>
      </c>
      <c r="E162" t="s">
        <v>235</v>
      </c>
      <c r="F162" t="s">
        <v>236</v>
      </c>
      <c r="I162" t="s">
        <v>295</v>
      </c>
      <c r="J162" t="s">
        <v>296</v>
      </c>
      <c r="K162" t="s">
        <v>342</v>
      </c>
      <c r="L162" t="s">
        <v>297</v>
      </c>
      <c r="M162" t="s">
        <v>298</v>
      </c>
      <c r="O162" t="s">
        <v>360</v>
      </c>
      <c r="Q162" t="s">
        <v>362</v>
      </c>
      <c r="S162" t="s">
        <v>577</v>
      </c>
      <c r="U162" t="s">
        <v>579</v>
      </c>
      <c r="W162" t="s">
        <v>581</v>
      </c>
      <c r="Y162" t="s">
        <v>583</v>
      </c>
      <c r="BC162" t="s">
        <v>237</v>
      </c>
    </row>
    <row r="163" spans="2:84" x14ac:dyDescent="0.2">
      <c r="B163" t="s">
        <v>2947</v>
      </c>
      <c r="C163" t="s">
        <v>238</v>
      </c>
      <c r="E163" t="s">
        <v>239</v>
      </c>
      <c r="F163" t="s">
        <v>240</v>
      </c>
      <c r="I163" t="s">
        <v>587</v>
      </c>
      <c r="J163" t="s">
        <v>688</v>
      </c>
      <c r="K163" t="s">
        <v>589</v>
      </c>
      <c r="L163" t="s">
        <v>590</v>
      </c>
      <c r="M163" t="s">
        <v>591</v>
      </c>
      <c r="O163" t="s">
        <v>593</v>
      </c>
      <c r="Q163" t="s">
        <v>595</v>
      </c>
      <c r="S163" t="s">
        <v>597</v>
      </c>
      <c r="U163" t="s">
        <v>599</v>
      </c>
      <c r="W163" t="s">
        <v>601</v>
      </c>
      <c r="Y163" t="s">
        <v>603</v>
      </c>
      <c r="BC163" t="s">
        <v>241</v>
      </c>
    </row>
    <row r="164" spans="2:84" x14ac:dyDescent="0.2">
      <c r="C164" t="s">
        <v>242</v>
      </c>
      <c r="E164" t="s">
        <v>243</v>
      </c>
      <c r="F164" t="s">
        <v>243</v>
      </c>
      <c r="I164" t="s">
        <v>243</v>
      </c>
      <c r="J164" t="s">
        <v>243</v>
      </c>
      <c r="K164" t="s">
        <v>243</v>
      </c>
      <c r="L164" t="s">
        <v>243</v>
      </c>
      <c r="M164" t="s">
        <v>243</v>
      </c>
      <c r="O164" t="s">
        <v>243</v>
      </c>
      <c r="Q164" t="s">
        <v>243</v>
      </c>
      <c r="S164" t="s">
        <v>243</v>
      </c>
      <c r="U164" t="s">
        <v>243</v>
      </c>
      <c r="W164" t="s">
        <v>243</v>
      </c>
      <c r="Y164" t="s">
        <v>243</v>
      </c>
      <c r="BC164" t="s">
        <v>243</v>
      </c>
    </row>
    <row r="165" spans="2:84" x14ac:dyDescent="0.2">
      <c r="B165" t="s">
        <v>2216</v>
      </c>
    </row>
    <row r="166" spans="2:84" x14ac:dyDescent="0.2">
      <c r="B166" t="s">
        <v>715</v>
      </c>
      <c r="C166">
        <v>440</v>
      </c>
      <c r="D166" t="s">
        <v>248</v>
      </c>
    </row>
    <row r="167" spans="2:84" x14ac:dyDescent="0.2">
      <c r="B167" t="s">
        <v>716</v>
      </c>
      <c r="C167">
        <v>450</v>
      </c>
      <c r="D167" t="s">
        <v>248</v>
      </c>
    </row>
    <row r="168" spans="2:84" x14ac:dyDescent="0.2">
      <c r="B168" t="s">
        <v>2948</v>
      </c>
      <c r="C168">
        <v>460</v>
      </c>
      <c r="D168" t="s">
        <v>248</v>
      </c>
    </row>
    <row r="169" spans="2:84" x14ac:dyDescent="0.2">
      <c r="B169" t="s">
        <v>2217</v>
      </c>
    </row>
    <row r="170" spans="2:84" x14ac:dyDescent="0.2">
      <c r="B170" t="s">
        <v>718</v>
      </c>
      <c r="C170">
        <v>470</v>
      </c>
      <c r="D170" t="s">
        <v>248</v>
      </c>
    </row>
    <row r="171" spans="2:84" x14ac:dyDescent="0.2">
      <c r="B171" t="s">
        <v>719</v>
      </c>
      <c r="C171">
        <v>480</v>
      </c>
      <c r="D171" t="s">
        <v>248</v>
      </c>
    </row>
    <row r="172" spans="2:84" x14ac:dyDescent="0.2">
      <c r="B172" t="s">
        <v>2949</v>
      </c>
      <c r="C172">
        <v>490</v>
      </c>
      <c r="D172" t="s">
        <v>248</v>
      </c>
    </row>
    <row r="173" spans="2:84" x14ac:dyDescent="0.2">
      <c r="B173" t="s">
        <v>2950</v>
      </c>
    </row>
    <row r="174" spans="2:84" x14ac:dyDescent="0.2">
      <c r="B174" t="s">
        <v>804</v>
      </c>
      <c r="C174">
        <v>500</v>
      </c>
      <c r="D174" t="s">
        <v>248</v>
      </c>
      <c r="BC174">
        <f>E174</f>
        <v>0</v>
      </c>
      <c r="CB174">
        <f>IF(OR(E174&lt;0,I174&lt;0,J174&lt;0,K174&lt;0,L174&lt;0,M174&lt;0,O174&lt;0,Q174&lt;0,S174&lt;0,U174&lt;0,W174&lt;0,Y174&lt;0,BC174&lt;0),1,0)</f>
        <v>0</v>
      </c>
      <c r="CF174">
        <f>IF(SUM(H174:Y174)&lt;=E174,0,1)</f>
        <v>0</v>
      </c>
    </row>
    <row r="175" spans="2:84" x14ac:dyDescent="0.2">
      <c r="B175" t="s">
        <v>805</v>
      </c>
      <c r="C175">
        <v>510</v>
      </c>
      <c r="D175" t="s">
        <v>248</v>
      </c>
      <c r="BC175">
        <f>E175</f>
        <v>0</v>
      </c>
      <c r="CB175">
        <f>IF(OR(E175&lt;0,I175&lt;0,J175&lt;0,K175&lt;0,L175&lt;0,M175&lt;0,O175&lt;0,Q175&lt;0,S175&lt;0,U175&lt;0,W175&lt;0,Y175&lt;0,BC175&lt;0),1,0)</f>
        <v>0</v>
      </c>
      <c r="CF175">
        <f>IF(SUM(H175:Y175)&lt;=E175,0,1)</f>
        <v>0</v>
      </c>
    </row>
    <row r="176" spans="2:84" x14ac:dyDescent="0.2">
      <c r="B176" t="s">
        <v>2951</v>
      </c>
      <c r="C176">
        <v>520</v>
      </c>
      <c r="D176" t="s">
        <v>248</v>
      </c>
      <c r="BC176">
        <f>E176</f>
        <v>0</v>
      </c>
      <c r="CB176">
        <f>IF(OR(E176&lt;0,I176&lt;0,J176&lt;0,K176&lt;0,L176&lt;0,M176&lt;0,O176&lt;0,Q176&lt;0,S176&lt;0,U176&lt;0,W176&lt;0,Y176&lt;0,BC176&lt;0),1,0)</f>
        <v>0</v>
      </c>
      <c r="CF176">
        <f>IF(SUM(H176:Y176)&lt;=E176,0,1)</f>
        <v>0</v>
      </c>
    </row>
    <row r="177" spans="2:80" x14ac:dyDescent="0.2">
      <c r="B177" t="s">
        <v>340</v>
      </c>
      <c r="C177">
        <v>530</v>
      </c>
      <c r="D177" t="s">
        <v>248</v>
      </c>
      <c r="E177">
        <f>SUM(E174:E176)</f>
        <v>0</v>
      </c>
      <c r="I177">
        <f>SUM(I174:I176)</f>
        <v>0</v>
      </c>
      <c r="J177">
        <f>SUM(J174:J176)</f>
        <v>0</v>
      </c>
      <c r="K177">
        <f>SUM(K174:K176)</f>
        <v>0</v>
      </c>
      <c r="L177">
        <f>SUM(L174:L176)</f>
        <v>0</v>
      </c>
      <c r="M177">
        <f>SUM(M174:M176)</f>
        <v>0</v>
      </c>
      <c r="O177">
        <f>SUM(O174:O176)</f>
        <v>0</v>
      </c>
      <c r="Q177">
        <f>SUM(Q174:Q176)</f>
        <v>0</v>
      </c>
      <c r="S177">
        <f>SUM(S174:S176)</f>
        <v>0</v>
      </c>
      <c r="U177">
        <f>SUM(U174:U176)</f>
        <v>0</v>
      </c>
      <c r="W177">
        <f>SUM(W174:W176)</f>
        <v>0</v>
      </c>
      <c r="Y177">
        <f>SUM(Y174:Y176)</f>
        <v>0</v>
      </c>
      <c r="BC177">
        <f>BC174+BC175+BC176</f>
        <v>0</v>
      </c>
    </row>
    <row r="178" spans="2:80" x14ac:dyDescent="0.2">
      <c r="B178" t="s">
        <v>170</v>
      </c>
    </row>
    <row r="179" spans="2:80" x14ac:dyDescent="0.2">
      <c r="B179" t="s">
        <v>2952</v>
      </c>
      <c r="C179">
        <v>540</v>
      </c>
      <c r="D179" t="s">
        <v>251</v>
      </c>
    </row>
    <row r="180" spans="2:80" x14ac:dyDescent="0.2">
      <c r="B180" t="s">
        <v>1716</v>
      </c>
    </row>
    <row r="181" spans="2:80" x14ac:dyDescent="0.2">
      <c r="B181" t="s">
        <v>732</v>
      </c>
      <c r="C181">
        <v>550</v>
      </c>
      <c r="D181" t="s">
        <v>251</v>
      </c>
    </row>
    <row r="182" spans="2:80" x14ac:dyDescent="0.2">
      <c r="B182" t="s">
        <v>2944</v>
      </c>
      <c r="C182">
        <v>560</v>
      </c>
      <c r="D182" t="s">
        <v>248</v>
      </c>
    </row>
    <row r="183" spans="2:80" x14ac:dyDescent="0.2">
      <c r="B183" t="s">
        <v>2011</v>
      </c>
      <c r="C183">
        <v>570</v>
      </c>
      <c r="D183" t="s">
        <v>248</v>
      </c>
    </row>
    <row r="184" spans="2:80" x14ac:dyDescent="0.2">
      <c r="B184" t="s">
        <v>2953</v>
      </c>
      <c r="C184">
        <v>580</v>
      </c>
      <c r="D184" t="s">
        <v>248</v>
      </c>
    </row>
    <row r="188" spans="2:80" x14ac:dyDescent="0.2">
      <c r="D188" t="s">
        <v>25</v>
      </c>
      <c r="E188" t="s">
        <v>235</v>
      </c>
      <c r="I188" t="s">
        <v>295</v>
      </c>
      <c r="J188" t="s">
        <v>296</v>
      </c>
      <c r="K188" t="s">
        <v>342</v>
      </c>
      <c r="L188" t="s">
        <v>297</v>
      </c>
      <c r="M188" t="s">
        <v>298</v>
      </c>
      <c r="N188" t="s">
        <v>299</v>
      </c>
      <c r="O188" t="s">
        <v>360</v>
      </c>
      <c r="P188" t="s">
        <v>361</v>
      </c>
      <c r="Q188" t="s">
        <v>362</v>
      </c>
      <c r="R188" t="s">
        <v>576</v>
      </c>
      <c r="S188" t="s">
        <v>577</v>
      </c>
      <c r="T188" t="s">
        <v>578</v>
      </c>
      <c r="U188" t="s">
        <v>579</v>
      </c>
      <c r="V188" t="s">
        <v>580</v>
      </c>
      <c r="W188" t="s">
        <v>581</v>
      </c>
      <c r="X188" t="s">
        <v>582</v>
      </c>
      <c r="Y188" t="s">
        <v>583</v>
      </c>
      <c r="AA188" t="s">
        <v>584</v>
      </c>
      <c r="AB188" t="s">
        <v>823</v>
      </c>
      <c r="AC188" t="s">
        <v>824</v>
      </c>
      <c r="AD188" t="s">
        <v>825</v>
      </c>
      <c r="BC188" t="s">
        <v>237</v>
      </c>
      <c r="BD188" t="s">
        <v>683</v>
      </c>
      <c r="BE188" t="s">
        <v>684</v>
      </c>
      <c r="BF188" t="s">
        <v>832</v>
      </c>
      <c r="BG188" t="s">
        <v>833</v>
      </c>
    </row>
    <row r="189" spans="2:80" x14ac:dyDescent="0.2">
      <c r="B189" t="s">
        <v>2954</v>
      </c>
      <c r="C189" t="s">
        <v>238</v>
      </c>
      <c r="E189" t="s">
        <v>2955</v>
      </c>
      <c r="I189" t="s">
        <v>587</v>
      </c>
      <c r="J189" t="s">
        <v>588</v>
      </c>
      <c r="K189" t="s">
        <v>589</v>
      </c>
      <c r="L189" t="s">
        <v>590</v>
      </c>
      <c r="M189" t="s">
        <v>591</v>
      </c>
      <c r="N189" t="s">
        <v>592</v>
      </c>
      <c r="O189" t="s">
        <v>593</v>
      </c>
      <c r="P189" t="s">
        <v>594</v>
      </c>
      <c r="Q189" t="s">
        <v>595</v>
      </c>
      <c r="R189" t="s">
        <v>596</v>
      </c>
      <c r="S189" t="s">
        <v>597</v>
      </c>
      <c r="T189" t="s">
        <v>598</v>
      </c>
      <c r="U189" t="s">
        <v>599</v>
      </c>
      <c r="V189" t="s">
        <v>600</v>
      </c>
      <c r="W189" t="s">
        <v>601</v>
      </c>
      <c r="X189" t="s">
        <v>602</v>
      </c>
      <c r="Y189" t="s">
        <v>603</v>
      </c>
      <c r="AA189" t="s">
        <v>2956</v>
      </c>
      <c r="AB189" t="s">
        <v>2957</v>
      </c>
      <c r="AC189" t="s">
        <v>2958</v>
      </c>
      <c r="AD189" t="s">
        <v>2959</v>
      </c>
      <c r="BC189" t="s">
        <v>241</v>
      </c>
      <c r="BD189" t="s">
        <v>2960</v>
      </c>
      <c r="BE189" t="s">
        <v>2961</v>
      </c>
      <c r="BF189" t="s">
        <v>2962</v>
      </c>
      <c r="BG189" t="s">
        <v>2963</v>
      </c>
    </row>
    <row r="190" spans="2:80" x14ac:dyDescent="0.2">
      <c r="C190" t="s">
        <v>242</v>
      </c>
      <c r="E190" t="s">
        <v>243</v>
      </c>
      <c r="I190" t="s">
        <v>243</v>
      </c>
      <c r="J190" t="s">
        <v>243</v>
      </c>
      <c r="K190" t="s">
        <v>243</v>
      </c>
      <c r="L190" t="s">
        <v>243</v>
      </c>
      <c r="M190" t="s">
        <v>243</v>
      </c>
      <c r="N190" t="s">
        <v>243</v>
      </c>
      <c r="O190" t="s">
        <v>243</v>
      </c>
      <c r="P190" t="s">
        <v>243</v>
      </c>
      <c r="Q190" t="s">
        <v>243</v>
      </c>
      <c r="R190" t="s">
        <v>243</v>
      </c>
      <c r="S190" t="s">
        <v>243</v>
      </c>
      <c r="T190" t="s">
        <v>243</v>
      </c>
      <c r="U190" t="s">
        <v>243</v>
      </c>
      <c r="V190" t="s">
        <v>243</v>
      </c>
      <c r="W190" t="s">
        <v>243</v>
      </c>
      <c r="X190" t="s">
        <v>243</v>
      </c>
      <c r="Y190" t="s">
        <v>243</v>
      </c>
      <c r="AA190" t="s">
        <v>243</v>
      </c>
      <c r="AB190" t="s">
        <v>243</v>
      </c>
      <c r="AC190" t="s">
        <v>243</v>
      </c>
      <c r="AD190" t="s">
        <v>243</v>
      </c>
      <c r="BC190" t="s">
        <v>243</v>
      </c>
      <c r="BD190" t="s">
        <v>243</v>
      </c>
      <c r="BE190" t="s">
        <v>243</v>
      </c>
      <c r="BF190" t="s">
        <v>243</v>
      </c>
      <c r="BG190" t="s">
        <v>243</v>
      </c>
    </row>
    <row r="191" spans="2:80" x14ac:dyDescent="0.2">
      <c r="B191" t="s">
        <v>689</v>
      </c>
      <c r="I191" t="s">
        <v>2964</v>
      </c>
    </row>
    <row r="192" spans="2:80" x14ac:dyDescent="0.2">
      <c r="B192" t="s">
        <v>696</v>
      </c>
      <c r="C192">
        <v>610</v>
      </c>
      <c r="D192" t="s">
        <v>248</v>
      </c>
      <c r="E192">
        <f t="shared" ref="E192:E204" si="3">SUM(AA192:AD192)</f>
        <v>0</v>
      </c>
      <c r="AD192">
        <f t="shared" ref="AD192:AD199" si="4">SUM(E15-SUM(AA192:AC192))</f>
        <v>0</v>
      </c>
      <c r="BC192">
        <f t="shared" ref="BC192:BC204" si="5">SUM(BD192:BG192)</f>
        <v>0</v>
      </c>
      <c r="BF192">
        <f t="shared" ref="BF192:BF204" si="6">AC192</f>
        <v>0</v>
      </c>
      <c r="BG192">
        <f t="shared" ref="BG192:BG199" si="7">SUM(BC15-SUM(BD192:BF192))</f>
        <v>0</v>
      </c>
      <c r="CB192">
        <f t="shared" ref="CB192:CB204" si="8">IF(OR(E192&lt;0,I192&lt;0,J192&lt;0,K192&lt;0,L192&lt;0,M192&lt;0,O192&lt;0,Q192&lt;0,S192&lt;0,U192&lt;0,W192&lt;0,Y192&lt;0,BC192&lt;0),1,0)</f>
        <v>0</v>
      </c>
    </row>
    <row r="193" spans="2:85" x14ac:dyDescent="0.2">
      <c r="B193" t="s">
        <v>698</v>
      </c>
      <c r="C193">
        <v>620</v>
      </c>
      <c r="D193" t="s">
        <v>248</v>
      </c>
      <c r="E193">
        <f t="shared" si="3"/>
        <v>0</v>
      </c>
      <c r="AD193">
        <f t="shared" si="4"/>
        <v>0</v>
      </c>
      <c r="BC193">
        <f t="shared" si="5"/>
        <v>0</v>
      </c>
      <c r="BF193">
        <f t="shared" si="6"/>
        <v>0</v>
      </c>
      <c r="BG193">
        <f t="shared" si="7"/>
        <v>0</v>
      </c>
      <c r="CB193">
        <f t="shared" si="8"/>
        <v>0</v>
      </c>
    </row>
    <row r="194" spans="2:85" x14ac:dyDescent="0.2">
      <c r="B194" t="s">
        <v>2940</v>
      </c>
      <c r="C194">
        <v>630</v>
      </c>
      <c r="D194" t="s">
        <v>248</v>
      </c>
      <c r="E194">
        <f t="shared" si="3"/>
        <v>0</v>
      </c>
      <c r="AD194">
        <f t="shared" si="4"/>
        <v>0</v>
      </c>
      <c r="BC194">
        <f t="shared" si="5"/>
        <v>0</v>
      </c>
      <c r="BD194">
        <f>AA194</f>
        <v>0</v>
      </c>
      <c r="BE194">
        <f>AB194</f>
        <v>0</v>
      </c>
      <c r="BF194">
        <f t="shared" si="6"/>
        <v>0</v>
      </c>
      <c r="BG194">
        <f t="shared" si="7"/>
        <v>0</v>
      </c>
      <c r="CB194">
        <f t="shared" si="8"/>
        <v>0</v>
      </c>
    </row>
    <row r="195" spans="2:85" x14ac:dyDescent="0.2">
      <c r="B195" t="s">
        <v>2941</v>
      </c>
      <c r="C195">
        <v>640</v>
      </c>
      <c r="D195" t="s">
        <v>248</v>
      </c>
      <c r="E195">
        <f t="shared" si="3"/>
        <v>0</v>
      </c>
      <c r="AD195">
        <f t="shared" si="4"/>
        <v>0</v>
      </c>
      <c r="BC195">
        <f t="shared" si="5"/>
        <v>0</v>
      </c>
      <c r="BD195">
        <f>AA195</f>
        <v>0</v>
      </c>
      <c r="BE195">
        <f>AB195</f>
        <v>0</v>
      </c>
      <c r="BF195">
        <f t="shared" si="6"/>
        <v>0</v>
      </c>
      <c r="BG195">
        <f t="shared" si="7"/>
        <v>0</v>
      </c>
      <c r="CB195">
        <f t="shared" si="8"/>
        <v>0</v>
      </c>
    </row>
    <row r="196" spans="2:85" x14ac:dyDescent="0.2">
      <c r="B196" t="s">
        <v>701</v>
      </c>
      <c r="C196">
        <v>650</v>
      </c>
      <c r="D196" t="s">
        <v>248</v>
      </c>
      <c r="E196">
        <f t="shared" si="3"/>
        <v>0</v>
      </c>
      <c r="AD196">
        <f t="shared" si="4"/>
        <v>0</v>
      </c>
      <c r="BC196">
        <f t="shared" si="5"/>
        <v>0</v>
      </c>
      <c r="BF196">
        <f t="shared" si="6"/>
        <v>0</v>
      </c>
      <c r="BG196">
        <f t="shared" si="7"/>
        <v>0</v>
      </c>
      <c r="CB196">
        <f t="shared" si="8"/>
        <v>0</v>
      </c>
    </row>
    <row r="197" spans="2:85" x14ac:dyDescent="0.2">
      <c r="B197" t="s">
        <v>1747</v>
      </c>
      <c r="C197">
        <v>660</v>
      </c>
      <c r="D197" t="s">
        <v>248</v>
      </c>
      <c r="E197">
        <f t="shared" si="3"/>
        <v>0</v>
      </c>
      <c r="AD197">
        <f t="shared" si="4"/>
        <v>0</v>
      </c>
      <c r="BC197">
        <f t="shared" si="5"/>
        <v>0</v>
      </c>
      <c r="BF197">
        <f t="shared" si="6"/>
        <v>0</v>
      </c>
      <c r="BG197">
        <f t="shared" si="7"/>
        <v>0</v>
      </c>
      <c r="CB197">
        <f t="shared" si="8"/>
        <v>0</v>
      </c>
    </row>
    <row r="198" spans="2:85" x14ac:dyDescent="0.2">
      <c r="B198" t="s">
        <v>2942</v>
      </c>
      <c r="C198">
        <v>670</v>
      </c>
      <c r="D198" t="s">
        <v>248</v>
      </c>
      <c r="E198">
        <f t="shared" si="3"/>
        <v>0</v>
      </c>
      <c r="AD198">
        <f t="shared" si="4"/>
        <v>0</v>
      </c>
      <c r="BC198">
        <f t="shared" si="5"/>
        <v>0</v>
      </c>
      <c r="BD198">
        <f>AA198</f>
        <v>0</v>
      </c>
      <c r="BF198">
        <f t="shared" si="6"/>
        <v>0</v>
      </c>
      <c r="BG198">
        <f t="shared" si="7"/>
        <v>0</v>
      </c>
      <c r="CB198">
        <f t="shared" si="8"/>
        <v>0</v>
      </c>
    </row>
    <row r="199" spans="2:85" x14ac:dyDescent="0.2">
      <c r="B199" t="s">
        <v>1748</v>
      </c>
      <c r="C199">
        <v>680</v>
      </c>
      <c r="D199" t="s">
        <v>248</v>
      </c>
      <c r="E199">
        <f t="shared" si="3"/>
        <v>0</v>
      </c>
      <c r="AD199">
        <f t="shared" si="4"/>
        <v>0</v>
      </c>
      <c r="BC199">
        <f t="shared" si="5"/>
        <v>0</v>
      </c>
      <c r="BD199">
        <f>AA199</f>
        <v>0</v>
      </c>
      <c r="BE199">
        <f>AB199</f>
        <v>0</v>
      </c>
      <c r="BF199">
        <f t="shared" si="6"/>
        <v>0</v>
      </c>
      <c r="BG199">
        <f t="shared" si="7"/>
        <v>0</v>
      </c>
      <c r="CB199">
        <f t="shared" si="8"/>
        <v>0</v>
      </c>
    </row>
    <row r="200" spans="2:85" x14ac:dyDescent="0.2">
      <c r="B200" t="s">
        <v>727</v>
      </c>
      <c r="C200">
        <v>690</v>
      </c>
      <c r="D200" t="s">
        <v>248</v>
      </c>
      <c r="E200">
        <f t="shared" si="3"/>
        <v>0</v>
      </c>
      <c r="AD200">
        <f>SUM(E39-SUM(AA200:AC200))</f>
        <v>0</v>
      </c>
      <c r="BC200">
        <f t="shared" si="5"/>
        <v>0</v>
      </c>
      <c r="BF200">
        <f t="shared" si="6"/>
        <v>0</v>
      </c>
      <c r="BG200">
        <f>SUM(BC39-SUM(BD200:BF200))</f>
        <v>0</v>
      </c>
      <c r="CB200">
        <f t="shared" si="8"/>
        <v>0</v>
      </c>
    </row>
    <row r="201" spans="2:85" x14ac:dyDescent="0.2">
      <c r="B201" t="s">
        <v>728</v>
      </c>
      <c r="C201">
        <v>700</v>
      </c>
      <c r="D201" t="s">
        <v>248</v>
      </c>
      <c r="E201">
        <f t="shared" si="3"/>
        <v>0</v>
      </c>
      <c r="AD201">
        <f>SUM(E40-SUM(AA201:AC201))</f>
        <v>0</v>
      </c>
      <c r="BC201">
        <f t="shared" si="5"/>
        <v>0</v>
      </c>
      <c r="BF201">
        <f t="shared" si="6"/>
        <v>0</v>
      </c>
      <c r="BG201">
        <f>SUM(BC40-SUM(BD201:BF201))</f>
        <v>0</v>
      </c>
      <c r="CB201">
        <f t="shared" si="8"/>
        <v>0</v>
      </c>
    </row>
    <row r="202" spans="2:85" x14ac:dyDescent="0.2">
      <c r="B202" t="s">
        <v>730</v>
      </c>
      <c r="C202">
        <v>710</v>
      </c>
      <c r="D202" t="s">
        <v>248</v>
      </c>
      <c r="E202">
        <f t="shared" si="3"/>
        <v>0</v>
      </c>
      <c r="AD202">
        <f>SUM(E42-SUM(AA202:AC202))</f>
        <v>0</v>
      </c>
      <c r="BC202">
        <f t="shared" si="5"/>
        <v>0</v>
      </c>
      <c r="BF202">
        <f t="shared" si="6"/>
        <v>0</v>
      </c>
      <c r="BG202">
        <f>SUM(BC42-SUM(BD202:BF202))</f>
        <v>0</v>
      </c>
      <c r="CB202">
        <f t="shared" si="8"/>
        <v>0</v>
      </c>
    </row>
    <row r="203" spans="2:85" x14ac:dyDescent="0.2">
      <c r="B203" t="s">
        <v>731</v>
      </c>
      <c r="C203">
        <v>720</v>
      </c>
      <c r="D203" t="s">
        <v>248</v>
      </c>
      <c r="E203">
        <f t="shared" si="3"/>
        <v>0</v>
      </c>
      <c r="AD203">
        <f>SUM(E43-SUM(AA203:AC203))</f>
        <v>0</v>
      </c>
      <c r="BC203">
        <f t="shared" si="5"/>
        <v>0</v>
      </c>
      <c r="BF203">
        <f t="shared" si="6"/>
        <v>0</v>
      </c>
      <c r="BG203">
        <f>SUM(BC43-SUM(BD203:BF203))</f>
        <v>0</v>
      </c>
      <c r="CB203">
        <f t="shared" si="8"/>
        <v>0</v>
      </c>
    </row>
    <row r="204" spans="2:85" x14ac:dyDescent="0.2">
      <c r="B204" t="s">
        <v>2010</v>
      </c>
      <c r="C204">
        <v>730</v>
      </c>
      <c r="D204" t="s">
        <v>248</v>
      </c>
      <c r="E204">
        <f t="shared" si="3"/>
        <v>0</v>
      </c>
      <c r="AD204">
        <f>SUM(E45-SUM(AA204:AC204))</f>
        <v>0</v>
      </c>
      <c r="BC204">
        <f t="shared" si="5"/>
        <v>0</v>
      </c>
      <c r="BD204">
        <f>AA204</f>
        <v>0</v>
      </c>
      <c r="BE204">
        <f>AB204</f>
        <v>0</v>
      </c>
      <c r="BF204">
        <f t="shared" si="6"/>
        <v>0</v>
      </c>
      <c r="BG204">
        <f>SUM(BC45-SUM(BD204:BF204))</f>
        <v>0</v>
      </c>
      <c r="CB204">
        <f t="shared" si="8"/>
        <v>0</v>
      </c>
    </row>
    <row r="205" spans="2:85" x14ac:dyDescent="0.2">
      <c r="B205" t="s">
        <v>340</v>
      </c>
      <c r="C205">
        <v>740</v>
      </c>
      <c r="D205" t="s">
        <v>248</v>
      </c>
      <c r="E205">
        <f>SUM(E192:E204)</f>
        <v>0</v>
      </c>
      <c r="I205">
        <f>SUM(I192:I204)</f>
        <v>0</v>
      </c>
      <c r="J205">
        <f>SUM(J192:J204)</f>
        <v>0</v>
      </c>
      <c r="K205">
        <f>SUM(K192:K204)</f>
        <v>0</v>
      </c>
      <c r="L205">
        <f>SUM(L192:L204)</f>
        <v>0</v>
      </c>
      <c r="M205">
        <f>SUM(M192:M204)</f>
        <v>0</v>
      </c>
      <c r="O205">
        <f>SUM(O192:O204)</f>
        <v>0</v>
      </c>
      <c r="Q205">
        <f>SUM(Q192:Q204)</f>
        <v>0</v>
      </c>
      <c r="S205">
        <f>SUM(S192:S204)</f>
        <v>0</v>
      </c>
      <c r="U205">
        <f>SUM(U192:U204)</f>
        <v>0</v>
      </c>
      <c r="W205">
        <f>SUM(W192:W204)</f>
        <v>0</v>
      </c>
      <c r="Y205">
        <f>SUM(Y192:Y204)</f>
        <v>0</v>
      </c>
      <c r="AA205">
        <f>SUM(AA192:AA204)</f>
        <v>0</v>
      </c>
      <c r="AB205">
        <f>SUM(AB192:AB204)</f>
        <v>0</v>
      </c>
      <c r="AC205">
        <f>SUM(AC192:AC204)</f>
        <v>0</v>
      </c>
      <c r="AD205">
        <f>SUM(AD192:AD204)</f>
        <v>0</v>
      </c>
      <c r="BC205">
        <f>SUM(BC192:BC204)</f>
        <v>0</v>
      </c>
      <c r="BD205">
        <f>SUM(BD192:BD204)</f>
        <v>0</v>
      </c>
      <c r="BE205">
        <f>SUM(BE192:BE204)</f>
        <v>0</v>
      </c>
      <c r="BF205">
        <f>SUM(BF192:BF204)</f>
        <v>0</v>
      </c>
      <c r="BG205">
        <f>SUM(BG192:BG204)</f>
        <v>0</v>
      </c>
      <c r="CG205">
        <f>IF(OR(I177&lt;&gt;I205,J177&lt;&gt;J205,K177&lt;&gt;K205,L177&lt;&gt;L205,M177&lt;&gt;M205,O177&lt;&gt;O205,Q177&lt;&gt;Q205,S177&lt;&gt;S205,U177&lt;&gt;U205,W177&lt;&gt;W205,Y177&lt;&gt;Y205),1,0)</f>
        <v>0</v>
      </c>
    </row>
  </sheetData>
  <sheetProtection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CB50"/>
  <sheetViews>
    <sheetView zoomScale="70" zoomScaleNormal="70" workbookViewId="0"/>
  </sheetViews>
  <sheetFormatPr defaultRowHeight="12.75" x14ac:dyDescent="0.2"/>
  <sheetData>
    <row r="1" spans="1:80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0" x14ac:dyDescent="0.2">
      <c r="A2" t="s">
        <v>3727</v>
      </c>
    </row>
    <row r="3" spans="1:80" x14ac:dyDescent="0.2">
      <c r="A3" t="s">
        <v>3762</v>
      </c>
    </row>
    <row r="4" spans="1:80" x14ac:dyDescent="0.2">
      <c r="B4" t="s">
        <v>796</v>
      </c>
    </row>
    <row r="5" spans="1:80" x14ac:dyDescent="0.2">
      <c r="B5" t="s">
        <v>66</v>
      </c>
      <c r="CA5" t="s">
        <v>230</v>
      </c>
      <c r="CB5">
        <f>0</f>
        <v>0</v>
      </c>
    </row>
    <row r="6" spans="1:80" x14ac:dyDescent="0.2">
      <c r="CA6" t="s">
        <v>231</v>
      </c>
      <c r="CB6" t="s">
        <v>232</v>
      </c>
    </row>
    <row r="7" spans="1:80" x14ac:dyDescent="0.2">
      <c r="B7" t="s">
        <v>797</v>
      </c>
      <c r="D7" t="s">
        <v>25</v>
      </c>
      <c r="E7" t="s">
        <v>235</v>
      </c>
      <c r="F7" t="s">
        <v>236</v>
      </c>
      <c r="G7" t="s">
        <v>293</v>
      </c>
      <c r="H7" t="s">
        <v>294</v>
      </c>
      <c r="BC7" t="s">
        <v>237</v>
      </c>
      <c r="CB7">
        <f>SUM(CB11:CB55)</f>
        <v>0</v>
      </c>
    </row>
    <row r="8" spans="1:80" x14ac:dyDescent="0.2">
      <c r="B8" t="s">
        <v>798</v>
      </c>
      <c r="C8" t="s">
        <v>238</v>
      </c>
      <c r="E8" t="s">
        <v>799</v>
      </c>
      <c r="F8" t="s">
        <v>800</v>
      </c>
      <c r="G8" t="s">
        <v>801</v>
      </c>
      <c r="H8" t="s">
        <v>802</v>
      </c>
      <c r="BC8" t="s">
        <v>307</v>
      </c>
    </row>
    <row r="9" spans="1:80" x14ac:dyDescent="0.2">
      <c r="C9" t="s">
        <v>242</v>
      </c>
      <c r="E9" t="s">
        <v>243</v>
      </c>
      <c r="F9" t="s">
        <v>243</v>
      </c>
      <c r="G9" t="s">
        <v>243</v>
      </c>
      <c r="H9" t="s">
        <v>243</v>
      </c>
      <c r="BC9" t="s">
        <v>243</v>
      </c>
    </row>
    <row r="10" spans="1:80" x14ac:dyDescent="0.2">
      <c r="B10" t="s">
        <v>803</v>
      </c>
    </row>
    <row r="11" spans="1:80" x14ac:dyDescent="0.2">
      <c r="B11" t="s">
        <v>804</v>
      </c>
      <c r="C11">
        <v>100</v>
      </c>
      <c r="D11" t="s">
        <v>248</v>
      </c>
    </row>
    <row r="12" spans="1:80" x14ac:dyDescent="0.2">
      <c r="B12" t="s">
        <v>805</v>
      </c>
      <c r="C12">
        <v>110</v>
      </c>
      <c r="D12" t="s">
        <v>248</v>
      </c>
    </row>
    <row r="13" spans="1:80" x14ac:dyDescent="0.2">
      <c r="B13" t="s">
        <v>806</v>
      </c>
      <c r="C13">
        <v>120</v>
      </c>
      <c r="D13" t="s">
        <v>248</v>
      </c>
    </row>
    <row r="14" spans="1:80" x14ac:dyDescent="0.2">
      <c r="B14" t="s">
        <v>340</v>
      </c>
      <c r="C14">
        <v>130</v>
      </c>
      <c r="D14" t="s">
        <v>248</v>
      </c>
      <c r="E14">
        <f>SUM(E11:E13)</f>
        <v>0</v>
      </c>
      <c r="BC14">
        <f>SUM(BC11:BC13)</f>
        <v>0</v>
      </c>
    </row>
    <row r="15" spans="1:80" x14ac:dyDescent="0.2">
      <c r="B15" t="s">
        <v>807</v>
      </c>
    </row>
    <row r="16" spans="1:80" x14ac:dyDescent="0.2">
      <c r="B16" t="s">
        <v>808</v>
      </c>
    </row>
    <row r="17" spans="2:80" x14ac:dyDescent="0.2">
      <c r="B17" t="s">
        <v>809</v>
      </c>
      <c r="C17">
        <v>140</v>
      </c>
      <c r="D17" t="s">
        <v>248</v>
      </c>
      <c r="E17">
        <f>SUM(F17:G17)</f>
        <v>0</v>
      </c>
      <c r="BC17">
        <f>E17</f>
        <v>0</v>
      </c>
      <c r="CB17">
        <f>IF(OR(F17&lt;0,G17&lt;0,BC17&lt;0),1,0)</f>
        <v>0</v>
      </c>
    </row>
    <row r="18" spans="2:80" x14ac:dyDescent="0.2">
      <c r="B18" t="s">
        <v>810</v>
      </c>
      <c r="C18">
        <v>150</v>
      </c>
      <c r="D18" t="s">
        <v>248</v>
      </c>
      <c r="E18">
        <f>SUM(F18:G18)</f>
        <v>0</v>
      </c>
      <c r="BC18">
        <f>E18</f>
        <v>0</v>
      </c>
      <c r="CB18">
        <f>IF(OR(F18&lt;0,G18&lt;0,BC18&lt;0),1,0)</f>
        <v>0</v>
      </c>
    </row>
    <row r="19" spans="2:80" x14ac:dyDescent="0.2">
      <c r="B19" t="s">
        <v>811</v>
      </c>
      <c r="C19">
        <v>160</v>
      </c>
      <c r="D19" t="s">
        <v>248</v>
      </c>
      <c r="E19">
        <f>SUM(F19:G19)</f>
        <v>0</v>
      </c>
      <c r="BC19">
        <f>E19</f>
        <v>0</v>
      </c>
      <c r="CB19">
        <f>IF(OR(F19&lt;0,G19&lt;0,BC19&lt;0),1,0)</f>
        <v>0</v>
      </c>
    </row>
    <row r="20" spans="2:80" x14ac:dyDescent="0.2">
      <c r="B20" t="s">
        <v>340</v>
      </c>
      <c r="C20">
        <v>170</v>
      </c>
      <c r="D20" t="s">
        <v>248</v>
      </c>
      <c r="E20">
        <f>SUM(E17:E19)</f>
        <v>0</v>
      </c>
      <c r="F20">
        <f>SUM(F17:F19)</f>
        <v>0</v>
      </c>
      <c r="G20">
        <f>SUM(G17:G19)</f>
        <v>0</v>
      </c>
      <c r="BC20">
        <f>SUM(BC17:BC19)</f>
        <v>0</v>
      </c>
    </row>
    <row r="21" spans="2:80" x14ac:dyDescent="0.2">
      <c r="B21" t="s">
        <v>812</v>
      </c>
    </row>
    <row r="22" spans="2:80" x14ac:dyDescent="0.2">
      <c r="B22" t="s">
        <v>808</v>
      </c>
    </row>
    <row r="23" spans="2:80" x14ac:dyDescent="0.2">
      <c r="B23" t="s">
        <v>809</v>
      </c>
      <c r="C23">
        <v>180</v>
      </c>
      <c r="D23" t="s">
        <v>248</v>
      </c>
      <c r="E23">
        <f>SUM(F23:G23)</f>
        <v>0</v>
      </c>
      <c r="BC23">
        <f>E23</f>
        <v>0</v>
      </c>
      <c r="CB23">
        <f>IF(OR(F23&lt;0,G23&lt;0,BC23&lt;0),1,0)</f>
        <v>0</v>
      </c>
    </row>
    <row r="24" spans="2:80" x14ac:dyDescent="0.2">
      <c r="B24" t="s">
        <v>810</v>
      </c>
      <c r="C24">
        <v>190</v>
      </c>
      <c r="D24" t="s">
        <v>248</v>
      </c>
      <c r="E24">
        <f>SUM(F24:G24)</f>
        <v>0</v>
      </c>
      <c r="BC24">
        <f>E24</f>
        <v>0</v>
      </c>
      <c r="CB24">
        <f>IF(OR(F24&lt;0,G24&lt;0,BC24&lt;0),1,0)</f>
        <v>0</v>
      </c>
    </row>
    <row r="25" spans="2:80" x14ac:dyDescent="0.2">
      <c r="B25" t="s">
        <v>811</v>
      </c>
      <c r="C25">
        <v>200</v>
      </c>
      <c r="D25" t="s">
        <v>248</v>
      </c>
      <c r="E25">
        <f>SUM(F25:G25)</f>
        <v>0</v>
      </c>
      <c r="BC25">
        <f>E25</f>
        <v>0</v>
      </c>
      <c r="CB25">
        <f>IF(OR(F25&lt;0,G25&lt;0,BC25&lt;0),1,0)</f>
        <v>0</v>
      </c>
    </row>
    <row r="26" spans="2:80" x14ac:dyDescent="0.2">
      <c r="B26" t="s">
        <v>340</v>
      </c>
      <c r="C26">
        <v>210</v>
      </c>
      <c r="D26" t="s">
        <v>248</v>
      </c>
      <c r="E26">
        <f>SUM(E23:E25)</f>
        <v>0</v>
      </c>
      <c r="F26">
        <f>SUM(F23:F25)</f>
        <v>0</v>
      </c>
      <c r="G26">
        <f>SUM(G23:G25)</f>
        <v>0</v>
      </c>
      <c r="BC26">
        <f>SUM(BC23:BC25)</f>
        <v>0</v>
      </c>
    </row>
    <row r="27" spans="2:80" x14ac:dyDescent="0.2">
      <c r="B27" t="s">
        <v>813</v>
      </c>
    </row>
    <row r="28" spans="2:80" x14ac:dyDescent="0.2">
      <c r="B28" t="s">
        <v>808</v>
      </c>
    </row>
    <row r="29" spans="2:80" x14ac:dyDescent="0.2">
      <c r="B29" t="s">
        <v>809</v>
      </c>
      <c r="C29">
        <v>220</v>
      </c>
      <c r="D29" t="s">
        <v>248</v>
      </c>
      <c r="E29">
        <f>SUM(F29:G29)</f>
        <v>0</v>
      </c>
      <c r="BC29">
        <f>E29</f>
        <v>0</v>
      </c>
      <c r="CB29">
        <f>IF(OR(F29&lt;0,G29&lt;0,BC29&lt;0),1,0)</f>
        <v>0</v>
      </c>
    </row>
    <row r="30" spans="2:80" x14ac:dyDescent="0.2">
      <c r="B30" t="s">
        <v>810</v>
      </c>
      <c r="C30">
        <v>230</v>
      </c>
      <c r="D30" t="s">
        <v>248</v>
      </c>
      <c r="E30">
        <f>SUM(F30:G30)</f>
        <v>0</v>
      </c>
      <c r="BC30">
        <f>E30</f>
        <v>0</v>
      </c>
      <c r="CB30">
        <f>IF(OR(F30&lt;0,G30&lt;0,BC30&lt;0),1,0)</f>
        <v>0</v>
      </c>
    </row>
    <row r="31" spans="2:80" x14ac:dyDescent="0.2">
      <c r="B31" t="s">
        <v>811</v>
      </c>
      <c r="C31">
        <v>240</v>
      </c>
      <c r="D31" t="s">
        <v>248</v>
      </c>
      <c r="E31">
        <f>SUM(F31:G31)</f>
        <v>0</v>
      </c>
      <c r="BC31">
        <f>E31</f>
        <v>0</v>
      </c>
      <c r="CB31">
        <f>IF(OR(F31&lt;0,G31&lt;0,BC31&lt;0),1,0)</f>
        <v>0</v>
      </c>
    </row>
    <row r="32" spans="2:80" x14ac:dyDescent="0.2">
      <c r="B32" t="s">
        <v>358</v>
      </c>
      <c r="C32">
        <v>250</v>
      </c>
      <c r="D32" t="s">
        <v>248</v>
      </c>
      <c r="E32">
        <f>SUM(E29:E31)</f>
        <v>0</v>
      </c>
      <c r="F32">
        <f>SUM(F29:F31)</f>
        <v>0</v>
      </c>
      <c r="G32">
        <f>SUM(G29:G31)</f>
        <v>0</v>
      </c>
      <c r="BC32">
        <f>SUM(BC29:BC31)</f>
        <v>0</v>
      </c>
    </row>
    <row r="33" spans="2:80" x14ac:dyDescent="0.2">
      <c r="B33" t="s">
        <v>814</v>
      </c>
      <c r="C33">
        <v>260</v>
      </c>
      <c r="D33" t="s">
        <v>248</v>
      </c>
      <c r="E33">
        <f>SUM(F33:G33)</f>
        <v>0</v>
      </c>
      <c r="BC33">
        <f>E33</f>
        <v>0</v>
      </c>
      <c r="CB33">
        <f>IF(OR(F33&lt;0,G33&lt;0,BC33&lt;0),1,0)</f>
        <v>0</v>
      </c>
    </row>
    <row r="37" spans="2:80" x14ac:dyDescent="0.2">
      <c r="B37" t="s">
        <v>797</v>
      </c>
      <c r="D37" t="s">
        <v>25</v>
      </c>
      <c r="E37" t="s">
        <v>235</v>
      </c>
      <c r="F37" t="s">
        <v>236</v>
      </c>
      <c r="G37" t="s">
        <v>293</v>
      </c>
      <c r="H37" t="s">
        <v>294</v>
      </c>
      <c r="BC37" t="s">
        <v>237</v>
      </c>
    </row>
    <row r="38" spans="2:80" x14ac:dyDescent="0.2">
      <c r="B38" t="s">
        <v>815</v>
      </c>
      <c r="C38" t="s">
        <v>238</v>
      </c>
      <c r="E38" t="s">
        <v>799</v>
      </c>
      <c r="F38" t="s">
        <v>800</v>
      </c>
      <c r="G38" t="s">
        <v>801</v>
      </c>
      <c r="H38" t="s">
        <v>802</v>
      </c>
      <c r="BC38" t="s">
        <v>307</v>
      </c>
    </row>
    <row r="39" spans="2:80" x14ac:dyDescent="0.2">
      <c r="C39" t="s">
        <v>242</v>
      </c>
      <c r="E39" t="s">
        <v>243</v>
      </c>
      <c r="F39" t="s">
        <v>243</v>
      </c>
      <c r="G39" t="s">
        <v>243</v>
      </c>
      <c r="H39" t="s">
        <v>243</v>
      </c>
      <c r="BC39" t="s">
        <v>243</v>
      </c>
    </row>
    <row r="40" spans="2:80" x14ac:dyDescent="0.2">
      <c r="B40" t="s">
        <v>165</v>
      </c>
    </row>
    <row r="41" spans="2:80" x14ac:dyDescent="0.2">
      <c r="B41" t="s">
        <v>816</v>
      </c>
    </row>
    <row r="42" spans="2:80" x14ac:dyDescent="0.2">
      <c r="B42" t="s">
        <v>663</v>
      </c>
      <c r="C42">
        <v>270</v>
      </c>
      <c r="D42" t="s">
        <v>248</v>
      </c>
    </row>
    <row r="43" spans="2:80" x14ac:dyDescent="0.2">
      <c r="B43" t="s">
        <v>660</v>
      </c>
      <c r="C43">
        <v>280</v>
      </c>
      <c r="D43" t="s">
        <v>248</v>
      </c>
    </row>
    <row r="44" spans="2:80" x14ac:dyDescent="0.2">
      <c r="B44" t="s">
        <v>661</v>
      </c>
      <c r="C44">
        <v>290</v>
      </c>
      <c r="D44" t="s">
        <v>248</v>
      </c>
      <c r="E44">
        <f>SUM(E42:E43)</f>
        <v>0</v>
      </c>
      <c r="BC44">
        <f>SUM(BC42:BC43)</f>
        <v>0</v>
      </c>
    </row>
    <row r="45" spans="2:80" x14ac:dyDescent="0.2">
      <c r="B45" t="s">
        <v>817</v>
      </c>
    </row>
    <row r="46" spans="2:80" x14ac:dyDescent="0.2">
      <c r="B46" t="s">
        <v>818</v>
      </c>
    </row>
    <row r="47" spans="2:80" x14ac:dyDescent="0.2">
      <c r="B47" t="s">
        <v>809</v>
      </c>
      <c r="C47">
        <v>300</v>
      </c>
      <c r="D47" t="s">
        <v>248</v>
      </c>
      <c r="E47">
        <f>SUM(F47:G47)</f>
        <v>0</v>
      </c>
      <c r="BC47">
        <f>E47</f>
        <v>0</v>
      </c>
      <c r="CB47">
        <f>IF(OR(F47&lt;0,G47&lt;0,BC47&lt;0),1,0)</f>
        <v>0</v>
      </c>
    </row>
    <row r="48" spans="2:80" x14ac:dyDescent="0.2">
      <c r="B48" t="s">
        <v>810</v>
      </c>
      <c r="C48">
        <v>310</v>
      </c>
      <c r="D48" t="s">
        <v>248</v>
      </c>
      <c r="E48">
        <f>SUM(F48:G48)</f>
        <v>0</v>
      </c>
      <c r="BC48">
        <f>E48</f>
        <v>0</v>
      </c>
      <c r="CB48">
        <f>IF(OR(F48&lt;0,G48&lt;0,BC48&lt;0),1,0)</f>
        <v>0</v>
      </c>
    </row>
    <row r="49" spans="2:80" x14ac:dyDescent="0.2">
      <c r="B49" t="s">
        <v>811</v>
      </c>
      <c r="C49">
        <v>320</v>
      </c>
      <c r="D49" t="s">
        <v>248</v>
      </c>
      <c r="E49">
        <f>SUM(F49:G49)</f>
        <v>0</v>
      </c>
      <c r="BC49">
        <f>E49</f>
        <v>0</v>
      </c>
      <c r="CB49">
        <f>IF(OR(F49&lt;0,G49&lt;0,BC49&lt;0),1,0)</f>
        <v>0</v>
      </c>
    </row>
    <row r="50" spans="2:80" x14ac:dyDescent="0.2">
      <c r="B50" t="s">
        <v>358</v>
      </c>
      <c r="C50">
        <v>330</v>
      </c>
      <c r="D50" t="s">
        <v>248</v>
      </c>
      <c r="E50">
        <f>SUM(E47:E49)</f>
        <v>0</v>
      </c>
      <c r="F50">
        <f>SUM(F47:F49)</f>
        <v>0</v>
      </c>
      <c r="G50">
        <f>SUM(G47:G49)</f>
        <v>0</v>
      </c>
      <c r="BC50">
        <f>SUM(BC47:BC49)</f>
        <v>0</v>
      </c>
    </row>
  </sheetData>
  <sheetProtection sheet="1" objects="1" scenario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CF125"/>
  <sheetViews>
    <sheetView zoomScale="70" zoomScaleNormal="70" workbookViewId="0"/>
  </sheetViews>
  <sheetFormatPr defaultRowHeight="12.75" x14ac:dyDescent="0.2"/>
  <sheetData>
    <row r="1" spans="1:82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2" x14ac:dyDescent="0.2">
      <c r="A2" t="s">
        <v>3727</v>
      </c>
    </row>
    <row r="3" spans="1:82" x14ac:dyDescent="0.2">
      <c r="A3" t="s">
        <v>3763</v>
      </c>
    </row>
    <row r="4" spans="1:82" x14ac:dyDescent="0.2">
      <c r="B4" t="s">
        <v>819</v>
      </c>
    </row>
    <row r="5" spans="1:82" x14ac:dyDescent="0.2">
      <c r="B5" t="s">
        <v>66</v>
      </c>
      <c r="CA5" t="s">
        <v>230</v>
      </c>
      <c r="CB5">
        <f>0</f>
        <v>0</v>
      </c>
    </row>
    <row r="6" spans="1:82" x14ac:dyDescent="0.2">
      <c r="CA6" t="s">
        <v>231</v>
      </c>
      <c r="CB6" t="s">
        <v>232</v>
      </c>
      <c r="CC6" t="s">
        <v>822</v>
      </c>
      <c r="CD6" t="s">
        <v>2965</v>
      </c>
    </row>
    <row r="7" spans="1:82" x14ac:dyDescent="0.2">
      <c r="D7" t="s">
        <v>25</v>
      </c>
      <c r="E7" t="s">
        <v>235</v>
      </c>
      <c r="F7" t="s">
        <v>236</v>
      </c>
      <c r="G7" t="s">
        <v>293</v>
      </c>
      <c r="N7" t="s">
        <v>299</v>
      </c>
      <c r="O7" t="s">
        <v>360</v>
      </c>
      <c r="P7" t="s">
        <v>361</v>
      </c>
      <c r="Q7" t="s">
        <v>362</v>
      </c>
      <c r="R7" t="s">
        <v>576</v>
      </c>
      <c r="S7" t="s">
        <v>577</v>
      </c>
      <c r="T7" t="s">
        <v>578</v>
      </c>
      <c r="U7" t="s">
        <v>579</v>
      </c>
      <c r="V7" t="s">
        <v>580</v>
      </c>
      <c r="W7" t="s">
        <v>581</v>
      </c>
      <c r="X7" t="s">
        <v>582</v>
      </c>
      <c r="Y7" t="s">
        <v>583</v>
      </c>
      <c r="Z7" t="s">
        <v>584</v>
      </c>
      <c r="AA7" t="s">
        <v>823</v>
      </c>
      <c r="AB7" t="s">
        <v>824</v>
      </c>
      <c r="AC7" t="s">
        <v>825</v>
      </c>
      <c r="AD7" t="s">
        <v>826</v>
      </c>
      <c r="AE7" t="s">
        <v>827</v>
      </c>
      <c r="BC7" t="s">
        <v>237</v>
      </c>
      <c r="BD7" t="s">
        <v>683</v>
      </c>
      <c r="BE7" t="s">
        <v>684</v>
      </c>
      <c r="CA7">
        <f>SUM(CA10:CA125)</f>
        <v>0</v>
      </c>
      <c r="CB7">
        <f>SUM(CB11:CB125)</f>
        <v>0</v>
      </c>
      <c r="CC7">
        <f>SUM(CC11:CC42)</f>
        <v>0</v>
      </c>
      <c r="CD7">
        <f>SUM(CD11:CD125)</f>
        <v>1</v>
      </c>
    </row>
    <row r="8" spans="1:82" x14ac:dyDescent="0.2">
      <c r="B8" t="s">
        <v>837</v>
      </c>
      <c r="E8" t="s">
        <v>880</v>
      </c>
      <c r="F8" t="s">
        <v>839</v>
      </c>
      <c r="G8" t="s">
        <v>881</v>
      </c>
      <c r="N8" t="s">
        <v>846</v>
      </c>
      <c r="O8" t="s">
        <v>848</v>
      </c>
      <c r="P8" t="s">
        <v>849</v>
      </c>
      <c r="Q8" t="s">
        <v>850</v>
      </c>
      <c r="R8" t="s">
        <v>851</v>
      </c>
      <c r="S8" t="s">
        <v>852</v>
      </c>
      <c r="T8" t="s">
        <v>592</v>
      </c>
      <c r="U8" t="s">
        <v>853</v>
      </c>
      <c r="V8" t="s">
        <v>594</v>
      </c>
      <c r="W8" t="s">
        <v>854</v>
      </c>
      <c r="X8" t="s">
        <v>596</v>
      </c>
      <c r="Y8" t="s">
        <v>855</v>
      </c>
      <c r="Z8" t="s">
        <v>598</v>
      </c>
      <c r="AA8" t="s">
        <v>856</v>
      </c>
      <c r="AB8" t="s">
        <v>600</v>
      </c>
      <c r="AC8" t="s">
        <v>857</v>
      </c>
      <c r="AD8" t="s">
        <v>602</v>
      </c>
      <c r="AE8" t="s">
        <v>858</v>
      </c>
      <c r="BC8" t="s">
        <v>241</v>
      </c>
      <c r="BD8" t="s">
        <v>859</v>
      </c>
      <c r="BE8" t="s">
        <v>860</v>
      </c>
    </row>
    <row r="9" spans="1:82" x14ac:dyDescent="0.2">
      <c r="C9" t="s">
        <v>238</v>
      </c>
      <c r="E9" t="s">
        <v>882</v>
      </c>
      <c r="F9" t="s">
        <v>882</v>
      </c>
      <c r="G9" t="s">
        <v>882</v>
      </c>
    </row>
    <row r="10" spans="1:82" x14ac:dyDescent="0.2">
      <c r="C10" t="s">
        <v>242</v>
      </c>
      <c r="E10" t="s">
        <v>243</v>
      </c>
      <c r="F10" t="s">
        <v>243</v>
      </c>
      <c r="G10" t="s">
        <v>243</v>
      </c>
      <c r="N10" t="s">
        <v>243</v>
      </c>
      <c r="O10" t="s">
        <v>243</v>
      </c>
      <c r="P10" t="s">
        <v>243</v>
      </c>
      <c r="Q10" t="s">
        <v>243</v>
      </c>
      <c r="R10" t="s">
        <v>243</v>
      </c>
      <c r="S10" t="s">
        <v>243</v>
      </c>
      <c r="T10" t="s">
        <v>243</v>
      </c>
      <c r="U10" t="s">
        <v>243</v>
      </c>
      <c r="V10" t="s">
        <v>243</v>
      </c>
      <c r="W10" t="s">
        <v>243</v>
      </c>
      <c r="X10" t="s">
        <v>243</v>
      </c>
      <c r="Y10" t="s">
        <v>243</v>
      </c>
      <c r="Z10" t="s">
        <v>243</v>
      </c>
      <c r="AA10" t="s">
        <v>243</v>
      </c>
      <c r="AB10" t="s">
        <v>243</v>
      </c>
      <c r="AC10" t="s">
        <v>243</v>
      </c>
      <c r="AD10" t="s">
        <v>243</v>
      </c>
      <c r="AE10" t="s">
        <v>243</v>
      </c>
      <c r="BC10" t="s">
        <v>243</v>
      </c>
      <c r="BD10" t="s">
        <v>243</v>
      </c>
      <c r="BE10" t="s">
        <v>243</v>
      </c>
    </row>
    <row r="11" spans="1:82" x14ac:dyDescent="0.2">
      <c r="B11" t="s">
        <v>862</v>
      </c>
      <c r="C11">
        <v>100</v>
      </c>
      <c r="D11" t="s">
        <v>248</v>
      </c>
      <c r="E11">
        <f>F11+G11</f>
        <v>0</v>
      </c>
      <c r="BC11">
        <f>SUM(BD11:BE11)</f>
        <v>0</v>
      </c>
      <c r="BD11">
        <f t="shared" ref="BD11:BE14" si="0">F11</f>
        <v>0</v>
      </c>
      <c r="BE11">
        <f t="shared" si="0"/>
        <v>0</v>
      </c>
      <c r="CB11">
        <f>IF(OR(F11&lt;0,G11&lt;0,N11&lt;0,O11&lt;0,P11&lt;0,Q11&lt;0,R11&lt;0,S11&lt;0,U11&lt;0,W11&lt;0,Y11&lt;0,AA11&lt;0,AC11&lt;0,AE11&lt;0,BD11&lt;0,BE11&lt;0),1,0)</f>
        <v>0</v>
      </c>
      <c r="CC11">
        <f>IF(SUM(N11:AE11)&lt;=E11,0,1)</f>
        <v>0</v>
      </c>
    </row>
    <row r="12" spans="1:82" x14ac:dyDescent="0.2">
      <c r="B12" t="s">
        <v>863</v>
      </c>
      <c r="C12">
        <v>110</v>
      </c>
      <c r="D12" t="s">
        <v>248</v>
      </c>
      <c r="E12">
        <f>F12+G12</f>
        <v>0</v>
      </c>
      <c r="F12">
        <f>N12</f>
        <v>0</v>
      </c>
      <c r="BC12">
        <f>SUM(BD12:BE12)</f>
        <v>0</v>
      </c>
      <c r="BD12">
        <f t="shared" si="0"/>
        <v>0</v>
      </c>
      <c r="BE12">
        <f t="shared" si="0"/>
        <v>0</v>
      </c>
      <c r="CB12">
        <f>IF(OR(F12&lt;0,G12&lt;0,N12&lt;0,O12&lt;0,P12&lt;0,Q12&lt;0,R12&lt;0,S12&lt;0,U12&lt;0,W12&lt;0,Y12&lt;0,AA12&lt;0,AC12&lt;0,AE12&lt;0,BD12&lt;0,BE12&lt;0),1,0)</f>
        <v>0</v>
      </c>
      <c r="CC12">
        <f>IF(SUM(N12:AE12)&lt;=E12,0,1)</f>
        <v>0</v>
      </c>
    </row>
    <row r="13" spans="1:82" x14ac:dyDescent="0.2">
      <c r="B13" t="s">
        <v>864</v>
      </c>
      <c r="C13">
        <v>120</v>
      </c>
      <c r="D13" t="s">
        <v>248</v>
      </c>
      <c r="E13">
        <f>F13+G13</f>
        <v>0</v>
      </c>
      <c r="F13">
        <f>N13</f>
        <v>0</v>
      </c>
      <c r="BC13">
        <f>SUM(BD13:BE13)</f>
        <v>0</v>
      </c>
      <c r="BD13">
        <f t="shared" si="0"/>
        <v>0</v>
      </c>
      <c r="BE13">
        <f t="shared" si="0"/>
        <v>0</v>
      </c>
      <c r="CB13">
        <f>IF(OR(F13&lt;0,G13&lt;0,N13&lt;0,O13&lt;0,P13&lt;0,Q13&lt;0,R13&lt;0,S13&lt;0,U13&lt;0,W13&lt;0,Y13&lt;0,AA13&lt;0,AC13&lt;0,AE13&lt;0,BD13&lt;0,BE13&lt;0),1,0)</f>
        <v>0</v>
      </c>
      <c r="CC13">
        <f>IF(SUM(N13:AE13)&lt;=E13,0,1)</f>
        <v>0</v>
      </c>
    </row>
    <row r="14" spans="1:82" x14ac:dyDescent="0.2">
      <c r="B14" t="s">
        <v>865</v>
      </c>
      <c r="C14">
        <v>130</v>
      </c>
      <c r="D14" t="s">
        <v>248</v>
      </c>
      <c r="E14">
        <f>F14+G14</f>
        <v>0</v>
      </c>
      <c r="BC14">
        <f>SUM(BD14:BE14)</f>
        <v>0</v>
      </c>
      <c r="BD14">
        <f t="shared" si="0"/>
        <v>0</v>
      </c>
      <c r="BE14">
        <f t="shared" si="0"/>
        <v>0</v>
      </c>
      <c r="CB14">
        <f>IF(OR(F14&lt;0,G14&lt;0,N14&lt;0,O14&lt;0,P14&lt;0,Q14&lt;0,R14&lt;0,S14&lt;0,U14&lt;0,W14&lt;0,Y14&lt;0,AA14&lt;0,AC14&lt;0,AE14&lt;0,BD14&lt;0,BE14&lt;0),1,0)</f>
        <v>0</v>
      </c>
      <c r="CC14">
        <f>IF(SUM(N14:AE14)&lt;=E14,0,1)</f>
        <v>0</v>
      </c>
    </row>
    <row r="15" spans="1:82" x14ac:dyDescent="0.2">
      <c r="B15" t="s">
        <v>866</v>
      </c>
      <c r="C15">
        <v>140</v>
      </c>
      <c r="D15" t="s">
        <v>248</v>
      </c>
    </row>
    <row r="16" spans="1:82" x14ac:dyDescent="0.2">
      <c r="B16" t="s">
        <v>867</v>
      </c>
      <c r="C16">
        <v>150</v>
      </c>
      <c r="D16" t="s">
        <v>251</v>
      </c>
    </row>
    <row r="17" spans="2:84" x14ac:dyDescent="0.2">
      <c r="B17" t="s">
        <v>868</v>
      </c>
      <c r="C17">
        <v>160</v>
      </c>
      <c r="D17" t="s">
        <v>248</v>
      </c>
      <c r="E17">
        <f>F17+G17</f>
        <v>0</v>
      </c>
      <c r="BC17">
        <f>SUM(BD17:BE17)</f>
        <v>0</v>
      </c>
      <c r="BD17">
        <f>F17</f>
        <v>0</v>
      </c>
      <c r="BE17">
        <f>G17</f>
        <v>0</v>
      </c>
      <c r="CB17">
        <f>IF(OR(F17&lt;0,G17&lt;0,N17&lt;0,O17&lt;0,P17&lt;0,Q17&lt;0,R17&lt;0,S17&lt;0,U17&lt;0,W17&lt;0,Y17&lt;0,AA17&lt;0,AC17&lt;0,AE17&lt;0,BD17&lt;0,BE17&lt;0),1,0)</f>
        <v>0</v>
      </c>
      <c r="CC17">
        <f>IF(SUM(N17:AE17)&lt;=E17,0,1)</f>
        <v>0</v>
      </c>
    </row>
    <row r="18" spans="2:84" x14ac:dyDescent="0.2">
      <c r="B18" t="s">
        <v>869</v>
      </c>
      <c r="C18">
        <v>170</v>
      </c>
      <c r="D18" t="s">
        <v>248</v>
      </c>
      <c r="E18">
        <f>SUM(E11:E17)</f>
        <v>0</v>
      </c>
      <c r="F18">
        <f>SUM(F11:F17)</f>
        <v>0</v>
      </c>
      <c r="G18">
        <f>SUM(G11:G17)</f>
        <v>0</v>
      </c>
      <c r="N18">
        <f t="shared" ref="N18:S18" si="1">SUM(N11:N17)</f>
        <v>0</v>
      </c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1"/>
        <v>0</v>
      </c>
      <c r="U18">
        <f>SUM(U11:U17)</f>
        <v>0</v>
      </c>
      <c r="W18">
        <f>SUM(W11:W17)</f>
        <v>0</v>
      </c>
      <c r="Y18">
        <f>SUM(Y11:Y17)</f>
        <v>0</v>
      </c>
      <c r="AA18">
        <f>SUM(AA11:AA17)</f>
        <v>0</v>
      </c>
      <c r="AC18">
        <f>SUM(AC11:AC17)</f>
        <v>0</v>
      </c>
      <c r="AE18">
        <f>SUM(AE11:AE17)</f>
        <v>0</v>
      </c>
      <c r="BC18">
        <f>SUM(BC11:BC17)</f>
        <v>0</v>
      </c>
      <c r="BD18">
        <f>SUM(BD11:BD17)</f>
        <v>0</v>
      </c>
      <c r="BE18">
        <f>SUM(BE11:BE17)</f>
        <v>0</v>
      </c>
    </row>
    <row r="19" spans="2:84" x14ac:dyDescent="0.2">
      <c r="B19" t="s">
        <v>870</v>
      </c>
      <c r="C19">
        <v>180</v>
      </c>
      <c r="D19" t="s">
        <v>245</v>
      </c>
    </row>
    <row r="20" spans="2:84" x14ac:dyDescent="0.2">
      <c r="B20" t="s">
        <v>871</v>
      </c>
      <c r="C20">
        <v>190</v>
      </c>
      <c r="D20" t="s">
        <v>248</v>
      </c>
    </row>
    <row r="21" spans="2:84" x14ac:dyDescent="0.2">
      <c r="B21" t="s">
        <v>872</v>
      </c>
    </row>
    <row r="22" spans="2:84" x14ac:dyDescent="0.2">
      <c r="B22" t="s">
        <v>873</v>
      </c>
      <c r="C22">
        <v>200</v>
      </c>
      <c r="D22" t="s">
        <v>248</v>
      </c>
      <c r="E22">
        <f>F22+G22</f>
        <v>0</v>
      </c>
      <c r="BC22">
        <f>SUM(BD22:BE22)</f>
        <v>0</v>
      </c>
      <c r="BD22">
        <f>F22</f>
        <v>0</v>
      </c>
      <c r="BE22">
        <f>G22</f>
        <v>0</v>
      </c>
      <c r="CB22">
        <f>IF(OR(F22&lt;0,G22&lt;0),1,0)</f>
        <v>0</v>
      </c>
    </row>
    <row r="23" spans="2:84" x14ac:dyDescent="0.2">
      <c r="B23" t="s">
        <v>874</v>
      </c>
      <c r="C23">
        <v>210</v>
      </c>
      <c r="D23" t="s">
        <v>248</v>
      </c>
      <c r="E23">
        <f>E18-E22</f>
        <v>0</v>
      </c>
      <c r="F23">
        <f>F18-F22</f>
        <v>0</v>
      </c>
      <c r="G23">
        <f>G18-G22</f>
        <v>0</v>
      </c>
      <c r="BC23">
        <f>BC18-BC22</f>
        <v>0</v>
      </c>
      <c r="BD23">
        <f>BD18-BD22</f>
        <v>0</v>
      </c>
      <c r="BE23">
        <f>BE18-BE22</f>
        <v>0</v>
      </c>
    </row>
    <row r="24" spans="2:84" x14ac:dyDescent="0.2">
      <c r="B24" t="s">
        <v>872</v>
      </c>
    </row>
    <row r="25" spans="2:84" x14ac:dyDescent="0.2">
      <c r="B25" t="s">
        <v>875</v>
      </c>
      <c r="C25">
        <v>220</v>
      </c>
      <c r="D25" t="s">
        <v>248</v>
      </c>
    </row>
    <row r="26" spans="2:84" x14ac:dyDescent="0.2">
      <c r="B26" t="s">
        <v>876</v>
      </c>
      <c r="C26">
        <v>230</v>
      </c>
      <c r="D26" t="s">
        <v>248</v>
      </c>
    </row>
    <row r="27" spans="2:84" x14ac:dyDescent="0.2">
      <c r="B27" t="s">
        <v>877</v>
      </c>
      <c r="C27">
        <v>240</v>
      </c>
      <c r="D27" t="s">
        <v>248</v>
      </c>
    </row>
    <row r="28" spans="2:84" x14ac:dyDescent="0.2">
      <c r="B28" t="s">
        <v>878</v>
      </c>
      <c r="C28">
        <v>220</v>
      </c>
      <c r="D28" t="s">
        <v>248</v>
      </c>
      <c r="CF28">
        <f>IF(OR(O18-O28&lt;&gt;0,P18-P28&lt;&gt;0,Q18-Q28&lt;&gt;0,R18-R28&lt;&gt;0,(S18+N18)-S28&lt;&gt;0,U18-U28&lt;&gt;0,W18-W28&lt;&gt;0,Y18-Y28&lt;&gt;0,AA18-AA28&lt;&gt;0,AC18-AC28&lt;&gt;0,AE18-AE28&lt;&gt;0),1,0)</f>
        <v>0</v>
      </c>
    </row>
    <row r="31" spans="2:84" x14ac:dyDescent="0.2">
      <c r="D31" t="s">
        <v>25</v>
      </c>
      <c r="E31" t="s">
        <v>235</v>
      </c>
      <c r="F31" t="s">
        <v>236</v>
      </c>
      <c r="G31" t="s">
        <v>293</v>
      </c>
      <c r="N31" t="s">
        <v>299</v>
      </c>
      <c r="O31" t="s">
        <v>360</v>
      </c>
      <c r="P31" t="s">
        <v>361</v>
      </c>
      <c r="Q31" t="s">
        <v>362</v>
      </c>
      <c r="R31" t="s">
        <v>576</v>
      </c>
      <c r="S31" t="s">
        <v>577</v>
      </c>
      <c r="T31" t="s">
        <v>578</v>
      </c>
      <c r="U31" t="s">
        <v>579</v>
      </c>
      <c r="V31" t="s">
        <v>580</v>
      </c>
      <c r="W31" t="s">
        <v>581</v>
      </c>
      <c r="X31" t="s">
        <v>582</v>
      </c>
      <c r="Y31" t="s">
        <v>583</v>
      </c>
      <c r="Z31" t="s">
        <v>584</v>
      </c>
      <c r="AA31" t="s">
        <v>823</v>
      </c>
      <c r="AB31" t="s">
        <v>824</v>
      </c>
      <c r="AC31" t="s">
        <v>825</v>
      </c>
      <c r="AD31" t="s">
        <v>826</v>
      </c>
      <c r="AE31" t="s">
        <v>827</v>
      </c>
      <c r="BC31" t="s">
        <v>237</v>
      </c>
      <c r="BD31" t="s">
        <v>683</v>
      </c>
      <c r="BE31" t="s">
        <v>684</v>
      </c>
    </row>
    <row r="32" spans="2:84" x14ac:dyDescent="0.2">
      <c r="B32" t="s">
        <v>879</v>
      </c>
      <c r="E32" t="s">
        <v>880</v>
      </c>
      <c r="F32" t="s">
        <v>839</v>
      </c>
      <c r="G32" t="s">
        <v>881</v>
      </c>
      <c r="N32" t="s">
        <v>846</v>
      </c>
      <c r="O32" t="s">
        <v>848</v>
      </c>
      <c r="P32" t="s">
        <v>849</v>
      </c>
      <c r="Q32" t="s">
        <v>850</v>
      </c>
      <c r="R32" t="s">
        <v>851</v>
      </c>
      <c r="S32" t="s">
        <v>852</v>
      </c>
      <c r="T32" t="s">
        <v>592</v>
      </c>
      <c r="U32" t="s">
        <v>853</v>
      </c>
      <c r="V32" t="s">
        <v>594</v>
      </c>
      <c r="W32" t="s">
        <v>854</v>
      </c>
      <c r="X32" t="s">
        <v>596</v>
      </c>
      <c r="Y32" t="s">
        <v>855</v>
      </c>
      <c r="Z32" t="s">
        <v>598</v>
      </c>
      <c r="AA32" t="s">
        <v>856</v>
      </c>
      <c r="AB32" t="s">
        <v>600</v>
      </c>
      <c r="AC32" t="s">
        <v>857</v>
      </c>
      <c r="AD32" t="s">
        <v>602</v>
      </c>
      <c r="AE32" t="s">
        <v>858</v>
      </c>
      <c r="BC32" t="s">
        <v>241</v>
      </c>
      <c r="BD32" t="s">
        <v>859</v>
      </c>
      <c r="BE32" t="s">
        <v>860</v>
      </c>
    </row>
    <row r="33" spans="2:57" x14ac:dyDescent="0.2">
      <c r="C33" t="s">
        <v>238</v>
      </c>
      <c r="E33" t="s">
        <v>882</v>
      </c>
      <c r="F33" t="s">
        <v>882</v>
      </c>
      <c r="G33" t="s">
        <v>882</v>
      </c>
    </row>
    <row r="34" spans="2:57" x14ac:dyDescent="0.2">
      <c r="C34" t="s">
        <v>242</v>
      </c>
      <c r="E34" t="s">
        <v>243</v>
      </c>
      <c r="F34" t="s">
        <v>243</v>
      </c>
      <c r="G34" t="s">
        <v>243</v>
      </c>
      <c r="N34" t="s">
        <v>243</v>
      </c>
      <c r="O34" t="s">
        <v>243</v>
      </c>
      <c r="P34" t="s">
        <v>243</v>
      </c>
      <c r="Q34" t="s">
        <v>243</v>
      </c>
      <c r="R34" t="s">
        <v>243</v>
      </c>
      <c r="S34" t="s">
        <v>243</v>
      </c>
      <c r="T34" t="s">
        <v>243</v>
      </c>
      <c r="U34" t="s">
        <v>243</v>
      </c>
      <c r="V34" t="s">
        <v>243</v>
      </c>
      <c r="W34" t="s">
        <v>243</v>
      </c>
      <c r="X34" t="s">
        <v>243</v>
      </c>
      <c r="Y34" t="s">
        <v>243</v>
      </c>
      <c r="Z34" t="s">
        <v>243</v>
      </c>
      <c r="AA34" t="s">
        <v>243</v>
      </c>
      <c r="AB34" t="s">
        <v>243</v>
      </c>
      <c r="AC34" t="s">
        <v>243</v>
      </c>
      <c r="AD34" t="s">
        <v>243</v>
      </c>
      <c r="AE34" t="s">
        <v>243</v>
      </c>
      <c r="BC34" t="s">
        <v>243</v>
      </c>
      <c r="BD34" t="s">
        <v>243</v>
      </c>
      <c r="BE34" t="s">
        <v>243</v>
      </c>
    </row>
    <row r="35" spans="2:57" x14ac:dyDescent="0.2">
      <c r="B35" t="s">
        <v>862</v>
      </c>
      <c r="C35">
        <v>250</v>
      </c>
      <c r="D35" t="s">
        <v>248</v>
      </c>
    </row>
    <row r="36" spans="2:57" x14ac:dyDescent="0.2">
      <c r="B36" t="s">
        <v>863</v>
      </c>
      <c r="C36">
        <v>260</v>
      </c>
      <c r="D36" t="s">
        <v>248</v>
      </c>
    </row>
    <row r="37" spans="2:57" x14ac:dyDescent="0.2">
      <c r="B37" t="s">
        <v>883</v>
      </c>
      <c r="C37">
        <v>270</v>
      </c>
      <c r="D37" t="s">
        <v>248</v>
      </c>
    </row>
    <row r="38" spans="2:57" x14ac:dyDescent="0.2">
      <c r="B38" t="s">
        <v>865</v>
      </c>
      <c r="C38">
        <v>280</v>
      </c>
      <c r="D38" t="s">
        <v>248</v>
      </c>
    </row>
    <row r="39" spans="2:57" x14ac:dyDescent="0.2">
      <c r="B39" t="s">
        <v>866</v>
      </c>
      <c r="C39">
        <v>290</v>
      </c>
      <c r="D39" t="s">
        <v>248</v>
      </c>
    </row>
    <row r="40" spans="2:57" x14ac:dyDescent="0.2">
      <c r="B40" t="s">
        <v>867</v>
      </c>
      <c r="C40">
        <v>300</v>
      </c>
      <c r="D40" t="s">
        <v>251</v>
      </c>
    </row>
    <row r="41" spans="2:57" x14ac:dyDescent="0.2">
      <c r="B41" t="s">
        <v>868</v>
      </c>
      <c r="C41">
        <v>310</v>
      </c>
      <c r="D41" t="s">
        <v>248</v>
      </c>
    </row>
    <row r="42" spans="2:57" x14ac:dyDescent="0.2">
      <c r="B42" t="s">
        <v>884</v>
      </c>
      <c r="C42">
        <v>320</v>
      </c>
      <c r="D42" t="s">
        <v>248</v>
      </c>
    </row>
    <row r="46" spans="2:57" x14ac:dyDescent="0.2">
      <c r="D46" t="s">
        <v>25</v>
      </c>
      <c r="E46" t="s">
        <v>235</v>
      </c>
      <c r="F46" t="s">
        <v>236</v>
      </c>
      <c r="G46" t="s">
        <v>293</v>
      </c>
    </row>
    <row r="47" spans="2:57" x14ac:dyDescent="0.2">
      <c r="B47" t="s">
        <v>103</v>
      </c>
      <c r="E47" t="s">
        <v>880</v>
      </c>
      <c r="F47" t="s">
        <v>839</v>
      </c>
      <c r="G47" t="s">
        <v>881</v>
      </c>
    </row>
    <row r="48" spans="2:57" x14ac:dyDescent="0.2">
      <c r="C48" t="s">
        <v>238</v>
      </c>
      <c r="E48" t="s">
        <v>882</v>
      </c>
      <c r="F48" t="s">
        <v>882</v>
      </c>
      <c r="G48" t="s">
        <v>882</v>
      </c>
    </row>
    <row r="49" spans="2:7" x14ac:dyDescent="0.2">
      <c r="C49" t="s">
        <v>242</v>
      </c>
      <c r="E49" t="s">
        <v>243</v>
      </c>
      <c r="F49" t="s">
        <v>243</v>
      </c>
      <c r="G49" t="s">
        <v>243</v>
      </c>
    </row>
    <row r="50" spans="2:7" x14ac:dyDescent="0.2">
      <c r="B50" t="s">
        <v>2966</v>
      </c>
      <c r="C50">
        <v>330</v>
      </c>
      <c r="D50" t="s">
        <v>248</v>
      </c>
    </row>
    <row r="51" spans="2:7" x14ac:dyDescent="0.2">
      <c r="B51" t="s">
        <v>863</v>
      </c>
      <c r="C51">
        <v>340</v>
      </c>
      <c r="D51" t="s">
        <v>248</v>
      </c>
    </row>
    <row r="52" spans="2:7" x14ac:dyDescent="0.2">
      <c r="B52" t="s">
        <v>883</v>
      </c>
      <c r="C52">
        <v>350</v>
      </c>
      <c r="D52" t="s">
        <v>248</v>
      </c>
    </row>
    <row r="53" spans="2:7" x14ac:dyDescent="0.2">
      <c r="B53" t="s">
        <v>865</v>
      </c>
      <c r="C53">
        <v>360</v>
      </c>
      <c r="D53" t="s">
        <v>248</v>
      </c>
    </row>
    <row r="54" spans="2:7" x14ac:dyDescent="0.2">
      <c r="B54" t="s">
        <v>866</v>
      </c>
      <c r="C54">
        <v>370</v>
      </c>
      <c r="D54" t="s">
        <v>248</v>
      </c>
    </row>
    <row r="55" spans="2:7" x14ac:dyDescent="0.2">
      <c r="B55" t="s">
        <v>867</v>
      </c>
      <c r="C55">
        <v>380</v>
      </c>
      <c r="D55" t="s">
        <v>251</v>
      </c>
    </row>
    <row r="56" spans="2:7" x14ac:dyDescent="0.2">
      <c r="B56" t="s">
        <v>868</v>
      </c>
      <c r="C56">
        <v>390</v>
      </c>
      <c r="D56" t="s">
        <v>248</v>
      </c>
    </row>
    <row r="57" spans="2:7" x14ac:dyDescent="0.2">
      <c r="B57" t="s">
        <v>869</v>
      </c>
      <c r="C57">
        <v>400</v>
      </c>
      <c r="D57" t="s">
        <v>248</v>
      </c>
    </row>
    <row r="58" spans="2:7" x14ac:dyDescent="0.2">
      <c r="B58" t="s">
        <v>2967</v>
      </c>
      <c r="C58">
        <v>402</v>
      </c>
      <c r="D58" t="s">
        <v>245</v>
      </c>
    </row>
    <row r="59" spans="2:7" x14ac:dyDescent="0.2">
      <c r="B59" t="s">
        <v>871</v>
      </c>
      <c r="C59">
        <v>404</v>
      </c>
      <c r="D59" t="s">
        <v>248</v>
      </c>
    </row>
    <row r="60" spans="2:7" x14ac:dyDescent="0.2">
      <c r="B60" t="s">
        <v>872</v>
      </c>
      <c r="C60">
        <v>420</v>
      </c>
      <c r="D60" t="s">
        <v>248</v>
      </c>
    </row>
    <row r="61" spans="2:7" x14ac:dyDescent="0.2">
      <c r="B61" t="s">
        <v>873</v>
      </c>
      <c r="C61">
        <v>410</v>
      </c>
      <c r="D61" t="s">
        <v>248</v>
      </c>
    </row>
    <row r="62" spans="2:7" x14ac:dyDescent="0.2">
      <c r="B62" t="s">
        <v>874</v>
      </c>
      <c r="C62">
        <v>420</v>
      </c>
      <c r="D62" t="s">
        <v>248</v>
      </c>
    </row>
    <row r="63" spans="2:7" x14ac:dyDescent="0.2">
      <c r="B63" t="s">
        <v>872</v>
      </c>
      <c r="C63">
        <v>440</v>
      </c>
    </row>
    <row r="64" spans="2:7" x14ac:dyDescent="0.2">
      <c r="B64" t="s">
        <v>886</v>
      </c>
      <c r="C64">
        <v>430</v>
      </c>
      <c r="D64" t="s">
        <v>248</v>
      </c>
    </row>
    <row r="65" spans="2:80" x14ac:dyDescent="0.2">
      <c r="B65" t="s">
        <v>887</v>
      </c>
      <c r="C65">
        <v>440</v>
      </c>
      <c r="D65" t="s">
        <v>248</v>
      </c>
    </row>
    <row r="66" spans="2:80" x14ac:dyDescent="0.2">
      <c r="B66" t="s">
        <v>874</v>
      </c>
      <c r="C66">
        <v>450</v>
      </c>
      <c r="D66" t="s">
        <v>248</v>
      </c>
    </row>
    <row r="68" spans="2:80" x14ac:dyDescent="0.2">
      <c r="D68" t="s">
        <v>25</v>
      </c>
      <c r="E68" t="s">
        <v>235</v>
      </c>
      <c r="F68" t="s">
        <v>236</v>
      </c>
      <c r="G68" t="s">
        <v>293</v>
      </c>
      <c r="H68" t="s">
        <v>294</v>
      </c>
      <c r="I68" t="s">
        <v>295</v>
      </c>
      <c r="J68" t="s">
        <v>296</v>
      </c>
    </row>
    <row r="69" spans="2:80" x14ac:dyDescent="0.2">
      <c r="B69" t="s">
        <v>888</v>
      </c>
      <c r="E69" t="s">
        <v>340</v>
      </c>
      <c r="F69" t="s">
        <v>889</v>
      </c>
      <c r="G69" t="s">
        <v>352</v>
      </c>
      <c r="H69" t="s">
        <v>340</v>
      </c>
      <c r="I69" t="s">
        <v>889</v>
      </c>
      <c r="J69" t="s">
        <v>352</v>
      </c>
    </row>
    <row r="70" spans="2:80" x14ac:dyDescent="0.2">
      <c r="C70" t="s">
        <v>238</v>
      </c>
      <c r="E70" t="s">
        <v>300</v>
      </c>
      <c r="F70" t="s">
        <v>890</v>
      </c>
      <c r="H70" t="s">
        <v>240</v>
      </c>
      <c r="I70" t="s">
        <v>890</v>
      </c>
    </row>
    <row r="71" spans="2:80" x14ac:dyDescent="0.2">
      <c r="C71" t="s">
        <v>242</v>
      </c>
      <c r="E71" t="s">
        <v>891</v>
      </c>
      <c r="F71" t="s">
        <v>891</v>
      </c>
      <c r="G71" t="s">
        <v>891</v>
      </c>
      <c r="H71" t="s">
        <v>891</v>
      </c>
      <c r="I71" t="s">
        <v>891</v>
      </c>
      <c r="J71" t="s">
        <v>891</v>
      </c>
    </row>
    <row r="72" spans="2:80" x14ac:dyDescent="0.2">
      <c r="B72" t="s">
        <v>892</v>
      </c>
      <c r="C72">
        <v>460</v>
      </c>
      <c r="D72" t="s">
        <v>248</v>
      </c>
      <c r="E72">
        <f t="shared" ref="E72:E80" si="2">F72+G72</f>
        <v>0</v>
      </c>
      <c r="CB72">
        <f t="shared" ref="CB72:CB80" si="3">IF(OR(F72&lt;0,G72&lt;0),1,0)</f>
        <v>0</v>
      </c>
    </row>
    <row r="73" spans="2:80" x14ac:dyDescent="0.2">
      <c r="B73" t="s">
        <v>893</v>
      </c>
      <c r="C73">
        <v>470</v>
      </c>
      <c r="D73" t="s">
        <v>248</v>
      </c>
      <c r="E73">
        <f t="shared" si="2"/>
        <v>0</v>
      </c>
      <c r="CB73">
        <f t="shared" si="3"/>
        <v>0</v>
      </c>
    </row>
    <row r="74" spans="2:80" x14ac:dyDescent="0.2">
      <c r="B74" t="s">
        <v>894</v>
      </c>
      <c r="C74">
        <v>480</v>
      </c>
      <c r="D74" t="s">
        <v>248</v>
      </c>
      <c r="E74">
        <f t="shared" si="2"/>
        <v>0</v>
      </c>
      <c r="CB74">
        <f t="shared" si="3"/>
        <v>0</v>
      </c>
    </row>
    <row r="75" spans="2:80" x14ac:dyDescent="0.2">
      <c r="B75" t="s">
        <v>895</v>
      </c>
      <c r="C75">
        <v>490</v>
      </c>
      <c r="D75" t="s">
        <v>248</v>
      </c>
      <c r="E75">
        <f t="shared" si="2"/>
        <v>0</v>
      </c>
      <c r="CB75">
        <f t="shared" si="3"/>
        <v>0</v>
      </c>
    </row>
    <row r="76" spans="2:80" x14ac:dyDescent="0.2">
      <c r="B76" t="s">
        <v>896</v>
      </c>
      <c r="C76">
        <v>500</v>
      </c>
      <c r="D76" t="s">
        <v>248</v>
      </c>
      <c r="E76">
        <f t="shared" si="2"/>
        <v>0</v>
      </c>
      <c r="CB76">
        <f t="shared" si="3"/>
        <v>0</v>
      </c>
    </row>
    <row r="77" spans="2:80" x14ac:dyDescent="0.2">
      <c r="B77" t="s">
        <v>897</v>
      </c>
      <c r="C77">
        <v>510</v>
      </c>
      <c r="D77" t="s">
        <v>248</v>
      </c>
      <c r="E77">
        <f t="shared" si="2"/>
        <v>0</v>
      </c>
      <c r="CB77">
        <f t="shared" si="3"/>
        <v>0</v>
      </c>
    </row>
    <row r="78" spans="2:80" x14ac:dyDescent="0.2">
      <c r="B78" t="s">
        <v>898</v>
      </c>
      <c r="C78">
        <v>520</v>
      </c>
      <c r="D78" t="s">
        <v>248</v>
      </c>
      <c r="E78">
        <f t="shared" si="2"/>
        <v>0</v>
      </c>
      <c r="CB78">
        <f t="shared" si="3"/>
        <v>0</v>
      </c>
    </row>
    <row r="79" spans="2:80" x14ac:dyDescent="0.2">
      <c r="B79" t="s">
        <v>899</v>
      </c>
      <c r="C79">
        <v>530</v>
      </c>
      <c r="D79" t="s">
        <v>248</v>
      </c>
      <c r="E79">
        <f t="shared" si="2"/>
        <v>0</v>
      </c>
      <c r="CB79">
        <f t="shared" si="3"/>
        <v>0</v>
      </c>
    </row>
    <row r="80" spans="2:80" x14ac:dyDescent="0.2">
      <c r="B80" t="s">
        <v>352</v>
      </c>
      <c r="C80">
        <v>540</v>
      </c>
      <c r="D80" t="s">
        <v>248</v>
      </c>
      <c r="E80">
        <f t="shared" si="2"/>
        <v>0</v>
      </c>
      <c r="CB80">
        <f t="shared" si="3"/>
        <v>0</v>
      </c>
    </row>
    <row r="81" spans="2:80" x14ac:dyDescent="0.2">
      <c r="B81" t="s">
        <v>358</v>
      </c>
      <c r="C81">
        <v>550</v>
      </c>
      <c r="D81" t="s">
        <v>248</v>
      </c>
      <c r="E81">
        <f>SUM(E72:E80)</f>
        <v>0</v>
      </c>
      <c r="F81">
        <f>SUM(F72:F80)</f>
        <v>0</v>
      </c>
      <c r="G81">
        <f>SUM(G72:G80)</f>
        <v>0</v>
      </c>
    </row>
    <row r="82" spans="2:80" x14ac:dyDescent="0.2">
      <c r="B82" t="s">
        <v>900</v>
      </c>
      <c r="C82">
        <v>560</v>
      </c>
      <c r="D82" t="s">
        <v>248</v>
      </c>
      <c r="E82">
        <f>F82+G82</f>
        <v>0</v>
      </c>
      <c r="CB82">
        <f>IF(OR(F82&lt;0,G82&lt;0),1,0)</f>
        <v>0</v>
      </c>
    </row>
    <row r="86" spans="2:80" x14ac:dyDescent="0.2">
      <c r="D86" t="s">
        <v>25</v>
      </c>
      <c r="E86" t="s">
        <v>235</v>
      </c>
      <c r="F86" t="s">
        <v>236</v>
      </c>
    </row>
    <row r="87" spans="2:80" x14ac:dyDescent="0.2">
      <c r="B87" t="s">
        <v>901</v>
      </c>
      <c r="E87" t="s">
        <v>340</v>
      </c>
      <c r="F87" t="s">
        <v>340</v>
      </c>
    </row>
    <row r="88" spans="2:80" x14ac:dyDescent="0.2">
      <c r="C88" t="s">
        <v>238</v>
      </c>
      <c r="F88" t="s">
        <v>240</v>
      </c>
    </row>
    <row r="89" spans="2:80" x14ac:dyDescent="0.2">
      <c r="C89" t="s">
        <v>242</v>
      </c>
      <c r="E89" t="s">
        <v>891</v>
      </c>
      <c r="F89" t="s">
        <v>891</v>
      </c>
    </row>
    <row r="90" spans="2:80" x14ac:dyDescent="0.2">
      <c r="B90" t="s">
        <v>2968</v>
      </c>
      <c r="C90">
        <v>570</v>
      </c>
      <c r="D90" t="s">
        <v>248</v>
      </c>
      <c r="CB90">
        <f>IF(E90&lt;0,1,0)</f>
        <v>0</v>
      </c>
    </row>
    <row r="91" spans="2:80" x14ac:dyDescent="0.2">
      <c r="B91" t="s">
        <v>2969</v>
      </c>
      <c r="C91">
        <v>580</v>
      </c>
      <c r="D91" t="s">
        <v>248</v>
      </c>
      <c r="CB91">
        <f>IF(E91&lt;0,1,0)</f>
        <v>0</v>
      </c>
    </row>
    <row r="92" spans="2:80" x14ac:dyDescent="0.2">
      <c r="B92" t="s">
        <v>2970</v>
      </c>
      <c r="C92">
        <v>590</v>
      </c>
      <c r="D92" t="s">
        <v>248</v>
      </c>
      <c r="E92">
        <f>IF(OR(E90=0,E91=0),0,E90/E91)</f>
        <v>0</v>
      </c>
      <c r="F92">
        <f>IF(OR(F90=0,F91=0),0,F90/F91)</f>
        <v>0</v>
      </c>
    </row>
    <row r="93" spans="2:80" x14ac:dyDescent="0.2">
      <c r="B93" t="s">
        <v>2971</v>
      </c>
      <c r="C93">
        <v>592</v>
      </c>
      <c r="D93" t="s">
        <v>248</v>
      </c>
      <c r="CB93">
        <f>IF(E93&lt;0,1,0)</f>
        <v>0</v>
      </c>
    </row>
    <row r="94" spans="2:80" x14ac:dyDescent="0.2">
      <c r="B94" t="s">
        <v>2972</v>
      </c>
      <c r="C94">
        <v>594</v>
      </c>
      <c r="D94" t="s">
        <v>248</v>
      </c>
      <c r="CB94">
        <f>IF(E94&lt;0,1,0)</f>
        <v>0</v>
      </c>
    </row>
    <row r="96" spans="2:80" x14ac:dyDescent="0.2">
      <c r="C96" t="s">
        <v>238</v>
      </c>
      <c r="D96" t="s">
        <v>25</v>
      </c>
      <c r="E96" t="s">
        <v>235</v>
      </c>
      <c r="F96" t="s">
        <v>236</v>
      </c>
      <c r="G96" t="s">
        <v>293</v>
      </c>
      <c r="H96" t="s">
        <v>294</v>
      </c>
    </row>
    <row r="97" spans="2:80" x14ac:dyDescent="0.2">
      <c r="B97" t="s">
        <v>106</v>
      </c>
      <c r="C97" t="s">
        <v>242</v>
      </c>
      <c r="E97" t="s">
        <v>891</v>
      </c>
      <c r="F97" t="s">
        <v>243</v>
      </c>
      <c r="G97" t="s">
        <v>891</v>
      </c>
      <c r="H97" t="s">
        <v>243</v>
      </c>
    </row>
    <row r="98" spans="2:80" x14ac:dyDescent="0.2">
      <c r="E98" t="s">
        <v>907</v>
      </c>
      <c r="F98" t="s">
        <v>907</v>
      </c>
      <c r="G98" t="s">
        <v>240</v>
      </c>
      <c r="H98" t="s">
        <v>240</v>
      </c>
    </row>
    <row r="99" spans="2:80" x14ac:dyDescent="0.2">
      <c r="B99" t="s">
        <v>908</v>
      </c>
    </row>
    <row r="100" spans="2:80" x14ac:dyDescent="0.2">
      <c r="B100" t="s">
        <v>909</v>
      </c>
      <c r="C100">
        <v>600</v>
      </c>
      <c r="D100" t="s">
        <v>248</v>
      </c>
      <c r="CB100">
        <f>IF(OR(E100&lt;0,F100&lt;0),1,0)</f>
        <v>0</v>
      </c>
    </row>
    <row r="101" spans="2:80" x14ac:dyDescent="0.2">
      <c r="B101" t="s">
        <v>910</v>
      </c>
      <c r="C101">
        <v>610</v>
      </c>
      <c r="D101" t="s">
        <v>248</v>
      </c>
      <c r="CB101">
        <f>IF(OR(E101&lt;0,F101&lt;0),1,0)</f>
        <v>0</v>
      </c>
    </row>
    <row r="102" spans="2:80" x14ac:dyDescent="0.2">
      <c r="B102" t="s">
        <v>911</v>
      </c>
      <c r="C102">
        <v>620</v>
      </c>
      <c r="D102" t="s">
        <v>912</v>
      </c>
      <c r="E102">
        <f>IF(E100=0,0,(E101*100/E100))</f>
        <v>0</v>
      </c>
      <c r="F102">
        <f>IF(F100=0,0,(F101*100/F100))</f>
        <v>0</v>
      </c>
      <c r="G102">
        <f>IF(G100=0,0,(G101*100/G100))</f>
        <v>0</v>
      </c>
      <c r="H102">
        <f>IF(H100=0,0,(H101*100/H100))</f>
        <v>0</v>
      </c>
    </row>
    <row r="103" spans="2:80" x14ac:dyDescent="0.2">
      <c r="B103" t="s">
        <v>913</v>
      </c>
    </row>
    <row r="104" spans="2:80" x14ac:dyDescent="0.2">
      <c r="B104" t="s">
        <v>914</v>
      </c>
      <c r="C104">
        <v>630</v>
      </c>
      <c r="D104" t="s">
        <v>248</v>
      </c>
      <c r="CB104">
        <f>IF(OR(E104&lt;0,F104&lt;0),1,0)</f>
        <v>0</v>
      </c>
    </row>
    <row r="105" spans="2:80" x14ac:dyDescent="0.2">
      <c r="B105" t="s">
        <v>915</v>
      </c>
      <c r="C105">
        <v>640</v>
      </c>
      <c r="D105" t="s">
        <v>248</v>
      </c>
      <c r="CB105">
        <f>IF(OR(E105&lt;0,F105&lt;0),1,0)</f>
        <v>0</v>
      </c>
    </row>
    <row r="106" spans="2:80" x14ac:dyDescent="0.2">
      <c r="B106" t="s">
        <v>916</v>
      </c>
      <c r="C106">
        <v>650</v>
      </c>
      <c r="D106" t="s">
        <v>912</v>
      </c>
      <c r="E106">
        <f>IF(E104=0,0,(E105*100/E104))</f>
        <v>0</v>
      </c>
      <c r="F106">
        <f>IF(F104=0,0,(F105*100/F104))</f>
        <v>0</v>
      </c>
      <c r="G106">
        <f>IF(G104=0,0,(G105*100/G104))</f>
        <v>0</v>
      </c>
      <c r="H106">
        <f>IF(H104=0,0,(H105*100/H104))</f>
        <v>0</v>
      </c>
    </row>
    <row r="110" spans="2:80" x14ac:dyDescent="0.2">
      <c r="D110" t="s">
        <v>25</v>
      </c>
      <c r="E110" t="s">
        <v>235</v>
      </c>
      <c r="F110" t="s">
        <v>236</v>
      </c>
    </row>
    <row r="111" spans="2:80" x14ac:dyDescent="0.2">
      <c r="B111" t="s">
        <v>917</v>
      </c>
      <c r="C111" t="s">
        <v>238</v>
      </c>
      <c r="E111" t="s">
        <v>300</v>
      </c>
      <c r="F111" t="s">
        <v>918</v>
      </c>
    </row>
    <row r="112" spans="2:80" x14ac:dyDescent="0.2">
      <c r="C112" t="s">
        <v>242</v>
      </c>
      <c r="E112" t="s">
        <v>243</v>
      </c>
      <c r="F112" t="s">
        <v>243</v>
      </c>
    </row>
    <row r="113" spans="2:82" x14ac:dyDescent="0.2">
      <c r="B113" t="s">
        <v>919</v>
      </c>
    </row>
    <row r="114" spans="2:82" x14ac:dyDescent="0.2">
      <c r="B114" t="s">
        <v>2973</v>
      </c>
      <c r="C114">
        <v>660</v>
      </c>
      <c r="D114" t="s">
        <v>248</v>
      </c>
      <c r="CB114">
        <f>IF(E114&lt;0,1,0)</f>
        <v>0</v>
      </c>
    </row>
    <row r="115" spans="2:82" x14ac:dyDescent="0.2">
      <c r="B115" t="s">
        <v>921</v>
      </c>
    </row>
    <row r="116" spans="2:82" x14ac:dyDescent="0.2">
      <c r="B116" t="s">
        <v>2974</v>
      </c>
      <c r="C116">
        <v>670</v>
      </c>
      <c r="D116" t="s">
        <v>248</v>
      </c>
      <c r="CB116">
        <f>IF(E116&lt;0,1,0)</f>
        <v>0</v>
      </c>
    </row>
    <row r="120" spans="2:82" x14ac:dyDescent="0.2">
      <c r="D120" t="s">
        <v>25</v>
      </c>
      <c r="E120" t="s">
        <v>235</v>
      </c>
      <c r="F120" t="s">
        <v>236</v>
      </c>
      <c r="G120" t="s">
        <v>293</v>
      </c>
    </row>
    <row r="121" spans="2:82" x14ac:dyDescent="0.2">
      <c r="B121" t="s">
        <v>923</v>
      </c>
      <c r="C121" t="s">
        <v>238</v>
      </c>
      <c r="E121" t="s">
        <v>300</v>
      </c>
      <c r="F121" t="s">
        <v>918</v>
      </c>
      <c r="G121" t="s">
        <v>241</v>
      </c>
    </row>
    <row r="122" spans="2:82" x14ac:dyDescent="0.2">
      <c r="C122" t="s">
        <v>242</v>
      </c>
      <c r="E122" t="s">
        <v>243</v>
      </c>
      <c r="F122" t="s">
        <v>243</v>
      </c>
      <c r="G122" t="s">
        <v>243</v>
      </c>
    </row>
    <row r="123" spans="2:82" x14ac:dyDescent="0.2">
      <c r="B123" t="s">
        <v>924</v>
      </c>
      <c r="C123">
        <v>680</v>
      </c>
      <c r="D123" t="s">
        <v>248</v>
      </c>
      <c r="G123">
        <f>E123</f>
        <v>0</v>
      </c>
      <c r="CB123">
        <f>IF(OR(E123&lt;0,F123&lt;0),1,0)</f>
        <v>0</v>
      </c>
      <c r="CD123">
        <f>IF(AND(COUNTA(E123),COUNTA(F123)),0,1)</f>
        <v>1</v>
      </c>
    </row>
    <row r="124" spans="2:82" x14ac:dyDescent="0.2">
      <c r="B124" t="s">
        <v>925</v>
      </c>
      <c r="C124">
        <v>690</v>
      </c>
      <c r="D124" t="s">
        <v>245</v>
      </c>
      <c r="G124">
        <f>E124</f>
        <v>0</v>
      </c>
      <c r="CA124">
        <f>IF(OR(E124&gt;0,F124&gt;0,G124&gt;0),1,0)</f>
        <v>0</v>
      </c>
    </row>
    <row r="125" spans="2:82" x14ac:dyDescent="0.2">
      <c r="B125" t="s">
        <v>926</v>
      </c>
      <c r="C125">
        <v>700</v>
      </c>
      <c r="D125" t="s">
        <v>251</v>
      </c>
      <c r="E125">
        <f>SUM(E123:E124)</f>
        <v>0</v>
      </c>
      <c r="F125">
        <f>SUM(F123:F124)</f>
        <v>0</v>
      </c>
      <c r="G125">
        <f>SUM(G123:G124)</f>
        <v>0</v>
      </c>
    </row>
  </sheetData>
  <sheetProtection sheet="1" objects="1" scenarios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CE48"/>
  <sheetViews>
    <sheetView zoomScale="70" zoomScaleNormal="70" workbookViewId="0"/>
  </sheetViews>
  <sheetFormatPr defaultRowHeight="12.75" x14ac:dyDescent="0.2"/>
  <sheetData>
    <row r="1" spans="1:83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3" x14ac:dyDescent="0.2">
      <c r="A2" t="s">
        <v>3727</v>
      </c>
    </row>
    <row r="3" spans="1:83" x14ac:dyDescent="0.2">
      <c r="A3" t="s">
        <v>3764</v>
      </c>
    </row>
    <row r="4" spans="1:83" x14ac:dyDescent="0.2">
      <c r="B4" t="s">
        <v>931</v>
      </c>
    </row>
    <row r="5" spans="1:83" x14ac:dyDescent="0.2">
      <c r="B5" t="s">
        <v>66</v>
      </c>
      <c r="CA5" t="s">
        <v>230</v>
      </c>
      <c r="CB5">
        <f>0</f>
        <v>0</v>
      </c>
      <c r="CD5" t="s">
        <v>932</v>
      </c>
      <c r="CE5" t="s">
        <v>932</v>
      </c>
    </row>
    <row r="6" spans="1:83" x14ac:dyDescent="0.2">
      <c r="B6" t="s">
        <v>955</v>
      </c>
      <c r="CA6" t="s">
        <v>231</v>
      </c>
      <c r="CB6" t="s">
        <v>232</v>
      </c>
      <c r="CD6" t="s">
        <v>934</v>
      </c>
      <c r="CE6" t="s">
        <v>935</v>
      </c>
    </row>
    <row r="7" spans="1:83" x14ac:dyDescent="0.2">
      <c r="D7" t="s">
        <v>2975</v>
      </c>
      <c r="E7" t="s">
        <v>2976</v>
      </c>
      <c r="F7" t="s">
        <v>2977</v>
      </c>
      <c r="G7" t="s">
        <v>2978</v>
      </c>
      <c r="H7" t="s">
        <v>2979</v>
      </c>
      <c r="I7" t="s">
        <v>2980</v>
      </c>
      <c r="J7" t="s">
        <v>2981</v>
      </c>
      <c r="K7" t="s">
        <v>2982</v>
      </c>
      <c r="CD7">
        <f>SUM(CD10:CD16)</f>
        <v>0</v>
      </c>
      <c r="CE7">
        <f>SUM(CE10:CE16)</f>
        <v>0</v>
      </c>
    </row>
    <row r="8" spans="1:83" x14ac:dyDescent="0.2">
      <c r="B8" t="s">
        <v>936</v>
      </c>
      <c r="C8" t="s">
        <v>937</v>
      </c>
      <c r="D8" t="s">
        <v>938</v>
      </c>
      <c r="E8" t="s">
        <v>939</v>
      </c>
      <c r="F8" t="s">
        <v>940</v>
      </c>
      <c r="G8" t="s">
        <v>941</v>
      </c>
      <c r="H8" t="s">
        <v>942</v>
      </c>
      <c r="I8" t="s">
        <v>943</v>
      </c>
      <c r="J8" t="s">
        <v>944</v>
      </c>
      <c r="K8" t="s">
        <v>945</v>
      </c>
    </row>
    <row r="9" spans="1:83" x14ac:dyDescent="0.2">
      <c r="D9" t="s">
        <v>946</v>
      </c>
      <c r="E9" t="s">
        <v>947</v>
      </c>
      <c r="F9" t="s">
        <v>946</v>
      </c>
      <c r="G9" t="s">
        <v>947</v>
      </c>
      <c r="H9" t="s">
        <v>946</v>
      </c>
      <c r="I9" t="s">
        <v>947</v>
      </c>
      <c r="J9" t="s">
        <v>946</v>
      </c>
      <c r="K9" t="s">
        <v>947</v>
      </c>
    </row>
    <row r="10" spans="1:83" x14ac:dyDescent="0.2">
      <c r="B10" t="s">
        <v>948</v>
      </c>
      <c r="C10">
        <v>100</v>
      </c>
      <c r="H10">
        <f t="shared" ref="H10:I16" si="0">D10+F10</f>
        <v>0</v>
      </c>
      <c r="I10">
        <f t="shared" si="0"/>
        <v>0</v>
      </c>
      <c r="CD10">
        <f>IF(AND(D10=0,E10=0),0,IF(AND(D10=0,E10&gt;0),1,IF(AND(D10&gt;0,E10=0),1,IF(E10/D10&gt;=10000,1,0))))</f>
        <v>0</v>
      </c>
      <c r="CE10">
        <f>IF(AND(F10=0,G10=0),0,IF(AND(F10=0,G10&gt;0),1,IF(AND(F10&gt;0,G10=0),1,IF(G10/F10&gt;=10000,1,0))))</f>
        <v>0</v>
      </c>
    </row>
    <row r="11" spans="1:83" x14ac:dyDescent="0.2">
      <c r="B11" t="s">
        <v>949</v>
      </c>
      <c r="C11">
        <v>110</v>
      </c>
      <c r="H11">
        <f t="shared" si="0"/>
        <v>0</v>
      </c>
      <c r="I11">
        <f t="shared" si="0"/>
        <v>0</v>
      </c>
      <c r="CD11">
        <f>IF(AND(D11=0,E11=0),0,IF(AND(D11=0,E11&gt;0),1,IF(AND(D11&gt;0,E11=0),1,IF(OR(E11/D11&lt;10000,E11/D11&gt;25000),1,0))))</f>
        <v>0</v>
      </c>
      <c r="CE11">
        <f>IF(AND(F11=0,G11=0),0,IF(AND(F11=0,G11&gt;0),1,IF(AND(F11&gt;0,G11=0),1,IF(OR(G11/F11&lt;10000,G11/F11&gt;25000),1,0))))</f>
        <v>0</v>
      </c>
    </row>
    <row r="12" spans="1:83" x14ac:dyDescent="0.2">
      <c r="B12" t="s">
        <v>950</v>
      </c>
      <c r="C12">
        <v>120</v>
      </c>
      <c r="H12">
        <f t="shared" si="0"/>
        <v>0</v>
      </c>
      <c r="I12">
        <f t="shared" si="0"/>
        <v>0</v>
      </c>
      <c r="CD12">
        <f>IF(AND(D12=0,E12=0),0,IF(AND(D12=0,E12&gt;0),1,IF(AND(D12&gt;0,E12=0),1,IF(OR(E12/D12&lt;25001,E12/D12&gt;50000),1,0))))</f>
        <v>0</v>
      </c>
      <c r="CE12">
        <f>IF(AND(F12=0,G12=0),0,IF(AND(F12=0,G12&gt;0),1,IF(AND(F12&gt;0,G12=0),1,IF(OR(G12/F12&lt;25001,G12/F12&gt;50000),1,0))))</f>
        <v>0</v>
      </c>
    </row>
    <row r="13" spans="1:83" x14ac:dyDescent="0.2">
      <c r="B13" t="s">
        <v>951</v>
      </c>
      <c r="C13">
        <v>130</v>
      </c>
      <c r="H13">
        <f t="shared" si="0"/>
        <v>0</v>
      </c>
      <c r="I13">
        <f t="shared" si="0"/>
        <v>0</v>
      </c>
      <c r="CD13">
        <f>IF(AND(D13=0,E13=0),0,IF(AND(D13=0,E13&gt;0),1,IF(AND(D13&gt;0,E13=0),1,IF(OR(E13/D13&lt;50001,E13/D13&gt;100000),1,0))))</f>
        <v>0</v>
      </c>
      <c r="CE13">
        <f>IF(AND(F13=0,G13=0),0,IF(AND(F13=0,G13&gt;0),1,IF(AND(F13&gt;0,G13=0),1,IF(OR(G13/F13&lt;50001,G13/F13&gt;100000),1,0))))</f>
        <v>0</v>
      </c>
    </row>
    <row r="14" spans="1:83" x14ac:dyDescent="0.2">
      <c r="B14" t="s">
        <v>952</v>
      </c>
      <c r="C14">
        <v>140</v>
      </c>
      <c r="H14">
        <f t="shared" si="0"/>
        <v>0</v>
      </c>
      <c r="I14">
        <f t="shared" si="0"/>
        <v>0</v>
      </c>
      <c r="CD14">
        <f>IF(AND(D14=0,E14=0),0,IF(AND(D14=0,E14&gt;0),1,IF(AND(D14&gt;0,E14=0),1,IF(OR(E14/D14&lt;100001,E14/D14&gt;150000),1,0))))</f>
        <v>0</v>
      </c>
      <c r="CE14">
        <f>IF(AND(F14=0,G14=0),0,IF(AND(F14=0,G14&gt;0),1,IF(AND(F14&gt;0,G14=0),1,IF(OR(G14/F14&lt;100001,G14/F14&gt;150000),1,0))))</f>
        <v>0</v>
      </c>
    </row>
    <row r="15" spans="1:83" x14ac:dyDescent="0.2">
      <c r="B15" t="s">
        <v>953</v>
      </c>
      <c r="C15">
        <v>150</v>
      </c>
      <c r="H15">
        <f t="shared" si="0"/>
        <v>0</v>
      </c>
      <c r="I15">
        <f t="shared" si="0"/>
        <v>0</v>
      </c>
      <c r="CD15">
        <f>IF(AND(D15=0,E15=0),0,IF(AND(D15=0,E15&gt;0),1,IF(AND(D15&gt;0,E15=0),1,IF(OR(E15/D15&lt;150001,E15/D15&gt;200000),1,0))))</f>
        <v>0</v>
      </c>
      <c r="CE15">
        <f>IF(AND(F15=0,G15=0),0,IF(AND(F15=0,G15&gt;0),1,IF(AND(F15&gt;0,G15=0),1,IF(OR(G15/F15&lt;150001,G15/F15&gt;200000),1,0))))</f>
        <v>0</v>
      </c>
    </row>
    <row r="16" spans="1:83" x14ac:dyDescent="0.2">
      <c r="B16" t="s">
        <v>954</v>
      </c>
      <c r="C16">
        <v>160</v>
      </c>
      <c r="H16">
        <f t="shared" si="0"/>
        <v>0</v>
      </c>
      <c r="I16">
        <f t="shared" si="0"/>
        <v>0</v>
      </c>
      <c r="CD16">
        <f>IF(AND(D16=0,E16=0),0,IF(AND(D16=0,E16&gt;0),1,IF(AND(D16&gt;0,E16=0),1,IF(E16/D16&lt;200001,1,0))))</f>
        <v>0</v>
      </c>
      <c r="CE16">
        <f>IF(AND(F16=0,G16=0),0,IF(AND(F16=0,G16&gt;0),1,IF(AND(F16&gt;0,G16=0),1,IF(G16/F16&lt;200001,1,0))))</f>
        <v>0</v>
      </c>
    </row>
    <row r="17" spans="2:11" x14ac:dyDescent="0.2">
      <c r="B17" t="s">
        <v>340</v>
      </c>
      <c r="C17">
        <v>170</v>
      </c>
      <c r="D17">
        <f t="shared" ref="D17:K17" si="1">SUM(D10:D16)</f>
        <v>0</v>
      </c>
      <c r="E17">
        <f t="shared" si="1"/>
        <v>0</v>
      </c>
      <c r="F17">
        <f t="shared" si="1"/>
        <v>0</v>
      </c>
      <c r="G17">
        <f t="shared" si="1"/>
        <v>0</v>
      </c>
      <c r="H17">
        <f t="shared" si="1"/>
        <v>0</v>
      </c>
      <c r="I17">
        <f t="shared" si="1"/>
        <v>0</v>
      </c>
      <c r="J17">
        <f t="shared" si="1"/>
        <v>0</v>
      </c>
      <c r="K17">
        <f t="shared" si="1"/>
        <v>0</v>
      </c>
    </row>
    <row r="20" spans="2:11" x14ac:dyDescent="0.2">
      <c r="B20" t="s">
        <v>2983</v>
      </c>
    </row>
    <row r="21" spans="2:11" x14ac:dyDescent="0.2">
      <c r="D21" t="s">
        <v>2975</v>
      </c>
      <c r="E21" t="s">
        <v>2976</v>
      </c>
      <c r="F21" t="s">
        <v>2977</v>
      </c>
      <c r="G21" t="s">
        <v>2978</v>
      </c>
      <c r="H21" t="s">
        <v>2979</v>
      </c>
      <c r="I21" t="s">
        <v>2980</v>
      </c>
      <c r="J21" t="s">
        <v>2981</v>
      </c>
      <c r="K21" t="s">
        <v>2982</v>
      </c>
    </row>
    <row r="22" spans="2:11" x14ac:dyDescent="0.2">
      <c r="B22" t="s">
        <v>936</v>
      </c>
      <c r="C22" t="s">
        <v>937</v>
      </c>
      <c r="D22" t="s">
        <v>938</v>
      </c>
      <c r="E22" t="s">
        <v>939</v>
      </c>
      <c r="F22" t="s">
        <v>940</v>
      </c>
      <c r="G22" t="s">
        <v>941</v>
      </c>
      <c r="H22" t="s">
        <v>942</v>
      </c>
      <c r="I22" t="s">
        <v>943</v>
      </c>
      <c r="J22" t="s">
        <v>944</v>
      </c>
      <c r="K22" t="s">
        <v>945</v>
      </c>
    </row>
    <row r="23" spans="2:11" x14ac:dyDescent="0.2">
      <c r="D23" t="s">
        <v>891</v>
      </c>
      <c r="E23" t="s">
        <v>947</v>
      </c>
      <c r="F23" t="s">
        <v>891</v>
      </c>
      <c r="G23" t="s">
        <v>947</v>
      </c>
      <c r="H23" t="s">
        <v>891</v>
      </c>
      <c r="I23" t="s">
        <v>947</v>
      </c>
      <c r="J23" t="s">
        <v>891</v>
      </c>
      <c r="K23" t="s">
        <v>947</v>
      </c>
    </row>
    <row r="24" spans="2:11" x14ac:dyDescent="0.2">
      <c r="B24" t="s">
        <v>948</v>
      </c>
      <c r="C24">
        <v>200</v>
      </c>
    </row>
    <row r="25" spans="2:11" x14ac:dyDescent="0.2">
      <c r="B25" t="s">
        <v>956</v>
      </c>
      <c r="C25">
        <v>210</v>
      </c>
    </row>
    <row r="26" spans="2:11" x14ac:dyDescent="0.2">
      <c r="B26" t="s">
        <v>950</v>
      </c>
      <c r="C26">
        <v>220</v>
      </c>
    </row>
    <row r="27" spans="2:11" x14ac:dyDescent="0.2">
      <c r="B27" t="s">
        <v>951</v>
      </c>
      <c r="C27">
        <v>230</v>
      </c>
    </row>
    <row r="28" spans="2:11" x14ac:dyDescent="0.2">
      <c r="B28" t="s">
        <v>952</v>
      </c>
      <c r="C28">
        <v>240</v>
      </c>
    </row>
    <row r="29" spans="2:11" x14ac:dyDescent="0.2">
      <c r="B29" t="s">
        <v>953</v>
      </c>
      <c r="C29">
        <v>250</v>
      </c>
    </row>
    <row r="30" spans="2:11" x14ac:dyDescent="0.2">
      <c r="B30" t="s">
        <v>954</v>
      </c>
      <c r="C30">
        <v>260</v>
      </c>
    </row>
    <row r="31" spans="2:11" x14ac:dyDescent="0.2">
      <c r="B31" t="s">
        <v>340</v>
      </c>
      <c r="C31">
        <v>270</v>
      </c>
    </row>
    <row r="35" spans="2:5" x14ac:dyDescent="0.2">
      <c r="D35" t="s">
        <v>2975</v>
      </c>
      <c r="E35" t="s">
        <v>2976</v>
      </c>
    </row>
    <row r="36" spans="2:5" x14ac:dyDescent="0.2">
      <c r="B36" t="s">
        <v>2984</v>
      </c>
      <c r="C36" t="s">
        <v>238</v>
      </c>
      <c r="D36" t="s">
        <v>959</v>
      </c>
      <c r="E36" t="s">
        <v>960</v>
      </c>
    </row>
    <row r="37" spans="2:5" x14ac:dyDescent="0.2">
      <c r="C37" t="s">
        <v>242</v>
      </c>
      <c r="D37" t="s">
        <v>891</v>
      </c>
      <c r="E37" t="s">
        <v>243</v>
      </c>
    </row>
    <row r="38" spans="2:5" x14ac:dyDescent="0.2">
      <c r="B38" t="s">
        <v>963</v>
      </c>
      <c r="C38">
        <v>280</v>
      </c>
    </row>
    <row r="39" spans="2:5" x14ac:dyDescent="0.2">
      <c r="B39" t="s">
        <v>964</v>
      </c>
      <c r="C39">
        <v>290</v>
      </c>
    </row>
    <row r="40" spans="2:5" x14ac:dyDescent="0.2">
      <c r="B40" t="s">
        <v>965</v>
      </c>
      <c r="C40">
        <v>300</v>
      </c>
    </row>
    <row r="41" spans="2:5" x14ac:dyDescent="0.2">
      <c r="B41" t="s">
        <v>966</v>
      </c>
      <c r="C41">
        <v>310</v>
      </c>
    </row>
    <row r="42" spans="2:5" x14ac:dyDescent="0.2">
      <c r="B42" t="s">
        <v>967</v>
      </c>
      <c r="C42">
        <v>320</v>
      </c>
    </row>
    <row r="43" spans="2:5" x14ac:dyDescent="0.2">
      <c r="B43" t="s">
        <v>968</v>
      </c>
      <c r="C43">
        <v>330</v>
      </c>
    </row>
    <row r="44" spans="2:5" x14ac:dyDescent="0.2">
      <c r="B44" t="s">
        <v>340</v>
      </c>
      <c r="C44">
        <v>340</v>
      </c>
      <c r="D44">
        <f>SUM(D38:D43)</f>
        <v>0</v>
      </c>
      <c r="E44">
        <f>SUM(E38:E43)</f>
        <v>0</v>
      </c>
    </row>
    <row r="45" spans="2:5" x14ac:dyDescent="0.2">
      <c r="B45" t="s">
        <v>969</v>
      </c>
      <c r="C45">
        <v>350</v>
      </c>
    </row>
    <row r="46" spans="2:5" x14ac:dyDescent="0.2">
      <c r="B46" t="s">
        <v>970</v>
      </c>
    </row>
    <row r="47" spans="2:5" x14ac:dyDescent="0.2">
      <c r="B47" t="s">
        <v>971</v>
      </c>
    </row>
    <row r="48" spans="2:5" x14ac:dyDescent="0.2">
      <c r="B48" t="s">
        <v>972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141"/>
  <sheetViews>
    <sheetView zoomScale="70" zoomScaleNormal="70" workbookViewId="0">
      <pane ySplit="9" topLeftCell="A10" activePane="bottomLeft" state="frozen"/>
      <selection pane="bottomLeft" activeCell="A26" sqref="A26:XFD26"/>
    </sheetView>
  </sheetViews>
  <sheetFormatPr defaultRowHeight="12.75" x14ac:dyDescent="0.2"/>
  <cols>
    <col min="1" max="1" width="4.28515625" customWidth="1"/>
    <col min="2" max="2" width="23.42578125" customWidth="1"/>
    <col min="3" max="3" width="103.7109375" customWidth="1"/>
    <col min="4" max="4" width="20.7109375" hidden="1" customWidth="1"/>
    <col min="5" max="5" width="17" customWidth="1"/>
    <col min="9" max="9" width="17.28515625" hidden="1" customWidth="1"/>
    <col min="10" max="11" width="17.28515625" customWidth="1"/>
  </cols>
  <sheetData>
    <row r="1" spans="1:9" ht="15.75" x14ac:dyDescent="0.25">
      <c r="A1" s="1131" t="s">
        <v>3726</v>
      </c>
      <c r="B1" s="1130" t="str">
        <f>OrgName</f>
        <v>ZZZ NHS TRUST</v>
      </c>
      <c r="C1" s="1122"/>
      <c r="D1" s="1122"/>
      <c r="E1" s="1127"/>
      <c r="I1" t="str">
        <f>RIGHT(A2,12)</f>
        <v>2014/2015P13</v>
      </c>
    </row>
    <row r="2" spans="1:9" x14ac:dyDescent="0.2">
      <c r="A2" s="1131" t="s">
        <v>3727</v>
      </c>
      <c r="B2" s="1121" t="str">
        <f>"Org Code: " &amp; Orgcode</f>
        <v>Org Code: ZZZ</v>
      </c>
      <c r="C2" s="1119"/>
      <c r="D2" s="1120"/>
      <c r="E2" s="1128"/>
      <c r="I2" t="str">
        <f>IF(LEFT(I1,9)="2014/2015","1415",IF(LEFT(I1,9)="2015/2016","1516",IF(LEFT(I1,9)="2016/2017","1617",IF(LEFT(I1,9)="2017/2018","1718","1819"))))</f>
        <v>1415</v>
      </c>
    </row>
    <row r="3" spans="1:9" x14ac:dyDescent="0.2">
      <c r="A3" s="1131" t="s">
        <v>3728</v>
      </c>
      <c r="B3" s="1124" t="s">
        <v>3725</v>
      </c>
      <c r="C3" s="1125"/>
      <c r="D3" s="1125"/>
      <c r="E3" s="1129"/>
      <c r="I3" t="str">
        <f>RIGHT(A2,3)</f>
        <v>P13</v>
      </c>
    </row>
    <row r="4" spans="1:9" x14ac:dyDescent="0.2">
      <c r="B4" s="103" t="s">
        <v>65</v>
      </c>
      <c r="C4" s="103"/>
      <c r="E4" s="101"/>
      <c r="I4" s="106"/>
    </row>
    <row r="5" spans="1:9" x14ac:dyDescent="0.2">
      <c r="B5" s="103" t="s">
        <v>66</v>
      </c>
      <c r="C5" s="103"/>
      <c r="E5" s="101"/>
      <c r="I5" s="106"/>
    </row>
    <row r="6" spans="1:9" x14ac:dyDescent="0.2">
      <c r="A6" s="105"/>
      <c r="B6" s="107"/>
      <c r="E6" s="108"/>
      <c r="I6" s="109"/>
    </row>
    <row r="7" spans="1:9" ht="13.5" thickBot="1" x14ac:dyDescent="0.25">
      <c r="B7" s="97"/>
      <c r="C7" s="97"/>
      <c r="D7" s="97"/>
      <c r="E7" s="101"/>
      <c r="I7" s="109"/>
    </row>
    <row r="8" spans="1:9" ht="27" thickTop="1" thickBot="1" x14ac:dyDescent="0.25">
      <c r="B8" s="116" t="s">
        <v>67</v>
      </c>
      <c r="C8" s="118" t="s">
        <v>68</v>
      </c>
      <c r="D8" s="121" t="s">
        <v>69</v>
      </c>
      <c r="E8" s="123" t="s">
        <v>70</v>
      </c>
    </row>
    <row r="9" spans="1:9" ht="14.25" thickTop="1" thickBot="1" x14ac:dyDescent="0.25">
      <c r="B9" s="117" t="s">
        <v>71</v>
      </c>
      <c r="C9" s="120"/>
      <c r="D9" s="122"/>
      <c r="E9" s="125"/>
      <c r="I9" t="s">
        <v>72</v>
      </c>
    </row>
    <row r="10" spans="1:9" ht="15" customHeight="1" x14ac:dyDescent="0.2">
      <c r="B10" s="1176" t="str">
        <f>HYPERLINK(CHAR(35)&amp;$I$2&amp;I10&amp;"_"&amp;$I$3&amp;"!A1",I10)</f>
        <v>TRU01_CNE</v>
      </c>
      <c r="C10" s="113" t="s">
        <v>74</v>
      </c>
      <c r="D10" s="127" t="s">
        <v>75</v>
      </c>
      <c r="E10" s="129" t="s">
        <v>76</v>
      </c>
      <c r="I10" s="103" t="s">
        <v>73</v>
      </c>
    </row>
    <row r="11" spans="1:9" ht="15" customHeight="1" x14ac:dyDescent="0.2">
      <c r="B11" s="130"/>
      <c r="C11" s="112" t="s">
        <v>77</v>
      </c>
      <c r="D11" s="132" t="s">
        <v>75</v>
      </c>
      <c r="E11" s="135" t="s">
        <v>78</v>
      </c>
      <c r="I11" s="103"/>
    </row>
    <row r="12" spans="1:9" ht="15" customHeight="1" x14ac:dyDescent="0.2">
      <c r="B12" s="130"/>
      <c r="C12" s="112" t="s">
        <v>79</v>
      </c>
      <c r="D12" s="132" t="s">
        <v>75</v>
      </c>
      <c r="E12" s="135" t="s">
        <v>78</v>
      </c>
      <c r="I12" s="103"/>
    </row>
    <row r="13" spans="1:9" ht="15" customHeight="1" thickBot="1" x14ac:dyDescent="0.25">
      <c r="B13" s="136"/>
      <c r="C13" s="137" t="s">
        <v>80</v>
      </c>
      <c r="D13" s="138" t="s">
        <v>75</v>
      </c>
      <c r="E13" s="141" t="s">
        <v>76</v>
      </c>
    </row>
    <row r="14" spans="1:9" ht="15" customHeight="1" thickBot="1" x14ac:dyDescent="0.25">
      <c r="B14" s="1173" t="str">
        <f>HYPERLINK(CHAR(35)&amp;$I$2&amp;I14&amp;"_"&amp;$I$3&amp;"!A1",I14)</f>
        <v>TRU02_SFP</v>
      </c>
      <c r="C14" s="113" t="s">
        <v>82</v>
      </c>
      <c r="D14" s="142" t="s">
        <v>75</v>
      </c>
      <c r="E14" s="129" t="s">
        <v>78</v>
      </c>
      <c r="I14" s="103" t="s">
        <v>81</v>
      </c>
    </row>
    <row r="15" spans="1:9" ht="15" customHeight="1" x14ac:dyDescent="0.2">
      <c r="B15" s="1173" t="str">
        <f>HYPERLINK(CHAR(35)&amp;$I$2&amp;I15&amp;"_"&amp;$I$3&amp;"!A1",I15)</f>
        <v>TRU03_STE</v>
      </c>
      <c r="C15" s="113" t="s">
        <v>84</v>
      </c>
      <c r="D15" s="127" t="s">
        <v>75</v>
      </c>
      <c r="E15" s="129" t="s">
        <v>76</v>
      </c>
      <c r="I15" s="103" t="s">
        <v>83</v>
      </c>
    </row>
    <row r="16" spans="1:9" ht="15" customHeight="1" thickBot="1" x14ac:dyDescent="0.25">
      <c r="B16" s="136"/>
      <c r="C16" s="148" t="s">
        <v>85</v>
      </c>
      <c r="D16" s="149" t="s">
        <v>75</v>
      </c>
      <c r="E16" s="141" t="s">
        <v>78</v>
      </c>
    </row>
    <row r="17" spans="1:9" ht="15" customHeight="1" thickBot="1" x14ac:dyDescent="0.25">
      <c r="B17" s="1173" t="str">
        <f>HYPERLINK(CHAR(35)&amp;$I$2&amp;I17&amp;"_"&amp;$I$3&amp;"!A1",I17)</f>
        <v>TRU04_CF</v>
      </c>
      <c r="C17" s="113" t="s">
        <v>87</v>
      </c>
      <c r="D17" s="127" t="s">
        <v>75</v>
      </c>
      <c r="E17" s="129" t="s">
        <v>76</v>
      </c>
      <c r="I17" s="103" t="s">
        <v>86</v>
      </c>
    </row>
    <row r="18" spans="1:9" ht="15" hidden="1" customHeight="1" thickBot="1" x14ac:dyDescent="0.25">
      <c r="B18" s="130"/>
      <c r="C18" s="112" t="s">
        <v>88</v>
      </c>
      <c r="D18" s="131" t="s">
        <v>75</v>
      </c>
      <c r="E18" s="135" t="s">
        <v>76</v>
      </c>
      <c r="I18" s="103"/>
    </row>
    <row r="19" spans="1:9" ht="13.5" thickBot="1" x14ac:dyDescent="0.25">
      <c r="B19" s="152" t="s">
        <v>89</v>
      </c>
      <c r="C19" s="153"/>
      <c r="D19" s="154"/>
      <c r="E19" s="155"/>
      <c r="I19" s="103"/>
    </row>
    <row r="20" spans="1:9" ht="15" customHeight="1" x14ac:dyDescent="0.2">
      <c r="B20" s="1173" t="str">
        <f>HYPERLINK(CHAR(35)&amp;$I$2&amp;I20&amp;"_"&amp;$I$3&amp;"!A1",I20)</f>
        <v>TRU05_REV</v>
      </c>
      <c r="C20" s="113" t="s">
        <v>91</v>
      </c>
      <c r="D20" s="127" t="s">
        <v>75</v>
      </c>
      <c r="E20" s="129" t="s">
        <v>76</v>
      </c>
      <c r="I20" s="103" t="s">
        <v>90</v>
      </c>
    </row>
    <row r="21" spans="1:9" ht="15" customHeight="1" x14ac:dyDescent="0.2">
      <c r="B21" s="130"/>
      <c r="C21" s="112" t="s">
        <v>92</v>
      </c>
      <c r="D21" s="131" t="s">
        <v>75</v>
      </c>
      <c r="E21" s="135" t="s">
        <v>76</v>
      </c>
      <c r="I21" s="103"/>
    </row>
    <row r="22" spans="1:9" ht="15" customHeight="1" thickBot="1" x14ac:dyDescent="0.25">
      <c r="A22" s="105"/>
      <c r="B22" s="130"/>
      <c r="C22" s="112" t="s">
        <v>93</v>
      </c>
      <c r="D22" s="131" t="s">
        <v>75</v>
      </c>
      <c r="E22" s="134" t="s">
        <v>76</v>
      </c>
      <c r="I22" s="97"/>
    </row>
    <row r="23" spans="1:9" ht="15" customHeight="1" x14ac:dyDescent="0.2">
      <c r="A23" s="105"/>
      <c r="B23" s="1173" t="str">
        <f>HYPERLINK(CHAR(35)&amp;$I$2&amp;I23&amp;"_"&amp;$I$3&amp;"!A1",I23)</f>
        <v>TRU06_EXP</v>
      </c>
      <c r="C23" s="113" t="s">
        <v>95</v>
      </c>
      <c r="D23" s="127" t="s">
        <v>75</v>
      </c>
      <c r="E23" s="128" t="s">
        <v>76</v>
      </c>
      <c r="I23" s="103" t="s">
        <v>94</v>
      </c>
    </row>
    <row r="24" spans="1:9" ht="15" customHeight="1" x14ac:dyDescent="0.2">
      <c r="B24" s="130"/>
      <c r="C24" s="112" t="s">
        <v>96</v>
      </c>
      <c r="D24" s="131" t="s">
        <v>75</v>
      </c>
      <c r="E24" s="135" t="s">
        <v>76</v>
      </c>
      <c r="I24" s="103"/>
    </row>
    <row r="25" spans="1:9" ht="15" customHeight="1" thickBot="1" x14ac:dyDescent="0.25">
      <c r="B25" s="130"/>
      <c r="C25" s="112" t="s">
        <v>97</v>
      </c>
      <c r="D25" s="131" t="s">
        <v>75</v>
      </c>
      <c r="E25" s="135" t="s">
        <v>76</v>
      </c>
      <c r="I25" s="103"/>
    </row>
    <row r="26" spans="1:9" ht="15" hidden="1" customHeight="1" thickBot="1" x14ac:dyDescent="0.25">
      <c r="B26" s="156"/>
      <c r="C26" s="146" t="s">
        <v>98</v>
      </c>
      <c r="D26" s="147" t="s">
        <v>75</v>
      </c>
      <c r="E26" s="141" t="s">
        <v>76</v>
      </c>
      <c r="I26" s="103"/>
    </row>
    <row r="27" spans="1:9" ht="15" customHeight="1" x14ac:dyDescent="0.2">
      <c r="B27" s="1173" t="str">
        <f>HYPERLINK(CHAR(35)&amp;$I$2&amp;I27&amp;"_"&amp;$I$3&amp;"!A1",I27)</f>
        <v>TRU08_OPL</v>
      </c>
      <c r="C27" s="113" t="s">
        <v>100</v>
      </c>
      <c r="D27" s="127" t="s">
        <v>75</v>
      </c>
      <c r="E27" s="129" t="s">
        <v>76</v>
      </c>
      <c r="I27" s="103" t="s">
        <v>99</v>
      </c>
    </row>
    <row r="28" spans="1:9" ht="15" customHeight="1" thickBot="1" x14ac:dyDescent="0.25">
      <c r="B28" s="150"/>
      <c r="C28" s="137" t="s">
        <v>101</v>
      </c>
      <c r="D28" s="138" t="s">
        <v>75</v>
      </c>
      <c r="E28" s="141" t="s">
        <v>76</v>
      </c>
      <c r="I28" s="103"/>
    </row>
    <row r="29" spans="1:9" ht="15" customHeight="1" x14ac:dyDescent="0.2">
      <c r="B29" s="1173" t="str">
        <f>HYPERLINK(CHAR(35)&amp;$I$2&amp;I29&amp;"_"&amp;$I$3&amp;"!A1",I29)</f>
        <v>TRU09_EMP</v>
      </c>
      <c r="C29" s="113" t="s">
        <v>97</v>
      </c>
      <c r="D29" s="127" t="s">
        <v>75</v>
      </c>
      <c r="E29" s="129" t="s">
        <v>76</v>
      </c>
      <c r="I29" s="103" t="s">
        <v>102</v>
      </c>
    </row>
    <row r="30" spans="1:9" ht="15" customHeight="1" x14ac:dyDescent="0.2">
      <c r="A30" s="105"/>
      <c r="B30" s="130"/>
      <c r="C30" s="112" t="s">
        <v>103</v>
      </c>
      <c r="D30" s="131" t="s">
        <v>75</v>
      </c>
      <c r="E30" s="134" t="s">
        <v>78</v>
      </c>
      <c r="I30" s="97"/>
    </row>
    <row r="31" spans="1:9" ht="15" customHeight="1" x14ac:dyDescent="0.2">
      <c r="B31" s="130"/>
      <c r="C31" s="112" t="s">
        <v>104</v>
      </c>
      <c r="D31" s="131" t="s">
        <v>75</v>
      </c>
      <c r="E31" s="135" t="s">
        <v>76</v>
      </c>
      <c r="I31" s="103"/>
    </row>
    <row r="32" spans="1:9" ht="15" customHeight="1" x14ac:dyDescent="0.2">
      <c r="A32" s="157"/>
      <c r="B32" s="130"/>
      <c r="C32" s="112" t="s">
        <v>105</v>
      </c>
      <c r="D32" s="131" t="s">
        <v>75</v>
      </c>
      <c r="E32" s="135" t="s">
        <v>76</v>
      </c>
      <c r="I32" s="103"/>
    </row>
    <row r="33" spans="1:9" ht="15" customHeight="1" x14ac:dyDescent="0.2">
      <c r="B33" s="130"/>
      <c r="C33" s="112" t="s">
        <v>106</v>
      </c>
      <c r="D33" s="131" t="s">
        <v>75</v>
      </c>
      <c r="E33" s="135" t="s">
        <v>76</v>
      </c>
      <c r="I33" s="103"/>
    </row>
    <row r="34" spans="1:9" ht="15" customHeight="1" thickBot="1" x14ac:dyDescent="0.25">
      <c r="B34" s="130"/>
      <c r="C34" s="112" t="s">
        <v>107</v>
      </c>
      <c r="D34" s="131" t="s">
        <v>75</v>
      </c>
      <c r="E34" s="135" t="s">
        <v>76</v>
      </c>
      <c r="I34" s="103"/>
    </row>
    <row r="35" spans="1:9" ht="15" customHeight="1" thickBot="1" x14ac:dyDescent="0.25">
      <c r="B35" s="1174" t="str">
        <f>HYPERLINK(CHAR(35)&amp;$I$2&amp;I35&amp;"_"&amp;$I$3&amp;"!A1",I35)</f>
        <v>TRU10_EXT</v>
      </c>
      <c r="C35" s="159" t="s">
        <v>109</v>
      </c>
      <c r="D35" s="160" t="s">
        <v>75</v>
      </c>
      <c r="E35" s="161" t="s">
        <v>76</v>
      </c>
      <c r="I35" s="103" t="s">
        <v>108</v>
      </c>
    </row>
    <row r="36" spans="1:9" ht="15" customHeight="1" x14ac:dyDescent="0.2">
      <c r="B36" s="1173" t="str">
        <f>HYPERLINK(CHAR(35)&amp;$I$2&amp;I36&amp;"_"&amp;$I$3&amp;"!A1",I36)</f>
        <v>TRU11_IGF</v>
      </c>
      <c r="C36" s="113" t="s">
        <v>111</v>
      </c>
      <c r="D36" s="127" t="s">
        <v>75</v>
      </c>
      <c r="E36" s="129" t="s">
        <v>76</v>
      </c>
      <c r="I36" s="103" t="s">
        <v>110</v>
      </c>
    </row>
    <row r="37" spans="1:9" ht="15" customHeight="1" x14ac:dyDescent="0.2">
      <c r="B37" s="130"/>
      <c r="C37" s="112" t="s">
        <v>112</v>
      </c>
      <c r="D37" s="131" t="s">
        <v>75</v>
      </c>
      <c r="E37" s="135" t="s">
        <v>76</v>
      </c>
      <c r="I37" s="103"/>
    </row>
    <row r="38" spans="1:9" ht="15" customHeight="1" thickBot="1" x14ac:dyDescent="0.25">
      <c r="B38" s="156"/>
      <c r="C38" s="146" t="s">
        <v>113</v>
      </c>
      <c r="D38" s="147" t="s">
        <v>75</v>
      </c>
      <c r="E38" s="141" t="s">
        <v>76</v>
      </c>
      <c r="I38" s="103"/>
    </row>
    <row r="39" spans="1:9" ht="15" customHeight="1" x14ac:dyDescent="0.2">
      <c r="A39" s="105"/>
      <c r="B39" s="1173" t="str">
        <f>HYPERLINK(CHAR(35)&amp;$I$2&amp;I39&amp;"_"&amp;$I$3&amp;"!A1",I39)</f>
        <v>TRU12_PPE</v>
      </c>
      <c r="C39" s="163" t="s">
        <v>115</v>
      </c>
      <c r="D39" s="127" t="s">
        <v>75</v>
      </c>
      <c r="E39" s="128" t="s">
        <v>76</v>
      </c>
      <c r="I39" s="103" t="s">
        <v>114</v>
      </c>
    </row>
    <row r="40" spans="1:9" ht="15" customHeight="1" x14ac:dyDescent="0.2">
      <c r="B40" s="130"/>
      <c r="C40" s="144" t="s">
        <v>116</v>
      </c>
      <c r="D40" s="131" t="s">
        <v>75</v>
      </c>
      <c r="E40" s="135" t="s">
        <v>76</v>
      </c>
      <c r="I40" s="103"/>
    </row>
    <row r="41" spans="1:9" ht="15" customHeight="1" x14ac:dyDescent="0.2">
      <c r="B41" s="130"/>
      <c r="C41" s="144" t="s">
        <v>117</v>
      </c>
      <c r="D41" s="131" t="s">
        <v>75</v>
      </c>
      <c r="E41" s="135" t="s">
        <v>76</v>
      </c>
      <c r="I41" s="103"/>
    </row>
    <row r="42" spans="1:9" ht="15" customHeight="1" x14ac:dyDescent="0.2">
      <c r="B42" s="130"/>
      <c r="C42" s="144" t="s">
        <v>118</v>
      </c>
      <c r="D42" s="131" t="s">
        <v>75</v>
      </c>
      <c r="E42" s="135" t="s">
        <v>76</v>
      </c>
      <c r="I42" s="103"/>
    </row>
    <row r="43" spans="1:9" ht="15" customHeight="1" x14ac:dyDescent="0.2">
      <c r="B43" s="130"/>
      <c r="C43" s="144" t="s">
        <v>119</v>
      </c>
      <c r="D43" s="131" t="s">
        <v>75</v>
      </c>
      <c r="E43" s="135" t="s">
        <v>76</v>
      </c>
      <c r="I43" s="103"/>
    </row>
    <row r="44" spans="1:9" ht="15" customHeight="1" x14ac:dyDescent="0.2">
      <c r="B44" s="130"/>
      <c r="C44" s="144" t="s">
        <v>120</v>
      </c>
      <c r="D44" s="131" t="s">
        <v>75</v>
      </c>
      <c r="E44" s="135" t="s">
        <v>78</v>
      </c>
      <c r="I44" s="103"/>
    </row>
    <row r="45" spans="1:9" ht="15" customHeight="1" thickBot="1" x14ac:dyDescent="0.25">
      <c r="B45" s="156"/>
      <c r="C45" s="146" t="s">
        <v>121</v>
      </c>
      <c r="D45" s="147" t="s">
        <v>75</v>
      </c>
      <c r="E45" s="141" t="s">
        <v>76</v>
      </c>
      <c r="I45" s="103"/>
    </row>
    <row r="46" spans="1:9" ht="15" customHeight="1" x14ac:dyDescent="0.2">
      <c r="A46" s="105"/>
      <c r="B46" s="1173" t="str">
        <f>HYPERLINK(CHAR(35)&amp;$I$2&amp;I46&amp;"_"&amp;$I$3&amp;"!A1",I46)</f>
        <v>TRU13_INT</v>
      </c>
      <c r="C46" s="163" t="s">
        <v>123</v>
      </c>
      <c r="D46" s="142" t="s">
        <v>75</v>
      </c>
      <c r="E46" s="128" t="s">
        <v>76</v>
      </c>
      <c r="I46" s="103" t="s">
        <v>122</v>
      </c>
    </row>
    <row r="47" spans="1:9" ht="15" customHeight="1" x14ac:dyDescent="0.2">
      <c r="B47" s="130"/>
      <c r="C47" s="112" t="s">
        <v>124</v>
      </c>
      <c r="D47" s="131" t="s">
        <v>75</v>
      </c>
      <c r="E47" s="135" t="s">
        <v>76</v>
      </c>
      <c r="I47" s="103"/>
    </row>
    <row r="48" spans="1:9" ht="15" customHeight="1" x14ac:dyDescent="0.2">
      <c r="B48" s="164"/>
      <c r="C48" s="144" t="s">
        <v>125</v>
      </c>
      <c r="D48" s="132" t="s">
        <v>75</v>
      </c>
      <c r="E48" s="135" t="s">
        <v>78</v>
      </c>
      <c r="I48" s="103"/>
    </row>
    <row r="49" spans="1:9" ht="15" customHeight="1" thickBot="1" x14ac:dyDescent="0.25">
      <c r="B49" s="158"/>
      <c r="C49" s="148" t="s">
        <v>126</v>
      </c>
      <c r="D49" s="149" t="s">
        <v>75</v>
      </c>
      <c r="E49" s="141" t="s">
        <v>78</v>
      </c>
    </row>
    <row r="50" spans="1:9" ht="15" customHeight="1" thickBot="1" x14ac:dyDescent="0.25">
      <c r="B50" s="1174" t="str">
        <f>HYPERLINK(CHAR(35)&amp;$I$2&amp;I50&amp;"_"&amp;$I$3&amp;"!A1",I50)</f>
        <v>TRU14_IMP</v>
      </c>
      <c r="C50" s="159" t="s">
        <v>128</v>
      </c>
      <c r="D50" s="160" t="s">
        <v>75</v>
      </c>
      <c r="E50" s="161" t="s">
        <v>76</v>
      </c>
      <c r="I50" s="103" t="s">
        <v>127</v>
      </c>
    </row>
    <row r="51" spans="1:9" ht="15" customHeight="1" x14ac:dyDescent="0.2">
      <c r="B51" s="1173" t="str">
        <f>HYPERLINK(CHAR(35)&amp;$I$2&amp;I51&amp;"_"&amp;$I$3&amp;"!A1",I51)</f>
        <v>TRU15_ICG</v>
      </c>
      <c r="C51" s="113" t="s">
        <v>130</v>
      </c>
      <c r="D51" s="127" t="s">
        <v>75</v>
      </c>
      <c r="E51" s="129" t="s">
        <v>76</v>
      </c>
      <c r="I51" s="103" t="s">
        <v>129</v>
      </c>
    </row>
    <row r="52" spans="1:9" ht="15" customHeight="1" x14ac:dyDescent="0.2">
      <c r="B52" s="130"/>
      <c r="C52" s="112" t="s">
        <v>131</v>
      </c>
      <c r="D52" s="131" t="s">
        <v>75</v>
      </c>
      <c r="E52" s="135" t="s">
        <v>76</v>
      </c>
      <c r="I52" s="103"/>
    </row>
    <row r="53" spans="1:9" ht="15" customHeight="1" x14ac:dyDescent="0.2">
      <c r="B53" s="130"/>
      <c r="C53" s="112" t="s">
        <v>132</v>
      </c>
      <c r="D53" s="131" t="s">
        <v>75</v>
      </c>
      <c r="E53" s="135" t="s">
        <v>78</v>
      </c>
      <c r="I53" s="103"/>
    </row>
    <row r="54" spans="1:9" ht="15" customHeight="1" x14ac:dyDescent="0.2">
      <c r="A54" s="105"/>
      <c r="B54" s="165"/>
      <c r="C54" s="144" t="s">
        <v>133</v>
      </c>
      <c r="D54" s="132" t="s">
        <v>75</v>
      </c>
      <c r="E54" s="134" t="s">
        <v>76</v>
      </c>
      <c r="I54" s="108"/>
    </row>
    <row r="55" spans="1:9" ht="15" customHeight="1" x14ac:dyDescent="0.2">
      <c r="B55" s="164"/>
      <c r="C55" s="144" t="s">
        <v>134</v>
      </c>
      <c r="D55" s="131" t="s">
        <v>75</v>
      </c>
      <c r="E55" s="135" t="s">
        <v>76</v>
      </c>
      <c r="I55" s="103"/>
    </row>
    <row r="56" spans="1:9" ht="15" customHeight="1" thickBot="1" x14ac:dyDescent="0.25">
      <c r="B56" s="164"/>
      <c r="C56" s="144" t="s">
        <v>135</v>
      </c>
      <c r="D56" s="132" t="s">
        <v>75</v>
      </c>
      <c r="E56" s="135" t="s">
        <v>78</v>
      </c>
      <c r="I56" s="103"/>
    </row>
    <row r="57" spans="1:9" ht="15" customHeight="1" x14ac:dyDescent="0.2">
      <c r="B57" s="1173" t="str">
        <f>HYPERLINK(CHAR(35)&amp;$I$2&amp;I57&amp;"_"&amp;$I$3&amp;"!A1",I57)</f>
        <v>TRU16_AST</v>
      </c>
      <c r="C57" s="162" t="s">
        <v>137</v>
      </c>
      <c r="D57" s="127" t="s">
        <v>75</v>
      </c>
      <c r="E57" s="129" t="s">
        <v>76</v>
      </c>
      <c r="I57" s="103" t="s">
        <v>136</v>
      </c>
    </row>
    <row r="58" spans="1:9" ht="15" customHeight="1" x14ac:dyDescent="0.2">
      <c r="B58" s="110"/>
      <c r="C58" s="112" t="s">
        <v>138</v>
      </c>
      <c r="D58" s="131" t="s">
        <v>75</v>
      </c>
      <c r="E58" s="133" t="s">
        <v>76</v>
      </c>
    </row>
    <row r="59" spans="1:9" ht="15" customHeight="1" x14ac:dyDescent="0.2">
      <c r="B59" s="130"/>
      <c r="C59" s="143" t="s">
        <v>139</v>
      </c>
      <c r="D59" s="131" t="s">
        <v>75</v>
      </c>
      <c r="E59" s="135" t="s">
        <v>76</v>
      </c>
      <c r="I59" s="103"/>
    </row>
    <row r="60" spans="1:9" ht="15" customHeight="1" x14ac:dyDescent="0.2">
      <c r="B60" s="130"/>
      <c r="C60" s="143" t="s">
        <v>140</v>
      </c>
      <c r="D60" s="131" t="s">
        <v>75</v>
      </c>
      <c r="E60" s="135" t="s">
        <v>76</v>
      </c>
      <c r="I60" s="103"/>
    </row>
    <row r="61" spans="1:9" ht="15" customHeight="1" x14ac:dyDescent="0.2">
      <c r="B61" s="130"/>
      <c r="C61" s="143" t="s">
        <v>141</v>
      </c>
      <c r="D61" s="131" t="s">
        <v>75</v>
      </c>
      <c r="E61" s="135" t="s">
        <v>76</v>
      </c>
      <c r="I61" s="103"/>
    </row>
    <row r="62" spans="1:9" ht="15" customHeight="1" x14ac:dyDescent="0.2">
      <c r="B62" s="130"/>
      <c r="C62" s="143" t="s">
        <v>142</v>
      </c>
      <c r="D62" s="131" t="s">
        <v>75</v>
      </c>
      <c r="E62" s="135" t="s">
        <v>76</v>
      </c>
      <c r="I62" s="103"/>
    </row>
    <row r="63" spans="1:9" ht="15" customHeight="1" x14ac:dyDescent="0.2">
      <c r="B63" s="110"/>
      <c r="C63" s="112" t="s">
        <v>138</v>
      </c>
      <c r="D63" s="131" t="s">
        <v>75</v>
      </c>
      <c r="E63" s="133" t="s">
        <v>76</v>
      </c>
    </row>
    <row r="64" spans="1:9" ht="15" customHeight="1" x14ac:dyDescent="0.2">
      <c r="B64" s="130"/>
      <c r="C64" s="143" t="s">
        <v>143</v>
      </c>
      <c r="D64" s="131" t="s">
        <v>75</v>
      </c>
      <c r="E64" s="135" t="s">
        <v>76</v>
      </c>
      <c r="I64" s="103"/>
    </row>
    <row r="65" spans="2:9" ht="15" customHeight="1" x14ac:dyDescent="0.2">
      <c r="B65" s="110"/>
      <c r="C65" s="112" t="s">
        <v>138</v>
      </c>
      <c r="D65" s="131" t="s">
        <v>75</v>
      </c>
      <c r="E65" s="133" t="s">
        <v>76</v>
      </c>
    </row>
    <row r="66" spans="2:9" ht="15" customHeight="1" x14ac:dyDescent="0.2">
      <c r="B66" s="130"/>
      <c r="C66" s="143" t="s">
        <v>144</v>
      </c>
      <c r="D66" s="131" t="s">
        <v>75</v>
      </c>
      <c r="E66" s="135" t="s">
        <v>76</v>
      </c>
      <c r="I66" s="103"/>
    </row>
    <row r="67" spans="2:9" ht="15" customHeight="1" thickBot="1" x14ac:dyDescent="0.25">
      <c r="B67" s="164"/>
      <c r="C67" s="144" t="s">
        <v>145</v>
      </c>
      <c r="D67" s="132" t="s">
        <v>75</v>
      </c>
      <c r="E67" s="135" t="s">
        <v>76</v>
      </c>
      <c r="I67" s="103"/>
    </row>
    <row r="68" spans="2:9" ht="15" hidden="1" customHeight="1" x14ac:dyDescent="0.2">
      <c r="B68" s="130"/>
      <c r="C68" s="144" t="s">
        <v>147</v>
      </c>
      <c r="D68" s="131" t="s">
        <v>75</v>
      </c>
      <c r="E68" s="135" t="s">
        <v>76</v>
      </c>
      <c r="I68" s="103"/>
    </row>
    <row r="69" spans="2:9" ht="15" hidden="1" customHeight="1" thickBot="1" x14ac:dyDescent="0.25">
      <c r="B69" s="164"/>
      <c r="C69" s="144" t="s">
        <v>148</v>
      </c>
      <c r="D69" s="132" t="s">
        <v>75</v>
      </c>
      <c r="E69" s="135" t="s">
        <v>76</v>
      </c>
      <c r="I69" s="103"/>
    </row>
    <row r="70" spans="2:9" ht="15" customHeight="1" x14ac:dyDescent="0.2">
      <c r="B70" s="1173" t="str">
        <f>HYPERLINK(CHAR(35)&amp;$I$2&amp;I70&amp;"_"&amp;$I$3&amp;"!A1",I70)</f>
        <v>TRU17_LIA</v>
      </c>
      <c r="C70" s="113" t="s">
        <v>150</v>
      </c>
      <c r="D70" s="127" t="s">
        <v>75</v>
      </c>
      <c r="E70" s="129" t="s">
        <v>76</v>
      </c>
      <c r="I70" s="103" t="s">
        <v>149</v>
      </c>
    </row>
    <row r="71" spans="2:9" ht="15" customHeight="1" x14ac:dyDescent="0.2">
      <c r="B71" s="110"/>
      <c r="C71" s="112" t="s">
        <v>138</v>
      </c>
      <c r="D71" s="131" t="s">
        <v>75</v>
      </c>
      <c r="E71" s="133" t="s">
        <v>76</v>
      </c>
    </row>
    <row r="72" spans="2:9" ht="15" customHeight="1" x14ac:dyDescent="0.2">
      <c r="B72" s="130"/>
      <c r="C72" s="112" t="s">
        <v>151</v>
      </c>
      <c r="D72" s="131" t="s">
        <v>75</v>
      </c>
      <c r="E72" s="135" t="s">
        <v>76</v>
      </c>
      <c r="I72" s="103"/>
    </row>
    <row r="73" spans="2:9" ht="15" customHeight="1" x14ac:dyDescent="0.2">
      <c r="B73" s="110"/>
      <c r="C73" s="112" t="s">
        <v>138</v>
      </c>
      <c r="D73" s="131" t="s">
        <v>75</v>
      </c>
      <c r="E73" s="133" t="s">
        <v>76</v>
      </c>
    </row>
    <row r="74" spans="2:9" ht="15" customHeight="1" x14ac:dyDescent="0.2">
      <c r="B74" s="130"/>
      <c r="C74" s="112" t="s">
        <v>152</v>
      </c>
      <c r="D74" s="131" t="s">
        <v>75</v>
      </c>
      <c r="E74" s="135" t="s">
        <v>76</v>
      </c>
      <c r="I74" s="103"/>
    </row>
    <row r="75" spans="2:9" ht="15" customHeight="1" x14ac:dyDescent="0.2">
      <c r="B75" s="130"/>
      <c r="C75" s="112" t="s">
        <v>153</v>
      </c>
      <c r="D75" s="131" t="s">
        <v>75</v>
      </c>
      <c r="E75" s="135" t="s">
        <v>76</v>
      </c>
      <c r="I75" s="103"/>
    </row>
    <row r="76" spans="2:9" ht="15" customHeight="1" x14ac:dyDescent="0.2">
      <c r="B76" s="110"/>
      <c r="C76" s="112" t="s">
        <v>138</v>
      </c>
      <c r="D76" s="131" t="s">
        <v>75</v>
      </c>
      <c r="E76" s="133" t="s">
        <v>76</v>
      </c>
    </row>
    <row r="77" spans="2:9" ht="15" customHeight="1" x14ac:dyDescent="0.2">
      <c r="B77" s="130"/>
      <c r="C77" s="112" t="s">
        <v>154</v>
      </c>
      <c r="D77" s="131" t="s">
        <v>75</v>
      </c>
      <c r="E77" s="135" t="s">
        <v>76</v>
      </c>
      <c r="I77" s="103"/>
    </row>
    <row r="78" spans="2:9" ht="15" customHeight="1" x14ac:dyDescent="0.2">
      <c r="B78" s="130"/>
      <c r="C78" s="166" t="s">
        <v>155</v>
      </c>
      <c r="D78" s="131" t="s">
        <v>75</v>
      </c>
      <c r="E78" s="135" t="s">
        <v>76</v>
      </c>
      <c r="I78" s="103"/>
    </row>
    <row r="79" spans="2:9" ht="15" customHeight="1" x14ac:dyDescent="0.2">
      <c r="B79" s="110"/>
      <c r="C79" s="112" t="s">
        <v>138</v>
      </c>
      <c r="D79" s="131" t="s">
        <v>75</v>
      </c>
      <c r="E79" s="133" t="s">
        <v>76</v>
      </c>
    </row>
    <row r="80" spans="2:9" ht="15" customHeight="1" x14ac:dyDescent="0.2">
      <c r="B80" s="130"/>
      <c r="C80" s="112" t="s">
        <v>156</v>
      </c>
      <c r="D80" s="131" t="s">
        <v>75</v>
      </c>
      <c r="E80" s="135" t="s">
        <v>76</v>
      </c>
      <c r="I80" s="103"/>
    </row>
    <row r="81" spans="2:9" ht="15" customHeight="1" thickBot="1" x14ac:dyDescent="0.25">
      <c r="B81" s="110"/>
      <c r="C81" s="112" t="s">
        <v>157</v>
      </c>
      <c r="D81" s="131" t="s">
        <v>75</v>
      </c>
      <c r="E81" s="133" t="s">
        <v>76</v>
      </c>
    </row>
    <row r="82" spans="2:9" ht="15" hidden="1" customHeight="1" x14ac:dyDescent="0.2">
      <c r="B82" s="164"/>
      <c r="C82" s="144" t="s">
        <v>158</v>
      </c>
      <c r="D82" s="132" t="s">
        <v>75</v>
      </c>
      <c r="E82" s="135" t="s">
        <v>76</v>
      </c>
      <c r="I82" s="103"/>
    </row>
    <row r="83" spans="2:9" ht="15" hidden="1" customHeight="1" thickBot="1" x14ac:dyDescent="0.25">
      <c r="B83" s="164"/>
      <c r="C83" s="144" t="s">
        <v>159</v>
      </c>
      <c r="D83" s="132" t="s">
        <v>75</v>
      </c>
      <c r="E83" s="135" t="s">
        <v>76</v>
      </c>
      <c r="I83" s="103"/>
    </row>
    <row r="84" spans="2:9" ht="15" customHeight="1" x14ac:dyDescent="0.2">
      <c r="B84" s="1173" t="str">
        <f>HYPERLINK(CHAR(35)&amp;$I$2&amp;I84&amp;"_"&amp;$I$3&amp;"!A1",I84)</f>
        <v>TRU18_FL</v>
      </c>
      <c r="C84" s="113" t="s">
        <v>161</v>
      </c>
      <c r="D84" s="127" t="s">
        <v>75</v>
      </c>
      <c r="E84" s="129" t="s">
        <v>76</v>
      </c>
      <c r="I84" s="103" t="s">
        <v>160</v>
      </c>
    </row>
    <row r="85" spans="2:9" ht="15" customHeight="1" x14ac:dyDescent="0.2">
      <c r="B85" s="130"/>
      <c r="C85" s="112" t="s">
        <v>162</v>
      </c>
      <c r="D85" s="131" t="s">
        <v>75</v>
      </c>
      <c r="E85" s="135" t="s">
        <v>76</v>
      </c>
      <c r="I85" s="103"/>
    </row>
    <row r="86" spans="2:9" ht="15" customHeight="1" x14ac:dyDescent="0.2">
      <c r="B86" s="130"/>
      <c r="C86" s="112" t="s">
        <v>163</v>
      </c>
      <c r="D86" s="131" t="s">
        <v>75</v>
      </c>
      <c r="E86" s="135" t="s">
        <v>76</v>
      </c>
      <c r="I86" s="103"/>
    </row>
    <row r="87" spans="2:9" ht="15" customHeight="1" x14ac:dyDescent="0.2">
      <c r="B87" s="130"/>
      <c r="C87" s="112" t="s">
        <v>164</v>
      </c>
      <c r="D87" s="131" t="s">
        <v>75</v>
      </c>
      <c r="E87" s="135" t="s">
        <v>76</v>
      </c>
      <c r="I87" s="103"/>
    </row>
    <row r="88" spans="2:9" ht="15" customHeight="1" x14ac:dyDescent="0.2">
      <c r="B88" s="130"/>
      <c r="C88" s="112" t="s">
        <v>165</v>
      </c>
      <c r="D88" s="131" t="s">
        <v>75</v>
      </c>
      <c r="E88" s="135" t="s">
        <v>78</v>
      </c>
      <c r="I88" s="103"/>
    </row>
    <row r="89" spans="2:9" ht="15" customHeight="1" x14ac:dyDescent="0.2">
      <c r="B89" s="130"/>
      <c r="C89" s="112" t="s">
        <v>166</v>
      </c>
      <c r="D89" s="131" t="s">
        <v>75</v>
      </c>
      <c r="E89" s="135" t="s">
        <v>76</v>
      </c>
      <c r="I89" s="103"/>
    </row>
    <row r="90" spans="2:9" ht="15" customHeight="1" x14ac:dyDescent="0.2">
      <c r="B90" s="110"/>
      <c r="C90" s="112" t="s">
        <v>167</v>
      </c>
      <c r="D90" s="131" t="s">
        <v>75</v>
      </c>
      <c r="E90" s="133" t="s">
        <v>78</v>
      </c>
    </row>
    <row r="91" spans="2:9" ht="15" customHeight="1" thickBot="1" x14ac:dyDescent="0.25">
      <c r="B91" s="136"/>
      <c r="C91" s="137" t="s">
        <v>168</v>
      </c>
      <c r="D91" s="138" t="s">
        <v>75</v>
      </c>
      <c r="E91" s="140" t="s">
        <v>78</v>
      </c>
    </row>
    <row r="92" spans="2:9" ht="15" customHeight="1" x14ac:dyDescent="0.2">
      <c r="B92" s="1173" t="str">
        <f>HYPERLINK(CHAR(35)&amp;$I$2&amp;I92&amp;"_"&amp;$I$3&amp;"!A1",I92)</f>
        <v>TRU19_PRV</v>
      </c>
      <c r="C92" s="113" t="s">
        <v>170</v>
      </c>
      <c r="D92" s="127" t="s">
        <v>75</v>
      </c>
      <c r="E92" s="129" t="s">
        <v>76</v>
      </c>
      <c r="I92" s="103" t="s">
        <v>169</v>
      </c>
    </row>
    <row r="93" spans="2:9" ht="15" customHeight="1" x14ac:dyDescent="0.2">
      <c r="B93" s="130"/>
      <c r="C93" s="112" t="s">
        <v>171</v>
      </c>
      <c r="D93" s="131" t="s">
        <v>75</v>
      </c>
      <c r="E93" s="135" t="s">
        <v>76</v>
      </c>
      <c r="I93" s="103"/>
    </row>
    <row r="94" spans="2:9" ht="15" customHeight="1" x14ac:dyDescent="0.2">
      <c r="B94" s="130"/>
      <c r="C94" s="112" t="s">
        <v>172</v>
      </c>
      <c r="D94" s="131" t="s">
        <v>75</v>
      </c>
      <c r="E94" s="135" t="s">
        <v>76</v>
      </c>
      <c r="I94" s="103"/>
    </row>
    <row r="95" spans="2:9" ht="15" customHeight="1" x14ac:dyDescent="0.2">
      <c r="B95" s="130"/>
      <c r="C95" s="112" t="s">
        <v>173</v>
      </c>
      <c r="D95" s="131" t="s">
        <v>75</v>
      </c>
      <c r="E95" s="135" t="s">
        <v>76</v>
      </c>
      <c r="I95" s="103"/>
    </row>
    <row r="96" spans="2:9" ht="15" customHeight="1" thickBot="1" x14ac:dyDescent="0.25">
      <c r="B96" s="167"/>
      <c r="C96" s="166" t="s">
        <v>174</v>
      </c>
      <c r="D96" s="168" t="s">
        <v>75</v>
      </c>
      <c r="E96" s="135" t="s">
        <v>76</v>
      </c>
      <c r="I96" s="101"/>
    </row>
    <row r="97" spans="2:9" ht="15" customHeight="1" x14ac:dyDescent="0.2">
      <c r="B97" s="1173" t="str">
        <f>HYPERLINK(CHAR(35)&amp;$I$2&amp;I97&amp;"_"&amp;$I$3&amp;"!A1",I97)</f>
        <v>TRU20_PFI</v>
      </c>
      <c r="C97" s="163" t="s">
        <v>176</v>
      </c>
      <c r="D97" s="127" t="s">
        <v>75</v>
      </c>
      <c r="E97" s="129" t="s">
        <v>76</v>
      </c>
      <c r="I97" s="103" t="s">
        <v>175</v>
      </c>
    </row>
    <row r="98" spans="2:9" ht="15" customHeight="1" x14ac:dyDescent="0.2">
      <c r="B98" s="130"/>
      <c r="C98" s="112" t="s">
        <v>177</v>
      </c>
      <c r="D98" s="131" t="s">
        <v>75</v>
      </c>
      <c r="E98" s="135" t="s">
        <v>76</v>
      </c>
      <c r="I98" s="103"/>
    </row>
    <row r="99" spans="2:9" ht="15" customHeight="1" x14ac:dyDescent="0.2">
      <c r="B99" s="130"/>
      <c r="C99" s="144" t="s">
        <v>178</v>
      </c>
      <c r="D99" s="131" t="s">
        <v>75</v>
      </c>
      <c r="E99" s="135" t="s">
        <v>76</v>
      </c>
      <c r="I99" s="103"/>
    </row>
    <row r="100" spans="2:9" ht="15" customHeight="1" x14ac:dyDescent="0.2">
      <c r="B100" s="130"/>
      <c r="C100" s="169" t="s">
        <v>179</v>
      </c>
      <c r="D100" s="131" t="s">
        <v>75</v>
      </c>
      <c r="E100" s="135" t="s">
        <v>76</v>
      </c>
      <c r="I100" s="103"/>
    </row>
    <row r="101" spans="2:9" ht="15" customHeight="1" x14ac:dyDescent="0.2">
      <c r="B101" s="110"/>
      <c r="C101" s="169" t="s">
        <v>180</v>
      </c>
      <c r="D101" s="131" t="s">
        <v>75</v>
      </c>
      <c r="E101" s="133" t="s">
        <v>76</v>
      </c>
    </row>
    <row r="102" spans="2:9" ht="15" customHeight="1" x14ac:dyDescent="0.2">
      <c r="B102" s="110"/>
      <c r="C102" s="169" t="s">
        <v>181</v>
      </c>
      <c r="D102" s="131" t="s">
        <v>75</v>
      </c>
      <c r="E102" s="133" t="s">
        <v>76</v>
      </c>
    </row>
    <row r="103" spans="2:9" ht="15" customHeight="1" x14ac:dyDescent="0.2">
      <c r="B103" s="110"/>
      <c r="C103" s="144" t="s">
        <v>182</v>
      </c>
      <c r="D103" s="131" t="s">
        <v>75</v>
      </c>
      <c r="E103" s="133" t="s">
        <v>76</v>
      </c>
    </row>
    <row r="104" spans="2:9" ht="15" customHeight="1" x14ac:dyDescent="0.2">
      <c r="B104" s="110"/>
      <c r="C104" s="144" t="s">
        <v>183</v>
      </c>
      <c r="D104" s="131" t="s">
        <v>75</v>
      </c>
      <c r="E104" s="133" t="s">
        <v>76</v>
      </c>
    </row>
    <row r="105" spans="2:9" ht="15" customHeight="1" x14ac:dyDescent="0.2">
      <c r="B105" s="110"/>
      <c r="C105" s="144" t="s">
        <v>184</v>
      </c>
      <c r="D105" s="131" t="s">
        <v>75</v>
      </c>
      <c r="E105" s="133" t="s">
        <v>76</v>
      </c>
    </row>
    <row r="106" spans="2:9" ht="15" customHeight="1" x14ac:dyDescent="0.2">
      <c r="B106" s="110"/>
      <c r="C106" s="144" t="s">
        <v>185</v>
      </c>
      <c r="D106" s="131" t="s">
        <v>75</v>
      </c>
      <c r="E106" s="133" t="s">
        <v>76</v>
      </c>
    </row>
    <row r="107" spans="2:9" ht="15" customHeight="1" x14ac:dyDescent="0.2">
      <c r="B107" s="110"/>
      <c r="C107" s="144" t="s">
        <v>186</v>
      </c>
      <c r="D107" s="131" t="s">
        <v>75</v>
      </c>
      <c r="E107" s="133" t="s">
        <v>76</v>
      </c>
    </row>
    <row r="108" spans="2:9" ht="15" customHeight="1" x14ac:dyDescent="0.2">
      <c r="B108" s="110"/>
      <c r="C108" s="144" t="s">
        <v>187</v>
      </c>
      <c r="D108" s="131" t="s">
        <v>75</v>
      </c>
      <c r="E108" s="133" t="s">
        <v>76</v>
      </c>
    </row>
    <row r="109" spans="2:9" ht="15" customHeight="1" x14ac:dyDescent="0.2">
      <c r="B109" s="110"/>
      <c r="C109" s="144" t="s">
        <v>188</v>
      </c>
      <c r="D109" s="131" t="s">
        <v>75</v>
      </c>
      <c r="E109" s="133" t="s">
        <v>76</v>
      </c>
    </row>
    <row r="110" spans="2:9" ht="15" customHeight="1" x14ac:dyDescent="0.2">
      <c r="B110" s="110"/>
      <c r="C110" s="144" t="s">
        <v>189</v>
      </c>
      <c r="D110" s="131" t="s">
        <v>75</v>
      </c>
      <c r="E110" s="133" t="s">
        <v>76</v>
      </c>
    </row>
    <row r="111" spans="2:9" ht="15" customHeight="1" thickBot="1" x14ac:dyDescent="0.25">
      <c r="B111" s="136"/>
      <c r="C111" s="146" t="s">
        <v>190</v>
      </c>
      <c r="D111" s="138" t="s">
        <v>75</v>
      </c>
      <c r="E111" s="140" t="s">
        <v>76</v>
      </c>
    </row>
    <row r="112" spans="2:9" ht="15" customHeight="1" x14ac:dyDescent="0.2">
      <c r="B112" s="1173" t="str">
        <f>HYPERLINK(CHAR(35)&amp;$I$2&amp;I112&amp;"_"&amp;$I$3&amp;"!A1",I112)</f>
        <v>TRU21_FAL</v>
      </c>
      <c r="C112" s="113" t="s">
        <v>192</v>
      </c>
      <c r="D112" s="127" t="s">
        <v>75</v>
      </c>
      <c r="E112" s="129" t="s">
        <v>76</v>
      </c>
      <c r="I112" s="103" t="s">
        <v>191</v>
      </c>
    </row>
    <row r="113" spans="1:9" ht="15" customHeight="1" x14ac:dyDescent="0.2">
      <c r="B113" s="130"/>
      <c r="C113" s="112" t="s">
        <v>193</v>
      </c>
      <c r="D113" s="131" t="s">
        <v>75</v>
      </c>
      <c r="E113" s="135" t="s">
        <v>76</v>
      </c>
      <c r="I113" s="103"/>
    </row>
    <row r="114" spans="1:9" ht="15" customHeight="1" x14ac:dyDescent="0.2">
      <c r="B114" s="130"/>
      <c r="C114" s="112" t="s">
        <v>194</v>
      </c>
      <c r="D114" s="131" t="s">
        <v>75</v>
      </c>
      <c r="E114" s="135" t="s">
        <v>76</v>
      </c>
      <c r="I114" s="103"/>
    </row>
    <row r="115" spans="1:9" ht="15" customHeight="1" thickBot="1" x14ac:dyDescent="0.25">
      <c r="B115" s="156"/>
      <c r="C115" s="146" t="s">
        <v>195</v>
      </c>
      <c r="D115" s="147" t="s">
        <v>75</v>
      </c>
      <c r="E115" s="141" t="s">
        <v>76</v>
      </c>
      <c r="I115" s="103"/>
    </row>
    <row r="116" spans="1:9" ht="15" customHeight="1" x14ac:dyDescent="0.2">
      <c r="B116" s="1175" t="str">
        <f>HYPERLINK(CHAR(35)&amp;$I$2&amp;I116&amp;"_"&amp;$I$3&amp;"!A1",I116)</f>
        <v>TRU22_LSP</v>
      </c>
      <c r="C116" s="113" t="s">
        <v>197</v>
      </c>
      <c r="D116" s="127" t="s">
        <v>75</v>
      </c>
      <c r="E116" s="129" t="s">
        <v>76</v>
      </c>
      <c r="I116" s="103" t="s">
        <v>196</v>
      </c>
    </row>
    <row r="117" spans="1:9" ht="15" customHeight="1" thickBot="1" x14ac:dyDescent="0.25">
      <c r="B117" s="158"/>
      <c r="C117" s="148" t="s">
        <v>198</v>
      </c>
      <c r="D117" s="149" t="s">
        <v>75</v>
      </c>
      <c r="E117" s="141" t="s">
        <v>76</v>
      </c>
    </row>
    <row r="118" spans="1:9" ht="15" customHeight="1" x14ac:dyDescent="0.2">
      <c r="A118" s="100"/>
      <c r="B118" s="1175" t="str">
        <f>HYPERLINK(CHAR(35)&amp;$I$2&amp;I118&amp;"_"&amp;$I$3&amp;"!A1",I118)</f>
        <v>TRU23_CHF</v>
      </c>
      <c r="C118" s="163" t="s">
        <v>200</v>
      </c>
      <c r="D118" s="142" t="s">
        <v>75</v>
      </c>
      <c r="E118" s="129" t="s">
        <v>76</v>
      </c>
      <c r="I118" s="103" t="s">
        <v>199</v>
      </c>
    </row>
    <row r="119" spans="1:9" ht="15" customHeight="1" x14ac:dyDescent="0.2">
      <c r="B119" s="110"/>
      <c r="C119" s="112" t="s">
        <v>201</v>
      </c>
      <c r="D119" s="131" t="s">
        <v>75</v>
      </c>
      <c r="E119" s="133" t="s">
        <v>76</v>
      </c>
    </row>
    <row r="120" spans="1:9" ht="15" customHeight="1" x14ac:dyDescent="0.2">
      <c r="A120" s="100"/>
      <c r="B120" s="171"/>
      <c r="C120" s="144" t="s">
        <v>202</v>
      </c>
      <c r="D120" s="132" t="s">
        <v>75</v>
      </c>
      <c r="E120" s="135" t="s">
        <v>76</v>
      </c>
      <c r="I120" s="173"/>
    </row>
    <row r="121" spans="1:9" ht="15" customHeight="1" x14ac:dyDescent="0.2">
      <c r="B121" s="110"/>
      <c r="C121" s="112" t="s">
        <v>203</v>
      </c>
      <c r="D121" s="131" t="s">
        <v>75</v>
      </c>
      <c r="E121" s="133" t="s">
        <v>76</v>
      </c>
    </row>
    <row r="122" spans="1:9" ht="15" customHeight="1" x14ac:dyDescent="0.2">
      <c r="B122" s="110"/>
      <c r="C122" s="112" t="s">
        <v>204</v>
      </c>
      <c r="D122" s="131" t="s">
        <v>75</v>
      </c>
      <c r="E122" s="133" t="s">
        <v>76</v>
      </c>
    </row>
    <row r="123" spans="1:9" ht="15" customHeight="1" thickBot="1" x14ac:dyDescent="0.25">
      <c r="B123" s="175"/>
      <c r="C123" s="148" t="s">
        <v>205</v>
      </c>
      <c r="D123" s="149" t="s">
        <v>75</v>
      </c>
      <c r="E123" s="141" t="s">
        <v>76</v>
      </c>
    </row>
    <row r="124" spans="1:9" ht="15" hidden="1" customHeight="1" x14ac:dyDescent="0.2">
      <c r="B124" s="1173" t="str">
        <f>HYPERLINK(CHAR(35)&amp;$I$2&amp;I124&amp;"_"&amp;$I$3&amp;"!A1",I124)</f>
        <v>TRU24_CFN</v>
      </c>
      <c r="C124" s="113" t="s">
        <v>207</v>
      </c>
      <c r="D124" s="127" t="s">
        <v>75</v>
      </c>
      <c r="E124" s="176"/>
      <c r="I124" s="103" t="s">
        <v>206</v>
      </c>
    </row>
    <row r="125" spans="1:9" ht="15" hidden="1" customHeight="1" x14ac:dyDescent="0.2">
      <c r="B125" s="110"/>
      <c r="C125" s="144" t="s">
        <v>208</v>
      </c>
      <c r="D125" s="131" t="s">
        <v>75</v>
      </c>
      <c r="E125" s="133" t="s">
        <v>76</v>
      </c>
    </row>
    <row r="126" spans="1:9" ht="15" hidden="1" customHeight="1" x14ac:dyDescent="0.2">
      <c r="B126" s="110"/>
      <c r="C126" s="169" t="s">
        <v>209</v>
      </c>
      <c r="D126" s="131" t="s">
        <v>75</v>
      </c>
      <c r="E126" s="133" t="s">
        <v>76</v>
      </c>
    </row>
    <row r="127" spans="1:9" ht="15" hidden="1" customHeight="1" x14ac:dyDescent="0.2">
      <c r="B127" s="110"/>
      <c r="C127" s="169" t="s">
        <v>210</v>
      </c>
      <c r="D127" s="131" t="s">
        <v>75</v>
      </c>
      <c r="E127" s="133" t="s">
        <v>76</v>
      </c>
    </row>
    <row r="128" spans="1:9" ht="15" hidden="1" customHeight="1" x14ac:dyDescent="0.2">
      <c r="B128" s="110"/>
      <c r="C128" s="144" t="s">
        <v>211</v>
      </c>
      <c r="D128" s="131" t="s">
        <v>75</v>
      </c>
      <c r="E128" s="133" t="s">
        <v>76</v>
      </c>
    </row>
    <row r="129" spans="1:9" ht="15" hidden="1" customHeight="1" thickBot="1" x14ac:dyDescent="0.25">
      <c r="B129" s="136"/>
      <c r="C129" s="177" t="s">
        <v>212</v>
      </c>
      <c r="D129" s="138" t="s">
        <v>75</v>
      </c>
      <c r="E129" s="140" t="s">
        <v>76</v>
      </c>
    </row>
    <row r="130" spans="1:9" ht="15" customHeight="1" x14ac:dyDescent="0.2">
      <c r="B130" s="1175" t="str">
        <f>HYPERLINK(CHAR(35)&amp;$I$2&amp;I130&amp;"_"&amp;$I$3&amp;"!A1",I130)</f>
        <v>TRU25_BVN</v>
      </c>
      <c r="C130" s="113" t="s">
        <v>214</v>
      </c>
      <c r="D130" s="127" t="s">
        <v>75</v>
      </c>
      <c r="E130" s="129" t="s">
        <v>76</v>
      </c>
      <c r="I130" s="103" t="s">
        <v>213</v>
      </c>
    </row>
    <row r="131" spans="1:9" ht="15" customHeight="1" x14ac:dyDescent="0.2">
      <c r="B131" s="171"/>
      <c r="C131" s="112" t="s">
        <v>215</v>
      </c>
      <c r="D131" s="131" t="s">
        <v>75</v>
      </c>
      <c r="E131" s="135" t="s">
        <v>78</v>
      </c>
      <c r="I131" s="173"/>
    </row>
    <row r="132" spans="1:9" ht="15" customHeight="1" thickBot="1" x14ac:dyDescent="0.25">
      <c r="B132" s="174"/>
      <c r="C132" s="137" t="s">
        <v>216</v>
      </c>
      <c r="D132" s="138" t="s">
        <v>75</v>
      </c>
      <c r="E132" s="141" t="s">
        <v>78</v>
      </c>
      <c r="I132" s="173"/>
    </row>
    <row r="134" spans="1:9" hidden="1" x14ac:dyDescent="0.2">
      <c r="A134" s="106"/>
      <c r="B134" s="184">
        <f>D134</f>
        <v>0</v>
      </c>
      <c r="C134" t="s">
        <v>222</v>
      </c>
    </row>
    <row r="135" spans="1:9" hidden="1" x14ac:dyDescent="0.2">
      <c r="A135" s="106"/>
      <c r="B135" s="185">
        <f>'1415TRU05_REV_P15'!E10</f>
        <v>0</v>
      </c>
      <c r="C135" t="s">
        <v>223</v>
      </c>
    </row>
    <row r="136" spans="1:9" hidden="1" x14ac:dyDescent="0.2">
      <c r="A136" s="106"/>
      <c r="B136" s="185">
        <f>'1415TRU01_SCI_MI_P11'!G10</f>
        <v>0</v>
      </c>
      <c r="C136" t="s">
        <v>224</v>
      </c>
    </row>
    <row r="137" spans="1:9" hidden="1" x14ac:dyDescent="0.2">
      <c r="A137" s="106"/>
      <c r="B137" s="76">
        <f>'1314TRU64_MI_P16'!K11</f>
        <v>0</v>
      </c>
      <c r="C137" t="s">
        <v>225</v>
      </c>
    </row>
    <row r="138" spans="1:9" hidden="1" x14ac:dyDescent="0.2">
      <c r="A138" s="106"/>
      <c r="C138" t="s">
        <v>226</v>
      </c>
    </row>
    <row r="139" spans="1:9" hidden="1" x14ac:dyDescent="0.2">
      <c r="A139" s="106"/>
      <c r="C139" t="s">
        <v>227</v>
      </c>
    </row>
    <row r="140" spans="1:9" hidden="1" x14ac:dyDescent="0.2">
      <c r="A140" s="106"/>
    </row>
    <row r="141" spans="1:9" hidden="1" x14ac:dyDescent="0.2">
      <c r="A141" s="106"/>
      <c r="B141" s="76">
        <f>'1314TRU16_AST_P16'!E29</f>
        <v>0</v>
      </c>
      <c r="C141" t="s">
        <v>228</v>
      </c>
    </row>
  </sheetData>
  <sheetProtection password="8EBD" sheet="1" objects="1" scenarios="1"/>
  <dataValidations count="2">
    <dataValidation type="whole" allowBlank="1" showErrorMessage="1" errorTitle="Number Only" error="Error : This cell can only accept a numeric value with a max of 12 digits." sqref="E1 I124 E124 B123:E123 I120 E120 I118 B117:D117 B96:D96 I92:I100 I80 E80 C78 I77:I78 E77:E78 I74:I75 E74:E75 I72 E72 I64 E64 I59:I62 E59:E62 I55:I57 E55:E57 I50:I53 B49:D49 E47:E53 E40:E45 I31:I48 E24:E29 I17:I21 C16:D16 I10:I12 D8 B4:C5 E3:E5 D2:E2 I14:I15 E7:E21 I23:I29 E112:E118 I112:I116 E130:E132 I130:I132 E31:E38 E66:E70 I66:I70 I82:I89 E82:E89 E92:E100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B135:B136 A134:A141 A54 A46 A39 A30 A23 A22 A6 I4:I7">
      <formula1>-1000000000000</formula1>
      <formula2>1000000000000</formula2>
    </dataValidation>
  </dataValidations>
  <pageMargins left="0.15748031496063" right="0.15748031496063" top="0.196850393700787" bottom="0.196850393700787" header="0.11811023622047198" footer="0.11811023622047198"/>
  <pageSetup paperSize="9" scale="62" fitToHeight="4" orientation="landscape" horizontalDpi="90" verticalDpi="90" r:id="rId1"/>
  <rowBreaks count="2" manualBreakCount="2">
    <brk id="45" max="4" man="1"/>
    <brk id="91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CC86"/>
  <sheetViews>
    <sheetView zoomScale="70" zoomScaleNormal="70" workbookViewId="0"/>
  </sheetViews>
  <sheetFormatPr defaultRowHeight="12.75" x14ac:dyDescent="0.2"/>
  <sheetData>
    <row r="1" spans="1:81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1" x14ac:dyDescent="0.2">
      <c r="A2" t="s">
        <v>3727</v>
      </c>
    </row>
    <row r="3" spans="1:81" x14ac:dyDescent="0.2">
      <c r="A3" t="s">
        <v>3765</v>
      </c>
    </row>
    <row r="4" spans="1:81" x14ac:dyDescent="0.2">
      <c r="B4" t="s">
        <v>974</v>
      </c>
    </row>
    <row r="5" spans="1:81" x14ac:dyDescent="0.2">
      <c r="B5" t="s">
        <v>66</v>
      </c>
      <c r="CA5" t="s">
        <v>230</v>
      </c>
      <c r="CB5">
        <f>0</f>
        <v>0</v>
      </c>
    </row>
    <row r="6" spans="1:81" x14ac:dyDescent="0.2">
      <c r="CA6" t="s">
        <v>231</v>
      </c>
      <c r="CB6" t="s">
        <v>232</v>
      </c>
      <c r="CC6" t="s">
        <v>822</v>
      </c>
    </row>
    <row r="7" spans="1:81" x14ac:dyDescent="0.2">
      <c r="D7" t="s">
        <v>25</v>
      </c>
      <c r="E7" t="s">
        <v>235</v>
      </c>
      <c r="H7" t="s">
        <v>294</v>
      </c>
      <c r="O7" t="s">
        <v>360</v>
      </c>
      <c r="P7" t="s">
        <v>361</v>
      </c>
      <c r="Q7" t="s">
        <v>362</v>
      </c>
      <c r="R7" t="s">
        <v>576</v>
      </c>
      <c r="S7" t="s">
        <v>577</v>
      </c>
      <c r="T7" t="s">
        <v>578</v>
      </c>
      <c r="U7" t="s">
        <v>579</v>
      </c>
      <c r="V7" t="s">
        <v>580</v>
      </c>
      <c r="W7" t="s">
        <v>581</v>
      </c>
      <c r="X7" t="s">
        <v>582</v>
      </c>
      <c r="Y7" t="s">
        <v>583</v>
      </c>
      <c r="Z7" t="s">
        <v>584</v>
      </c>
      <c r="AA7" t="s">
        <v>823</v>
      </c>
      <c r="AB7" t="s">
        <v>824</v>
      </c>
      <c r="AC7" t="s">
        <v>825</v>
      </c>
      <c r="AD7" t="s">
        <v>826</v>
      </c>
      <c r="AE7" t="s">
        <v>827</v>
      </c>
      <c r="BC7" t="s">
        <v>237</v>
      </c>
      <c r="CA7">
        <f>SUM(CA8:CA86)</f>
        <v>0</v>
      </c>
      <c r="CB7">
        <f>SUM(CB8:CB86)</f>
        <v>0</v>
      </c>
      <c r="CC7">
        <f>SUM(CC8:CC69)</f>
        <v>0</v>
      </c>
    </row>
    <row r="8" spans="1:81" x14ac:dyDescent="0.2">
      <c r="B8" t="s">
        <v>111</v>
      </c>
      <c r="C8" t="s">
        <v>238</v>
      </c>
      <c r="E8" t="s">
        <v>975</v>
      </c>
      <c r="H8" t="s">
        <v>240</v>
      </c>
      <c r="O8" t="s">
        <v>1005</v>
      </c>
      <c r="P8" t="s">
        <v>1006</v>
      </c>
      <c r="Q8" t="s">
        <v>1007</v>
      </c>
      <c r="R8" t="s">
        <v>590</v>
      </c>
      <c r="S8" t="s">
        <v>1008</v>
      </c>
      <c r="T8" t="s">
        <v>592</v>
      </c>
      <c r="U8" t="s">
        <v>1265</v>
      </c>
      <c r="V8" t="s">
        <v>594</v>
      </c>
      <c r="W8" t="s">
        <v>1266</v>
      </c>
      <c r="X8" t="s">
        <v>596</v>
      </c>
      <c r="Y8" t="s">
        <v>1267</v>
      </c>
      <c r="Z8" t="s">
        <v>598</v>
      </c>
      <c r="AA8" t="s">
        <v>599</v>
      </c>
      <c r="AB8" t="s">
        <v>600</v>
      </c>
      <c r="AC8" t="s">
        <v>1268</v>
      </c>
      <c r="AD8" t="s">
        <v>602</v>
      </c>
      <c r="AE8" t="s">
        <v>1269</v>
      </c>
      <c r="BC8" t="s">
        <v>241</v>
      </c>
    </row>
    <row r="9" spans="1:81" x14ac:dyDescent="0.2">
      <c r="C9" t="s">
        <v>242</v>
      </c>
      <c r="E9" t="s">
        <v>243</v>
      </c>
      <c r="H9" t="s">
        <v>243</v>
      </c>
      <c r="O9" t="s">
        <v>243</v>
      </c>
      <c r="P9" t="s">
        <v>243</v>
      </c>
      <c r="Q9" t="s">
        <v>243</v>
      </c>
      <c r="R9" t="s">
        <v>243</v>
      </c>
      <c r="S9" t="s">
        <v>243</v>
      </c>
      <c r="T9" t="s">
        <v>243</v>
      </c>
      <c r="U9" t="s">
        <v>243</v>
      </c>
      <c r="V9" t="s">
        <v>243</v>
      </c>
      <c r="W9" t="s">
        <v>243</v>
      </c>
      <c r="X9" t="s">
        <v>243</v>
      </c>
      <c r="Y9" t="s">
        <v>243</v>
      </c>
      <c r="Z9" t="s">
        <v>243</v>
      </c>
      <c r="AA9" t="s">
        <v>243</v>
      </c>
      <c r="AB9" t="s">
        <v>243</v>
      </c>
      <c r="AC9" t="s">
        <v>243</v>
      </c>
      <c r="AD9" t="s">
        <v>243</v>
      </c>
      <c r="AE9" t="s">
        <v>243</v>
      </c>
      <c r="BC9" t="s">
        <v>243</v>
      </c>
    </row>
    <row r="10" spans="1:81" x14ac:dyDescent="0.2">
      <c r="B10" t="s">
        <v>165</v>
      </c>
    </row>
    <row r="11" spans="1:81" x14ac:dyDescent="0.2">
      <c r="B11" t="s">
        <v>976</v>
      </c>
      <c r="C11">
        <v>100</v>
      </c>
      <c r="D11" t="s">
        <v>248</v>
      </c>
      <c r="BC11">
        <f>E11</f>
        <v>0</v>
      </c>
      <c r="CB11">
        <f>IF(OR(E11&lt;0,BC11&lt;0),1,0)</f>
        <v>0</v>
      </c>
      <c r="CC11">
        <f>IF(SUM(N11:AE11)&lt;=E11,0,1)</f>
        <v>0</v>
      </c>
    </row>
    <row r="12" spans="1:81" x14ac:dyDescent="0.2">
      <c r="B12" t="s">
        <v>977</v>
      </c>
      <c r="C12">
        <v>110</v>
      </c>
      <c r="D12" t="s">
        <v>248</v>
      </c>
      <c r="BC12">
        <f>E12</f>
        <v>0</v>
      </c>
      <c r="CB12">
        <f>IF(OR(E12&lt;0,BC12&lt;0),1,0)</f>
        <v>0</v>
      </c>
      <c r="CC12">
        <f>IF(SUM(N12:AE12)&lt;=E12,0,1)</f>
        <v>0</v>
      </c>
    </row>
    <row r="13" spans="1:81" x14ac:dyDescent="0.2">
      <c r="B13" t="s">
        <v>978</v>
      </c>
      <c r="C13">
        <v>120</v>
      </c>
      <c r="D13" t="s">
        <v>248</v>
      </c>
      <c r="BC13">
        <f>E13</f>
        <v>0</v>
      </c>
      <c r="CB13">
        <f>IF(OR(E13&lt;0,BC13&lt;0),1,0)</f>
        <v>0</v>
      </c>
      <c r="CC13">
        <f>IF(SUM(N13:AE13)&lt;=E13,0,1)</f>
        <v>0</v>
      </c>
    </row>
    <row r="14" spans="1:81" x14ac:dyDescent="0.2">
      <c r="B14" t="s">
        <v>979</v>
      </c>
      <c r="C14">
        <v>130</v>
      </c>
      <c r="D14" t="s">
        <v>248</v>
      </c>
      <c r="E14">
        <f>SUM(E11:E13)</f>
        <v>0</v>
      </c>
      <c r="O14">
        <f>SUM(O11:O13)</f>
        <v>0</v>
      </c>
      <c r="P14">
        <f>SUM(P11:P13)</f>
        <v>0</v>
      </c>
      <c r="Q14">
        <f>SUM(Q11:Q13)</f>
        <v>0</v>
      </c>
      <c r="R14">
        <f>SUM(R11:R13)</f>
        <v>0</v>
      </c>
      <c r="S14">
        <f>SUM(S11:S13)</f>
        <v>0</v>
      </c>
      <c r="U14">
        <f>SUM(U11:U13)</f>
        <v>0</v>
      </c>
      <c r="W14">
        <f>SUM(W11:W13)</f>
        <v>0</v>
      </c>
      <c r="Y14">
        <f>SUM(Y11:Y13)</f>
        <v>0</v>
      </c>
      <c r="AA14">
        <f>SUM(AA11:AA13)</f>
        <v>0</v>
      </c>
      <c r="AC14">
        <f>SUM(AC11:AC13)</f>
        <v>0</v>
      </c>
      <c r="AE14">
        <f>SUM(AE11:AE13)</f>
        <v>0</v>
      </c>
      <c r="BC14">
        <f>SUM(BC11:BC13)</f>
        <v>0</v>
      </c>
    </row>
    <row r="15" spans="1:81" x14ac:dyDescent="0.2">
      <c r="B15" t="s">
        <v>980</v>
      </c>
    </row>
    <row r="16" spans="1:81" x14ac:dyDescent="0.2">
      <c r="B16" t="s">
        <v>981</v>
      </c>
      <c r="C16">
        <v>140</v>
      </c>
      <c r="D16" t="s">
        <v>248</v>
      </c>
      <c r="BC16">
        <f t="shared" ref="BC16:BC21" si="0">E16</f>
        <v>0</v>
      </c>
      <c r="CB16">
        <f t="shared" ref="CB16:CB21" si="1">IF(OR(E16&lt;0,BC16&lt;0),1,0)</f>
        <v>0</v>
      </c>
      <c r="CC16">
        <f t="shared" ref="CC16:CC21" si="2">IF(SUM(N16:AE16)&lt;=E16,0,1)</f>
        <v>0</v>
      </c>
    </row>
    <row r="17" spans="2:81" x14ac:dyDescent="0.2">
      <c r="B17" t="s">
        <v>982</v>
      </c>
      <c r="C17">
        <v>150</v>
      </c>
      <c r="D17" t="s">
        <v>248</v>
      </c>
      <c r="BC17">
        <f t="shared" si="0"/>
        <v>0</v>
      </c>
      <c r="CB17">
        <f t="shared" si="1"/>
        <v>0</v>
      </c>
      <c r="CC17">
        <f t="shared" si="2"/>
        <v>0</v>
      </c>
    </row>
    <row r="18" spans="2:81" x14ac:dyDescent="0.2">
      <c r="B18" t="s">
        <v>983</v>
      </c>
      <c r="C18">
        <v>160</v>
      </c>
      <c r="D18" t="s">
        <v>248</v>
      </c>
      <c r="BC18">
        <f t="shared" si="0"/>
        <v>0</v>
      </c>
      <c r="CB18">
        <f t="shared" si="1"/>
        <v>0</v>
      </c>
      <c r="CC18">
        <f t="shared" si="2"/>
        <v>0</v>
      </c>
    </row>
    <row r="19" spans="2:81" x14ac:dyDescent="0.2">
      <c r="B19" t="s">
        <v>984</v>
      </c>
      <c r="C19">
        <v>170</v>
      </c>
      <c r="D19" t="s">
        <v>248</v>
      </c>
      <c r="BC19">
        <f t="shared" si="0"/>
        <v>0</v>
      </c>
      <c r="CB19">
        <f t="shared" si="1"/>
        <v>0</v>
      </c>
      <c r="CC19">
        <f t="shared" si="2"/>
        <v>0</v>
      </c>
    </row>
    <row r="20" spans="2:81" x14ac:dyDescent="0.2">
      <c r="B20" t="s">
        <v>985</v>
      </c>
      <c r="C20">
        <v>180</v>
      </c>
      <c r="D20" t="s">
        <v>248</v>
      </c>
      <c r="BC20">
        <f t="shared" si="0"/>
        <v>0</v>
      </c>
      <c r="CB20">
        <f t="shared" si="1"/>
        <v>0</v>
      </c>
      <c r="CC20">
        <f t="shared" si="2"/>
        <v>0</v>
      </c>
    </row>
    <row r="21" spans="2:81" x14ac:dyDescent="0.2">
      <c r="B21" t="s">
        <v>312</v>
      </c>
      <c r="C21">
        <v>190</v>
      </c>
      <c r="D21" t="s">
        <v>248</v>
      </c>
      <c r="BC21">
        <f t="shared" si="0"/>
        <v>0</v>
      </c>
      <c r="CB21">
        <f t="shared" si="1"/>
        <v>0</v>
      </c>
      <c r="CC21">
        <f t="shared" si="2"/>
        <v>0</v>
      </c>
    </row>
    <row r="22" spans="2:81" x14ac:dyDescent="0.2">
      <c r="B22" t="s">
        <v>979</v>
      </c>
      <c r="C22">
        <v>200</v>
      </c>
      <c r="D22" t="s">
        <v>248</v>
      </c>
      <c r="E22">
        <f>SUM(E16:E21)</f>
        <v>0</v>
      </c>
      <c r="O22">
        <f>SUM(O16:O21)</f>
        <v>0</v>
      </c>
      <c r="P22">
        <f>SUM(P16:P21)</f>
        <v>0</v>
      </c>
      <c r="Q22">
        <f>SUM(Q16:Q21)</f>
        <v>0</v>
      </c>
      <c r="R22">
        <f>SUM(R16:R21)</f>
        <v>0</v>
      </c>
      <c r="S22">
        <f>SUM(S16:S21)</f>
        <v>0</v>
      </c>
      <c r="U22">
        <f>SUM(U16:U21)</f>
        <v>0</v>
      </c>
      <c r="W22">
        <f>SUM(W16:W21)</f>
        <v>0</v>
      </c>
      <c r="Y22">
        <f>SUM(Y16:Y21)</f>
        <v>0</v>
      </c>
      <c r="AA22">
        <f>SUM(AA16:AA21)</f>
        <v>0</v>
      </c>
      <c r="AC22">
        <f>SUM(AC16:AC21)</f>
        <v>0</v>
      </c>
      <c r="AE22">
        <f>SUM(AE16:AE21)</f>
        <v>0</v>
      </c>
      <c r="BC22">
        <f>SUM(BC16:BC21)</f>
        <v>0</v>
      </c>
    </row>
    <row r="23" spans="2:81" x14ac:dyDescent="0.2">
      <c r="B23" t="s">
        <v>986</v>
      </c>
      <c r="C23">
        <v>210</v>
      </c>
      <c r="D23" t="s">
        <v>248</v>
      </c>
      <c r="E23">
        <f>SUM(E14+E22)</f>
        <v>0</v>
      </c>
      <c r="O23">
        <f>SUM(O14+O22)</f>
        <v>0</v>
      </c>
      <c r="P23">
        <f>SUM(P14+P22)</f>
        <v>0</v>
      </c>
      <c r="Q23">
        <f>SUM(Q14+Q22)</f>
        <v>0</v>
      </c>
      <c r="R23">
        <f>SUM(R14+R22)</f>
        <v>0</v>
      </c>
      <c r="S23">
        <f>SUM(S14+S22)</f>
        <v>0</v>
      </c>
      <c r="U23">
        <f>SUM(U14+U22)</f>
        <v>0</v>
      </c>
      <c r="W23">
        <f>SUM(W14+W22)</f>
        <v>0</v>
      </c>
      <c r="Y23">
        <f>SUM(Y14+Y22)</f>
        <v>0</v>
      </c>
      <c r="AA23">
        <f>SUM(AA14+AA22)</f>
        <v>0</v>
      </c>
      <c r="AC23">
        <f>SUM(AC14+AC22)</f>
        <v>0</v>
      </c>
      <c r="AE23">
        <f>SUM(AE14+AE22)</f>
        <v>0</v>
      </c>
      <c r="BC23">
        <f>BC14+BC22</f>
        <v>0</v>
      </c>
    </row>
    <row r="27" spans="2:81" x14ac:dyDescent="0.2">
      <c r="D27" t="s">
        <v>25</v>
      </c>
      <c r="E27" t="s">
        <v>235</v>
      </c>
      <c r="H27" t="s">
        <v>294</v>
      </c>
      <c r="BC27" t="s">
        <v>237</v>
      </c>
    </row>
    <row r="28" spans="2:81" x14ac:dyDescent="0.2">
      <c r="B28" t="s">
        <v>112</v>
      </c>
      <c r="C28" t="s">
        <v>238</v>
      </c>
      <c r="E28" t="s">
        <v>975</v>
      </c>
      <c r="H28" t="s">
        <v>240</v>
      </c>
      <c r="BC28" t="s">
        <v>241</v>
      </c>
    </row>
    <row r="29" spans="2:81" x14ac:dyDescent="0.2">
      <c r="C29" t="s">
        <v>242</v>
      </c>
      <c r="E29" t="s">
        <v>243</v>
      </c>
      <c r="H29" t="s">
        <v>243</v>
      </c>
      <c r="BC29" t="s">
        <v>243</v>
      </c>
    </row>
    <row r="30" spans="2:81" x14ac:dyDescent="0.2">
      <c r="B30" t="s">
        <v>987</v>
      </c>
      <c r="C30">
        <v>211</v>
      </c>
      <c r="D30" t="s">
        <v>248</v>
      </c>
      <c r="BC30">
        <f>E30</f>
        <v>0</v>
      </c>
      <c r="CB30">
        <f>IF(OR(E30&lt;0,BC30&lt;0),1,0)</f>
        <v>0</v>
      </c>
    </row>
    <row r="31" spans="2:81" x14ac:dyDescent="0.2">
      <c r="B31" t="s">
        <v>988</v>
      </c>
      <c r="C31">
        <v>212</v>
      </c>
      <c r="D31" t="s">
        <v>245</v>
      </c>
      <c r="BC31">
        <f>E31</f>
        <v>0</v>
      </c>
      <c r="CA31">
        <f>IF(OR(E31&gt;0,BC31&gt;0),1,0)</f>
        <v>0</v>
      </c>
    </row>
    <row r="32" spans="2:81" x14ac:dyDescent="0.2">
      <c r="B32" t="s">
        <v>989</v>
      </c>
      <c r="C32">
        <v>220</v>
      </c>
      <c r="D32" t="s">
        <v>251</v>
      </c>
      <c r="E32">
        <f>SUM(E30:E31)</f>
        <v>0</v>
      </c>
      <c r="BC32">
        <f>SUM(BC30:BC31)</f>
        <v>0</v>
      </c>
    </row>
    <row r="33" spans="2:80" x14ac:dyDescent="0.2">
      <c r="B33" t="s">
        <v>990</v>
      </c>
      <c r="C33">
        <v>221</v>
      </c>
      <c r="D33" t="s">
        <v>248</v>
      </c>
      <c r="BC33">
        <f>E33</f>
        <v>0</v>
      </c>
      <c r="CB33">
        <f>IF(OR(E33&lt;0,BC33&lt;0),1,0)</f>
        <v>0</v>
      </c>
    </row>
    <row r="34" spans="2:80" x14ac:dyDescent="0.2">
      <c r="B34" t="s">
        <v>991</v>
      </c>
      <c r="C34">
        <v>222</v>
      </c>
      <c r="D34" t="s">
        <v>245</v>
      </c>
      <c r="BC34">
        <f>E34</f>
        <v>0</v>
      </c>
      <c r="CA34">
        <f>IF(OR(E34&gt;0,BC34&gt;0),1,0)</f>
        <v>0</v>
      </c>
    </row>
    <row r="35" spans="2:80" x14ac:dyDescent="0.2">
      <c r="B35" t="s">
        <v>992</v>
      </c>
      <c r="C35">
        <v>230</v>
      </c>
      <c r="D35" t="s">
        <v>251</v>
      </c>
      <c r="E35">
        <f>SUM(E33:E34)</f>
        <v>0</v>
      </c>
      <c r="BC35">
        <f>SUM(BC33:BC34)</f>
        <v>0</v>
      </c>
    </row>
    <row r="36" spans="2:80" x14ac:dyDescent="0.2">
      <c r="B36" t="s">
        <v>993</v>
      </c>
      <c r="C36">
        <v>231</v>
      </c>
      <c r="D36" t="s">
        <v>248</v>
      </c>
      <c r="BC36">
        <f>E36</f>
        <v>0</v>
      </c>
      <c r="CB36">
        <f>IF(OR(E36&lt;0,BC36&lt;0),1,0)</f>
        <v>0</v>
      </c>
    </row>
    <row r="37" spans="2:80" x14ac:dyDescent="0.2">
      <c r="B37" t="s">
        <v>994</v>
      </c>
      <c r="C37">
        <v>232</v>
      </c>
      <c r="D37" t="s">
        <v>245</v>
      </c>
      <c r="BC37">
        <f>E37</f>
        <v>0</v>
      </c>
      <c r="CA37">
        <f>IF(OR(E37&gt;0,BC37&gt;0),1,0)</f>
        <v>0</v>
      </c>
    </row>
    <row r="38" spans="2:80" x14ac:dyDescent="0.2">
      <c r="B38" t="s">
        <v>995</v>
      </c>
      <c r="C38">
        <v>240</v>
      </c>
      <c r="D38" t="s">
        <v>251</v>
      </c>
      <c r="E38">
        <f>SUM(E36:E37)</f>
        <v>0</v>
      </c>
      <c r="BC38">
        <f>SUM(BC36:BC37)</f>
        <v>0</v>
      </c>
    </row>
    <row r="39" spans="2:80" x14ac:dyDescent="0.2">
      <c r="B39" t="s">
        <v>996</v>
      </c>
      <c r="C39">
        <v>241</v>
      </c>
      <c r="D39" t="s">
        <v>248</v>
      </c>
      <c r="BC39">
        <f>E39</f>
        <v>0</v>
      </c>
      <c r="CB39">
        <f>IF(OR(E39&lt;0,BC39&lt;0),1,0)</f>
        <v>0</v>
      </c>
    </row>
    <row r="40" spans="2:80" x14ac:dyDescent="0.2">
      <c r="B40" t="s">
        <v>997</v>
      </c>
      <c r="C40">
        <v>242</v>
      </c>
      <c r="D40" t="s">
        <v>245</v>
      </c>
      <c r="BC40">
        <f>E40</f>
        <v>0</v>
      </c>
      <c r="CA40">
        <f>IF(OR(E40&gt;0,BC40&gt;0),1,0)</f>
        <v>0</v>
      </c>
    </row>
    <row r="41" spans="2:80" x14ac:dyDescent="0.2">
      <c r="B41" t="s">
        <v>998</v>
      </c>
      <c r="C41">
        <v>245</v>
      </c>
      <c r="D41" t="s">
        <v>251</v>
      </c>
      <c r="E41">
        <f>SUM(E39:E40)</f>
        <v>0</v>
      </c>
      <c r="BC41">
        <f>SUM(BC39:BC40)</f>
        <v>0</v>
      </c>
    </row>
    <row r="42" spans="2:80" x14ac:dyDescent="0.2">
      <c r="B42" t="s">
        <v>999</v>
      </c>
      <c r="C42">
        <v>250</v>
      </c>
      <c r="D42" t="s">
        <v>251</v>
      </c>
      <c r="BC42">
        <f>E42</f>
        <v>0</v>
      </c>
    </row>
    <row r="43" spans="2:80" x14ac:dyDescent="0.2">
      <c r="B43" t="s">
        <v>2985</v>
      </c>
      <c r="C43">
        <v>260</v>
      </c>
      <c r="D43" t="s">
        <v>251</v>
      </c>
      <c r="BC43">
        <f>E43</f>
        <v>0</v>
      </c>
    </row>
    <row r="44" spans="2:80" x14ac:dyDescent="0.2">
      <c r="B44" t="s">
        <v>1001</v>
      </c>
      <c r="C44">
        <v>270</v>
      </c>
      <c r="D44" t="s">
        <v>251</v>
      </c>
      <c r="BC44">
        <f>E44</f>
        <v>0</v>
      </c>
    </row>
    <row r="45" spans="2:80" x14ac:dyDescent="0.2">
      <c r="B45" t="s">
        <v>1002</v>
      </c>
      <c r="C45">
        <v>280</v>
      </c>
      <c r="D45" t="s">
        <v>251</v>
      </c>
      <c r="BC45">
        <f>E45</f>
        <v>0</v>
      </c>
    </row>
    <row r="46" spans="2:80" x14ac:dyDescent="0.2">
      <c r="B46" t="s">
        <v>1003</v>
      </c>
      <c r="C46">
        <v>285</v>
      </c>
      <c r="D46" t="s">
        <v>251</v>
      </c>
      <c r="E46">
        <f>SUM(E43:E45)</f>
        <v>0</v>
      </c>
      <c r="H46">
        <f>SUM(H43:H45)</f>
        <v>0</v>
      </c>
      <c r="BC46">
        <f>SUM(BC43:BC45)</f>
        <v>0</v>
      </c>
    </row>
    <row r="47" spans="2:80" x14ac:dyDescent="0.2">
      <c r="B47" t="s">
        <v>1004</v>
      </c>
      <c r="C47">
        <v>290</v>
      </c>
      <c r="D47" t="s">
        <v>251</v>
      </c>
      <c r="BC47">
        <f>E47</f>
        <v>0</v>
      </c>
    </row>
    <row r="48" spans="2:80" x14ac:dyDescent="0.2">
      <c r="B48" t="s">
        <v>358</v>
      </c>
      <c r="C48">
        <v>300</v>
      </c>
      <c r="D48" t="s">
        <v>251</v>
      </c>
      <c r="E48">
        <f>SUM(E32+E35+E38+E41+E42+E46+E47)</f>
        <v>0</v>
      </c>
      <c r="BC48">
        <f>SUM(BC32+BC35+BC38+BC41+BC42+BC46+BC47)</f>
        <v>0</v>
      </c>
    </row>
    <row r="51" spans="2:81" x14ac:dyDescent="0.2">
      <c r="D51" t="s">
        <v>25</v>
      </c>
      <c r="E51" t="s">
        <v>235</v>
      </c>
      <c r="H51" t="s">
        <v>294</v>
      </c>
      <c r="O51" t="s">
        <v>360</v>
      </c>
      <c r="P51" t="s">
        <v>361</v>
      </c>
      <c r="Q51" t="s">
        <v>362</v>
      </c>
      <c r="R51" t="s">
        <v>576</v>
      </c>
      <c r="S51" t="s">
        <v>577</v>
      </c>
      <c r="T51" t="s">
        <v>578</v>
      </c>
      <c r="U51" t="s">
        <v>579</v>
      </c>
      <c r="V51" t="s">
        <v>580</v>
      </c>
      <c r="W51" t="s">
        <v>581</v>
      </c>
      <c r="X51" t="s">
        <v>582</v>
      </c>
      <c r="Y51" t="s">
        <v>583</v>
      </c>
      <c r="Z51" t="s">
        <v>584</v>
      </c>
      <c r="AA51" t="s">
        <v>823</v>
      </c>
      <c r="AB51" t="s">
        <v>824</v>
      </c>
      <c r="AC51" t="s">
        <v>825</v>
      </c>
      <c r="AD51" t="s">
        <v>826</v>
      </c>
      <c r="AE51" t="s">
        <v>827</v>
      </c>
      <c r="BC51" t="s">
        <v>237</v>
      </c>
    </row>
    <row r="52" spans="2:81" x14ac:dyDescent="0.2">
      <c r="B52" t="s">
        <v>113</v>
      </c>
      <c r="C52" t="s">
        <v>238</v>
      </c>
      <c r="E52" t="s">
        <v>975</v>
      </c>
      <c r="H52" t="s">
        <v>240</v>
      </c>
      <c r="O52" t="s">
        <v>1005</v>
      </c>
      <c r="P52" t="s">
        <v>1006</v>
      </c>
      <c r="Q52" t="s">
        <v>1007</v>
      </c>
      <c r="R52" t="s">
        <v>590</v>
      </c>
      <c r="S52" t="s">
        <v>1008</v>
      </c>
      <c r="T52" t="s">
        <v>592</v>
      </c>
      <c r="U52" t="s">
        <v>593</v>
      </c>
      <c r="V52" t="s">
        <v>594</v>
      </c>
      <c r="W52" t="s">
        <v>595</v>
      </c>
      <c r="X52" t="s">
        <v>596</v>
      </c>
      <c r="Y52" t="s">
        <v>597</v>
      </c>
      <c r="Z52" t="s">
        <v>598</v>
      </c>
      <c r="AA52" t="s">
        <v>599</v>
      </c>
      <c r="AB52" t="s">
        <v>600</v>
      </c>
      <c r="AC52" t="s">
        <v>601</v>
      </c>
      <c r="AD52" t="s">
        <v>602</v>
      </c>
      <c r="AE52" t="s">
        <v>603</v>
      </c>
      <c r="BC52" t="s">
        <v>241</v>
      </c>
    </row>
    <row r="53" spans="2:81" x14ac:dyDescent="0.2">
      <c r="C53" t="s">
        <v>242</v>
      </c>
      <c r="E53" t="s">
        <v>243</v>
      </c>
      <c r="H53" t="s">
        <v>243</v>
      </c>
      <c r="O53" t="s">
        <v>243</v>
      </c>
      <c r="P53" t="s">
        <v>243</v>
      </c>
      <c r="Q53" t="s">
        <v>243</v>
      </c>
      <c r="R53" t="s">
        <v>243</v>
      </c>
      <c r="S53" t="s">
        <v>243</v>
      </c>
      <c r="T53" t="s">
        <v>243</v>
      </c>
      <c r="U53" t="s">
        <v>243</v>
      </c>
      <c r="V53" t="s">
        <v>243</v>
      </c>
      <c r="W53" t="s">
        <v>243</v>
      </c>
      <c r="X53" t="s">
        <v>243</v>
      </c>
      <c r="Y53" t="s">
        <v>243</v>
      </c>
      <c r="Z53" t="s">
        <v>243</v>
      </c>
      <c r="AA53" t="s">
        <v>243</v>
      </c>
      <c r="AB53" t="s">
        <v>243</v>
      </c>
      <c r="AC53" t="s">
        <v>243</v>
      </c>
      <c r="AD53" t="s">
        <v>243</v>
      </c>
      <c r="AE53" t="s">
        <v>243</v>
      </c>
      <c r="BC53" t="s">
        <v>243</v>
      </c>
    </row>
    <row r="54" spans="2:81" x14ac:dyDescent="0.2">
      <c r="B54" t="s">
        <v>1009</v>
      </c>
      <c r="C54">
        <v>310</v>
      </c>
      <c r="D54" t="s">
        <v>248</v>
      </c>
      <c r="BC54">
        <f>E54</f>
        <v>0</v>
      </c>
      <c r="CB54">
        <f>IF(OR(E54&lt;0,BC54&lt;0),1,0)</f>
        <v>0</v>
      </c>
      <c r="CC54">
        <f>IF(SUM(N54:AE54)&lt;=E54,0,1)</f>
        <v>0</v>
      </c>
    </row>
    <row r="55" spans="2:81" x14ac:dyDescent="0.2">
      <c r="B55" t="s">
        <v>1010</v>
      </c>
      <c r="C55">
        <v>320</v>
      </c>
      <c r="D55" t="s">
        <v>248</v>
      </c>
      <c r="BC55">
        <f>E55</f>
        <v>0</v>
      </c>
      <c r="CB55">
        <f>IF(OR(E55&lt;0,BC55&lt;0),1,0)</f>
        <v>0</v>
      </c>
      <c r="CC55">
        <f>IF(SUM(N55:AE55)&lt;=E55,0,1)</f>
        <v>0</v>
      </c>
    </row>
    <row r="56" spans="2:81" x14ac:dyDescent="0.2">
      <c r="B56" t="s">
        <v>1011</v>
      </c>
    </row>
    <row r="57" spans="2:81" x14ac:dyDescent="0.2">
      <c r="B57" t="s">
        <v>1012</v>
      </c>
      <c r="C57">
        <v>340</v>
      </c>
      <c r="D57" t="s">
        <v>248</v>
      </c>
      <c r="BC57">
        <f>E57</f>
        <v>0</v>
      </c>
      <c r="CB57">
        <f>IF(OR(E57&lt;0,BC57&lt;0),1,0)</f>
        <v>0</v>
      </c>
      <c r="CC57">
        <f>IF(SUM(N57:AE57)&lt;=E57,0,1)</f>
        <v>0</v>
      </c>
    </row>
    <row r="58" spans="2:81" x14ac:dyDescent="0.2">
      <c r="B58" t="s">
        <v>1013</v>
      </c>
      <c r="C58">
        <v>350</v>
      </c>
      <c r="D58" t="s">
        <v>248</v>
      </c>
      <c r="BC58">
        <f>E58</f>
        <v>0</v>
      </c>
      <c r="CB58">
        <f>IF(OR(E58&lt;0,BC58&lt;0),1,0)</f>
        <v>0</v>
      </c>
      <c r="CC58">
        <f>IF(SUM(N58:AE58)&lt;=E58,0,1)</f>
        <v>0</v>
      </c>
    </row>
    <row r="59" spans="2:81" x14ac:dyDescent="0.2">
      <c r="B59" t="s">
        <v>1014</v>
      </c>
      <c r="C59">
        <v>355</v>
      </c>
      <c r="D59" t="s">
        <v>248</v>
      </c>
      <c r="E59">
        <f>SUM(E57:E58)</f>
        <v>0</v>
      </c>
      <c r="H59">
        <f>SUM(H57:H58)</f>
        <v>0</v>
      </c>
      <c r="BC59">
        <f>SUM(BC57:BC58)</f>
        <v>0</v>
      </c>
    </row>
    <row r="60" spans="2:81" x14ac:dyDescent="0.2">
      <c r="B60" t="s">
        <v>1015</v>
      </c>
    </row>
    <row r="61" spans="2:81" x14ac:dyDescent="0.2">
      <c r="B61" t="s">
        <v>1012</v>
      </c>
      <c r="C61">
        <v>360</v>
      </c>
      <c r="D61" t="s">
        <v>248</v>
      </c>
      <c r="BC61">
        <f>E61</f>
        <v>0</v>
      </c>
      <c r="CB61">
        <f>IF(OR(E61&lt;0,BC61&lt;0),1,0)</f>
        <v>0</v>
      </c>
      <c r="CC61">
        <f>IF(SUM(N61:AE61)&lt;=E61,0,1)</f>
        <v>0</v>
      </c>
    </row>
    <row r="62" spans="2:81" x14ac:dyDescent="0.2">
      <c r="B62" t="s">
        <v>1013</v>
      </c>
      <c r="C62">
        <v>370</v>
      </c>
      <c r="D62" t="s">
        <v>248</v>
      </c>
      <c r="BC62">
        <f>E62</f>
        <v>0</v>
      </c>
      <c r="CB62">
        <f>IF(OR(E62&lt;0,BC62&lt;0),1,0)</f>
        <v>0</v>
      </c>
      <c r="CC62">
        <f>IF(SUM(N62:AE62)&lt;=E62,0,1)</f>
        <v>0</v>
      </c>
    </row>
    <row r="63" spans="2:81" x14ac:dyDescent="0.2">
      <c r="B63" t="s">
        <v>1016</v>
      </c>
      <c r="C63">
        <v>375</v>
      </c>
      <c r="D63" t="s">
        <v>248</v>
      </c>
      <c r="E63">
        <f>SUM(E61:E62)</f>
        <v>0</v>
      </c>
      <c r="H63">
        <f>SUM(H61:H62)</f>
        <v>0</v>
      </c>
      <c r="BC63">
        <f>SUM(BC61:BC62)</f>
        <v>0</v>
      </c>
    </row>
    <row r="64" spans="2:81" x14ac:dyDescent="0.2">
      <c r="B64" t="s">
        <v>1017</v>
      </c>
      <c r="C64">
        <v>380</v>
      </c>
      <c r="D64" t="s">
        <v>248</v>
      </c>
      <c r="BC64">
        <f>E64</f>
        <v>0</v>
      </c>
      <c r="CB64">
        <f>IF(OR(E64&lt;0,BC64&lt;0),1,0)</f>
        <v>0</v>
      </c>
      <c r="CC64">
        <f>IF(SUM(N64:AE64)&lt;=E64,0,1)</f>
        <v>0</v>
      </c>
    </row>
    <row r="65" spans="2:81" x14ac:dyDescent="0.2">
      <c r="B65" t="s">
        <v>1018</v>
      </c>
      <c r="C65">
        <v>390</v>
      </c>
      <c r="D65" t="s">
        <v>248</v>
      </c>
    </row>
    <row r="66" spans="2:81" x14ac:dyDescent="0.2">
      <c r="B66" t="s">
        <v>1019</v>
      </c>
      <c r="C66">
        <v>400</v>
      </c>
      <c r="D66" t="s">
        <v>248</v>
      </c>
      <c r="E66">
        <f>SUM(E54:E65)-(E59+E63)</f>
        <v>0</v>
      </c>
      <c r="O66">
        <f>SUM(O54:O65)-(O59+O63)</f>
        <v>0</v>
      </c>
      <c r="P66">
        <f>SUM(P54:P65)-(P59+P63)</f>
        <v>0</v>
      </c>
      <c r="Q66">
        <f>SUM(Q54:Q65)-(Q59+Q63)</f>
        <v>0</v>
      </c>
      <c r="R66">
        <f>SUM(R54:R65)-(R59+R63)</f>
        <v>0</v>
      </c>
      <c r="S66">
        <f>SUM(S54:S65)-(S59+S63)</f>
        <v>0</v>
      </c>
      <c r="U66">
        <f>SUM(U54:U65)-(U59+U63)</f>
        <v>0</v>
      </c>
      <c r="W66">
        <f>SUM(W54:W65)-(W59+W63)</f>
        <v>0</v>
      </c>
      <c r="Y66">
        <f>SUM(Y54:Y65)-(Y59+Y63)</f>
        <v>0</v>
      </c>
      <c r="AA66">
        <f>SUM(AA54:AA65)-(AA59+AA63)</f>
        <v>0</v>
      </c>
      <c r="AC66">
        <f>SUM(AC54:AC65)-(AC59+AC63)</f>
        <v>0</v>
      </c>
      <c r="AE66">
        <f>SUM(AE54:AE65)-(AE59+AE63)</f>
        <v>0</v>
      </c>
      <c r="BC66">
        <f>SUM(BC54:BC65)-(BC59+BC63)</f>
        <v>0</v>
      </c>
    </row>
    <row r="67" spans="2:81" x14ac:dyDescent="0.2">
      <c r="B67" t="s">
        <v>1020</v>
      </c>
      <c r="C67">
        <v>410</v>
      </c>
      <c r="D67" t="s">
        <v>248</v>
      </c>
      <c r="BC67">
        <f>E67</f>
        <v>0</v>
      </c>
      <c r="CB67">
        <f>IF(OR(E67&lt;0,BC67&lt;0),1,0)</f>
        <v>0</v>
      </c>
      <c r="CC67">
        <f>IF(SUM(N67:AE67)&lt;=E67,0,1)</f>
        <v>0</v>
      </c>
    </row>
    <row r="68" spans="2:81" x14ac:dyDescent="0.2">
      <c r="B68" t="s">
        <v>1021</v>
      </c>
      <c r="C68">
        <v>415</v>
      </c>
      <c r="D68" t="s">
        <v>248</v>
      </c>
    </row>
    <row r="69" spans="2:81" x14ac:dyDescent="0.2">
      <c r="B69" t="s">
        <v>358</v>
      </c>
      <c r="C69">
        <v>420</v>
      </c>
      <c r="D69" t="s">
        <v>248</v>
      </c>
      <c r="E69">
        <f>SUM(E66:E68)</f>
        <v>0</v>
      </c>
      <c r="O69">
        <f>SUM(O66:O68)</f>
        <v>0</v>
      </c>
      <c r="P69">
        <f>SUM(P66:P68)</f>
        <v>0</v>
      </c>
      <c r="Q69">
        <f>SUM(Q66:Q68)</f>
        <v>0</v>
      </c>
      <c r="R69">
        <f>SUM(R66:R68)</f>
        <v>0</v>
      </c>
      <c r="S69">
        <f>SUM(S66:S68)</f>
        <v>0</v>
      </c>
      <c r="U69">
        <f>SUM(U66:U68)</f>
        <v>0</v>
      </c>
      <c r="W69">
        <f>SUM(W66:W68)</f>
        <v>0</v>
      </c>
      <c r="Y69">
        <f>SUM(Y66:Y68)</f>
        <v>0</v>
      </c>
      <c r="AA69">
        <f>SUM(AA66:AA68)</f>
        <v>0</v>
      </c>
      <c r="AC69">
        <f>SUM(AC66:AC68)</f>
        <v>0</v>
      </c>
      <c r="AE69">
        <f>SUM(AE66:AE68)</f>
        <v>0</v>
      </c>
      <c r="BC69">
        <f>SUM(BC66:BC68)</f>
        <v>0</v>
      </c>
    </row>
    <row r="72" spans="2:81" x14ac:dyDescent="0.2">
      <c r="D72" t="s">
        <v>25</v>
      </c>
      <c r="E72" t="s">
        <v>235</v>
      </c>
      <c r="H72" t="s">
        <v>294</v>
      </c>
      <c r="BC72" t="s">
        <v>237</v>
      </c>
    </row>
    <row r="73" spans="2:81" x14ac:dyDescent="0.2">
      <c r="B73" t="s">
        <v>1022</v>
      </c>
      <c r="C73" t="s">
        <v>238</v>
      </c>
      <c r="E73" t="s">
        <v>975</v>
      </c>
      <c r="H73" t="s">
        <v>240</v>
      </c>
      <c r="BC73" t="s">
        <v>241</v>
      </c>
    </row>
    <row r="74" spans="2:81" x14ac:dyDescent="0.2">
      <c r="C74" t="s">
        <v>242</v>
      </c>
      <c r="E74" t="s">
        <v>243</v>
      </c>
      <c r="H74" t="s">
        <v>243</v>
      </c>
      <c r="BC74" t="s">
        <v>243</v>
      </c>
    </row>
    <row r="75" spans="2:81" x14ac:dyDescent="0.2">
      <c r="B75" t="s">
        <v>987</v>
      </c>
      <c r="C75">
        <v>500</v>
      </c>
      <c r="D75" t="s">
        <v>248</v>
      </c>
    </row>
    <row r="76" spans="2:81" x14ac:dyDescent="0.2">
      <c r="B76" t="s">
        <v>1023</v>
      </c>
      <c r="C76">
        <v>510</v>
      </c>
      <c r="D76" t="s">
        <v>245</v>
      </c>
    </row>
    <row r="77" spans="2:81" x14ac:dyDescent="0.2">
      <c r="B77" t="s">
        <v>1024</v>
      </c>
      <c r="C77">
        <v>520</v>
      </c>
      <c r="D77" t="s">
        <v>251</v>
      </c>
    </row>
    <row r="78" spans="2:81" x14ac:dyDescent="0.2">
      <c r="B78" t="s">
        <v>990</v>
      </c>
      <c r="C78">
        <v>530</v>
      </c>
      <c r="D78" t="s">
        <v>248</v>
      </c>
    </row>
    <row r="79" spans="2:81" x14ac:dyDescent="0.2">
      <c r="B79" t="s">
        <v>991</v>
      </c>
      <c r="C79">
        <v>540</v>
      </c>
      <c r="D79" t="s">
        <v>245</v>
      </c>
    </row>
    <row r="80" spans="2:81" x14ac:dyDescent="0.2">
      <c r="B80" t="s">
        <v>1025</v>
      </c>
      <c r="C80">
        <v>550</v>
      </c>
      <c r="D80" t="s">
        <v>251</v>
      </c>
    </row>
    <row r="81" spans="2:79" x14ac:dyDescent="0.2">
      <c r="B81" t="s">
        <v>993</v>
      </c>
      <c r="C81">
        <v>560</v>
      </c>
      <c r="D81" t="s">
        <v>248</v>
      </c>
    </row>
    <row r="82" spans="2:79" x14ac:dyDescent="0.2">
      <c r="B82" t="s">
        <v>994</v>
      </c>
      <c r="C82">
        <v>570</v>
      </c>
      <c r="D82" t="s">
        <v>245</v>
      </c>
    </row>
    <row r="83" spans="2:79" x14ac:dyDescent="0.2">
      <c r="B83" t="s">
        <v>1026</v>
      </c>
      <c r="C83">
        <v>575</v>
      </c>
      <c r="D83" t="s">
        <v>251</v>
      </c>
    </row>
    <row r="84" spans="2:79" x14ac:dyDescent="0.2">
      <c r="B84" t="s">
        <v>996</v>
      </c>
      <c r="C84">
        <v>580</v>
      </c>
      <c r="D84" t="s">
        <v>248</v>
      </c>
    </row>
    <row r="85" spans="2:79" x14ac:dyDescent="0.2">
      <c r="B85" t="s">
        <v>997</v>
      </c>
      <c r="C85">
        <v>590</v>
      </c>
      <c r="D85" t="s">
        <v>245</v>
      </c>
      <c r="CA85">
        <f>IF(OR(E85&gt;0,BC85&gt;0),1,0)</f>
        <v>0</v>
      </c>
    </row>
    <row r="86" spans="2:79" x14ac:dyDescent="0.2">
      <c r="B86" t="s">
        <v>1027</v>
      </c>
      <c r="C86">
        <v>600</v>
      </c>
      <c r="D86" t="s">
        <v>251</v>
      </c>
    </row>
  </sheetData>
  <sheetProtection sheet="1" objects="1" scenarios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CT196"/>
  <sheetViews>
    <sheetView zoomScale="70" zoomScaleNormal="70" workbookViewId="0"/>
  </sheetViews>
  <sheetFormatPr defaultRowHeight="12.75" x14ac:dyDescent="0.2"/>
  <sheetData>
    <row r="1" spans="1:98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98" x14ac:dyDescent="0.2">
      <c r="A2" t="s">
        <v>3727</v>
      </c>
    </row>
    <row r="3" spans="1:98" x14ac:dyDescent="0.2">
      <c r="A3" t="s">
        <v>3766</v>
      </c>
    </row>
    <row r="4" spans="1:98" x14ac:dyDescent="0.2">
      <c r="B4" t="s">
        <v>1031</v>
      </c>
    </row>
    <row r="5" spans="1:98" x14ac:dyDescent="0.2">
      <c r="B5" t="s">
        <v>66</v>
      </c>
      <c r="CA5" t="s">
        <v>230</v>
      </c>
      <c r="CB5">
        <f>0</f>
        <v>0</v>
      </c>
    </row>
    <row r="6" spans="1:98" x14ac:dyDescent="0.2">
      <c r="CA6" t="s">
        <v>231</v>
      </c>
      <c r="CB6" t="s">
        <v>232</v>
      </c>
      <c r="CC6" t="s">
        <v>1032</v>
      </c>
      <c r="CD6" t="s">
        <v>1033</v>
      </c>
      <c r="CF6" t="s">
        <v>1034</v>
      </c>
      <c r="CK6" t="s">
        <v>1035</v>
      </c>
      <c r="CN6" t="s">
        <v>1036</v>
      </c>
      <c r="CS6" t="s">
        <v>1037</v>
      </c>
      <c r="CT6" t="s">
        <v>1038</v>
      </c>
    </row>
    <row r="7" spans="1:98" x14ac:dyDescent="0.2">
      <c r="D7" t="s">
        <v>25</v>
      </c>
      <c r="E7" t="s">
        <v>235</v>
      </c>
      <c r="F7" t="s">
        <v>236</v>
      </c>
      <c r="G7" t="s">
        <v>293</v>
      </c>
      <c r="H7" t="s">
        <v>294</v>
      </c>
      <c r="I7" t="s">
        <v>295</v>
      </c>
      <c r="J7" t="s">
        <v>296</v>
      </c>
      <c r="K7" t="s">
        <v>342</v>
      </c>
      <c r="L7" t="s">
        <v>297</v>
      </c>
      <c r="M7" t="s">
        <v>298</v>
      </c>
      <c r="BC7" t="s">
        <v>237</v>
      </c>
      <c r="CA7">
        <f>SUM(CA10:CA186)</f>
        <v>0</v>
      </c>
      <c r="CB7">
        <f>SUM(CB10:CB186)</f>
        <v>0</v>
      </c>
    </row>
    <row r="8" spans="1:98" x14ac:dyDescent="0.2">
      <c r="B8" t="s">
        <v>1039</v>
      </c>
      <c r="C8" t="s">
        <v>238</v>
      </c>
      <c r="E8" t="s">
        <v>1040</v>
      </c>
      <c r="F8" t="s">
        <v>1041</v>
      </c>
      <c r="G8" t="s">
        <v>1042</v>
      </c>
      <c r="H8" t="s">
        <v>1043</v>
      </c>
      <c r="I8" t="s">
        <v>1044</v>
      </c>
      <c r="J8" t="s">
        <v>1045</v>
      </c>
      <c r="K8" t="s">
        <v>1046</v>
      </c>
      <c r="L8" t="s">
        <v>1047</v>
      </c>
      <c r="M8" t="s">
        <v>340</v>
      </c>
      <c r="BC8" t="s">
        <v>1048</v>
      </c>
    </row>
    <row r="9" spans="1:98" x14ac:dyDescent="0.2">
      <c r="C9" t="s">
        <v>242</v>
      </c>
      <c r="F9" t="s">
        <v>1042</v>
      </c>
      <c r="H9" t="s">
        <v>1049</v>
      </c>
      <c r="I9" t="s">
        <v>1050</v>
      </c>
      <c r="J9" t="s">
        <v>1051</v>
      </c>
      <c r="K9" t="s">
        <v>1052</v>
      </c>
      <c r="L9" t="s">
        <v>1053</v>
      </c>
      <c r="BC9" t="s">
        <v>1054</v>
      </c>
    </row>
    <row r="10" spans="1:98" x14ac:dyDescent="0.2">
      <c r="H10" t="s">
        <v>1055</v>
      </c>
    </row>
    <row r="11" spans="1:98" x14ac:dyDescent="0.2">
      <c r="H11" t="s">
        <v>1056</v>
      </c>
    </row>
    <row r="12" spans="1:98" x14ac:dyDescent="0.2">
      <c r="E12" t="s">
        <v>243</v>
      </c>
      <c r="F12" t="s">
        <v>243</v>
      </c>
      <c r="G12" t="s">
        <v>243</v>
      </c>
      <c r="H12" t="s">
        <v>243</v>
      </c>
      <c r="I12" t="s">
        <v>243</v>
      </c>
      <c r="J12" t="s">
        <v>243</v>
      </c>
      <c r="K12" t="s">
        <v>243</v>
      </c>
      <c r="L12" t="s">
        <v>243</v>
      </c>
      <c r="M12" t="s">
        <v>243</v>
      </c>
      <c r="BC12" t="s">
        <v>243</v>
      </c>
    </row>
    <row r="13" spans="1:98" x14ac:dyDescent="0.2">
      <c r="B13" t="s">
        <v>1104</v>
      </c>
      <c r="C13">
        <v>100</v>
      </c>
      <c r="D13" t="s">
        <v>248</v>
      </c>
      <c r="E13">
        <f t="shared" ref="E13:M13" si="0">E147</f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</row>
    <row r="14" spans="1:98" x14ac:dyDescent="0.2">
      <c r="B14" t="s">
        <v>304</v>
      </c>
      <c r="C14">
        <v>101</v>
      </c>
      <c r="D14" t="s">
        <v>251</v>
      </c>
    </row>
    <row r="15" spans="1:98" x14ac:dyDescent="0.2">
      <c r="B15" t="s">
        <v>303</v>
      </c>
      <c r="C15">
        <v>102</v>
      </c>
      <c r="D15" t="s">
        <v>251</v>
      </c>
    </row>
    <row r="16" spans="1:98" x14ac:dyDescent="0.2">
      <c r="B16" t="s">
        <v>387</v>
      </c>
      <c r="C16">
        <v>103</v>
      </c>
      <c r="D16" t="s">
        <v>251</v>
      </c>
    </row>
    <row r="17" spans="2:98" x14ac:dyDescent="0.2">
      <c r="B17" t="s">
        <v>389</v>
      </c>
      <c r="C17">
        <v>104</v>
      </c>
      <c r="D17" t="s">
        <v>251</v>
      </c>
      <c r="M17">
        <f t="shared" ref="M17:M34" si="1">SUM(E17:L17)</f>
        <v>0</v>
      </c>
    </row>
    <row r="18" spans="2:98" x14ac:dyDescent="0.2">
      <c r="B18" t="s">
        <v>1058</v>
      </c>
      <c r="C18">
        <v>105</v>
      </c>
      <c r="D18" t="s">
        <v>248</v>
      </c>
      <c r="E18">
        <f t="shared" ref="E18:L18" si="2">SUM(E13:E17)</f>
        <v>0</v>
      </c>
      <c r="F18">
        <f t="shared" si="2"/>
        <v>0</v>
      </c>
      <c r="G18">
        <f t="shared" si="2"/>
        <v>0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1"/>
        <v>0</v>
      </c>
    </row>
    <row r="19" spans="2:98" x14ac:dyDescent="0.2">
      <c r="B19" t="s">
        <v>401</v>
      </c>
      <c r="C19">
        <v>106</v>
      </c>
      <c r="D19" t="s">
        <v>248</v>
      </c>
      <c r="M19">
        <f t="shared" si="1"/>
        <v>0</v>
      </c>
    </row>
    <row r="20" spans="2:98" x14ac:dyDescent="0.2">
      <c r="B20" t="s">
        <v>402</v>
      </c>
      <c r="C20">
        <v>108</v>
      </c>
      <c r="D20" t="s">
        <v>251</v>
      </c>
      <c r="M20">
        <f t="shared" si="1"/>
        <v>0</v>
      </c>
    </row>
    <row r="21" spans="2:98" x14ac:dyDescent="0.2">
      <c r="B21" t="s">
        <v>1059</v>
      </c>
      <c r="C21">
        <v>109</v>
      </c>
      <c r="D21" t="s">
        <v>248</v>
      </c>
      <c r="H21">
        <f>E186</f>
        <v>0</v>
      </c>
      <c r="M21">
        <f t="shared" si="1"/>
        <v>0</v>
      </c>
    </row>
    <row r="22" spans="2:98" x14ac:dyDescent="0.2">
      <c r="B22" t="s">
        <v>1060</v>
      </c>
      <c r="C22">
        <v>110</v>
      </c>
      <c r="D22" t="s">
        <v>248</v>
      </c>
      <c r="M22">
        <f t="shared" si="1"/>
        <v>0</v>
      </c>
      <c r="BC22">
        <f>M22</f>
        <v>0</v>
      </c>
      <c r="CB22">
        <f>IF(OR(E22&lt;0,F22&lt;0,G22&lt;0,H22&lt;0,I22&lt;0,J22&lt;0,K22&lt;0,L22&lt;0),1,0)</f>
        <v>0</v>
      </c>
    </row>
    <row r="23" spans="2:98" x14ac:dyDescent="0.2">
      <c r="B23" t="s">
        <v>1061</v>
      </c>
      <c r="C23">
        <v>120</v>
      </c>
      <c r="D23" t="s">
        <v>248</v>
      </c>
      <c r="M23">
        <f t="shared" si="1"/>
        <v>0</v>
      </c>
      <c r="BC23">
        <f>M23</f>
        <v>0</v>
      </c>
      <c r="CB23">
        <f>IF(OR(E23&lt;0,F23&lt;0,G23&lt;0,H23&lt;0,I23&lt;0,J23&lt;0,K23&lt;0,L23&lt;0),1,0)</f>
        <v>0</v>
      </c>
      <c r="CN23" t="s">
        <v>1062</v>
      </c>
    </row>
    <row r="24" spans="2:98" x14ac:dyDescent="0.2">
      <c r="B24" t="s">
        <v>1063</v>
      </c>
      <c r="C24">
        <v>130</v>
      </c>
      <c r="D24" t="s">
        <v>248</v>
      </c>
      <c r="M24">
        <f t="shared" si="1"/>
        <v>0</v>
      </c>
      <c r="BC24">
        <f>M24</f>
        <v>0</v>
      </c>
      <c r="CB24">
        <f>IF(OR(E24&lt;0,F24&lt;0,G24&lt;0,H24&lt;0,I24&lt;0,J24&lt;0,K24&lt;0,L24&lt;0),1,0)</f>
        <v>0</v>
      </c>
      <c r="CS24" t="s">
        <v>353</v>
      </c>
      <c r="CT24" t="s">
        <v>353</v>
      </c>
    </row>
    <row r="25" spans="2:98" x14ac:dyDescent="0.2">
      <c r="B25" t="s">
        <v>1064</v>
      </c>
      <c r="C25">
        <v>135</v>
      </c>
      <c r="D25" t="s">
        <v>248</v>
      </c>
      <c r="M25">
        <f t="shared" si="1"/>
        <v>0</v>
      </c>
      <c r="BC25">
        <f>M25</f>
        <v>0</v>
      </c>
      <c r="CB25">
        <f>IF(OR(E25&lt;0,F25&lt;0,G25&lt;0,H25&lt;0,I25&lt;0,J25&lt;0,K25&lt;0,L25&lt;0),1,0)</f>
        <v>0</v>
      </c>
    </row>
    <row r="26" spans="2:98" x14ac:dyDescent="0.2">
      <c r="B26" t="s">
        <v>1065</v>
      </c>
      <c r="C26">
        <v>140</v>
      </c>
      <c r="D26" t="s">
        <v>251</v>
      </c>
      <c r="M26">
        <f t="shared" si="1"/>
        <v>0</v>
      </c>
      <c r="CN26" t="s">
        <v>353</v>
      </c>
      <c r="CS26">
        <f>M26</f>
        <v>0</v>
      </c>
      <c r="CT26">
        <f>M45</f>
        <v>0</v>
      </c>
    </row>
    <row r="27" spans="2:98" x14ac:dyDescent="0.2">
      <c r="B27" t="s">
        <v>1066</v>
      </c>
      <c r="C27">
        <v>150</v>
      </c>
      <c r="D27" t="s">
        <v>251</v>
      </c>
      <c r="M27">
        <f t="shared" si="1"/>
        <v>0</v>
      </c>
      <c r="CN27">
        <f>SUM(M27-M46)*-1</f>
        <v>0</v>
      </c>
      <c r="CS27" t="s">
        <v>354</v>
      </c>
      <c r="CT27" t="s">
        <v>354</v>
      </c>
    </row>
    <row r="28" spans="2:98" x14ac:dyDescent="0.2">
      <c r="B28" t="s">
        <v>1067</v>
      </c>
      <c r="C28">
        <v>160</v>
      </c>
      <c r="D28" t="s">
        <v>245</v>
      </c>
      <c r="M28">
        <f t="shared" si="1"/>
        <v>0</v>
      </c>
      <c r="BC28">
        <f>M28</f>
        <v>0</v>
      </c>
      <c r="CA28">
        <f>IF(OR(E28&gt;0,F28&gt;0,G28&gt;0,H28&gt;0,I28&gt;0,J28&gt;0,K28&gt;0,L28&gt;0),1,0)</f>
        <v>0</v>
      </c>
      <c r="CC28" t="s">
        <v>1032</v>
      </c>
      <c r="CN28" t="s">
        <v>354</v>
      </c>
    </row>
    <row r="29" spans="2:98" x14ac:dyDescent="0.2">
      <c r="B29" t="s">
        <v>1068</v>
      </c>
      <c r="C29">
        <v>170</v>
      </c>
      <c r="D29" t="s">
        <v>251</v>
      </c>
      <c r="M29">
        <f t="shared" si="1"/>
        <v>0</v>
      </c>
      <c r="CC29">
        <f>SUM(M30+M31)*-1</f>
        <v>0</v>
      </c>
      <c r="CS29" t="s">
        <v>1069</v>
      </c>
      <c r="CT29" t="s">
        <v>1069</v>
      </c>
    </row>
    <row r="30" spans="2:98" x14ac:dyDescent="0.2">
      <c r="B30" t="s">
        <v>1070</v>
      </c>
      <c r="C30">
        <v>180</v>
      </c>
      <c r="D30" t="s">
        <v>245</v>
      </c>
      <c r="M30">
        <f t="shared" si="1"/>
        <v>0</v>
      </c>
      <c r="CA30">
        <f>IF(OR(E30&gt;0,F30&gt;0,G30&gt;0,H30&gt;0,I30&gt;0,J30&gt;0,K30&gt;0,L30&gt;0),1,0)</f>
        <v>0</v>
      </c>
      <c r="CN30" t="s">
        <v>340</v>
      </c>
      <c r="CS30">
        <f>CS26+CS28</f>
        <v>0</v>
      </c>
      <c r="CT30">
        <f>CT26+CT28</f>
        <v>0</v>
      </c>
    </row>
    <row r="31" spans="2:98" x14ac:dyDescent="0.2">
      <c r="B31" t="s">
        <v>1071</v>
      </c>
      <c r="C31">
        <v>190</v>
      </c>
      <c r="D31" t="s">
        <v>248</v>
      </c>
      <c r="M31">
        <f t="shared" si="1"/>
        <v>0</v>
      </c>
      <c r="CB31">
        <f>IF(OR(E31&lt;0,F31&lt;0,G31&lt;0,H31&lt;0,I31&lt;0,J31&lt;0,K31&lt;0,L31&lt;0),1,0)</f>
        <v>0</v>
      </c>
      <c r="CN31">
        <f>SUM(CN27+CN29)</f>
        <v>0</v>
      </c>
    </row>
    <row r="32" spans="2:98" x14ac:dyDescent="0.2">
      <c r="B32" t="s">
        <v>1072</v>
      </c>
      <c r="C32">
        <v>195</v>
      </c>
      <c r="D32" t="s">
        <v>251</v>
      </c>
      <c r="E32">
        <f t="shared" ref="E32:L32" si="3">SUM(E30:E31)</f>
        <v>0</v>
      </c>
      <c r="F32">
        <f t="shared" si="3"/>
        <v>0</v>
      </c>
      <c r="G32">
        <f t="shared" si="3"/>
        <v>0</v>
      </c>
      <c r="H32">
        <f t="shared" si="3"/>
        <v>0</v>
      </c>
      <c r="I32">
        <f t="shared" si="3"/>
        <v>0</v>
      </c>
      <c r="J32">
        <f t="shared" si="3"/>
        <v>0</v>
      </c>
      <c r="K32">
        <f t="shared" si="3"/>
        <v>0</v>
      </c>
      <c r="L32">
        <f t="shared" si="3"/>
        <v>0</v>
      </c>
      <c r="M32">
        <f t="shared" si="1"/>
        <v>0</v>
      </c>
    </row>
    <row r="33" spans="2:81" x14ac:dyDescent="0.2">
      <c r="B33" t="s">
        <v>1073</v>
      </c>
      <c r="C33">
        <v>210</v>
      </c>
      <c r="D33" t="s">
        <v>245</v>
      </c>
      <c r="M33">
        <f t="shared" si="1"/>
        <v>0</v>
      </c>
      <c r="CA33">
        <f>IF(OR(E33&gt;0,F33&gt;0,G33&gt;0,H33&gt;0,I33&gt;0,J33&gt;0,K33&gt;0,L33&gt;0),1,0)</f>
        <v>0</v>
      </c>
    </row>
    <row r="34" spans="2:81" x14ac:dyDescent="0.2">
      <c r="B34" t="s">
        <v>1074</v>
      </c>
      <c r="C34">
        <v>212</v>
      </c>
      <c r="D34" t="s">
        <v>251</v>
      </c>
      <c r="M34">
        <f t="shared" si="1"/>
        <v>0</v>
      </c>
    </row>
    <row r="35" spans="2:81" x14ac:dyDescent="0.2">
      <c r="B35" t="s">
        <v>1075</v>
      </c>
      <c r="C35">
        <v>215</v>
      </c>
      <c r="D35" t="s">
        <v>245</v>
      </c>
    </row>
    <row r="36" spans="2:81" x14ac:dyDescent="0.2">
      <c r="B36" t="s">
        <v>1076</v>
      </c>
      <c r="C36">
        <v>220</v>
      </c>
      <c r="D36" t="s">
        <v>248</v>
      </c>
      <c r="E36">
        <f t="shared" ref="E36:L36" si="4">SUM(E18:E35)-E32</f>
        <v>0</v>
      </c>
      <c r="F36">
        <f t="shared" si="4"/>
        <v>0</v>
      </c>
      <c r="G36">
        <f t="shared" si="4"/>
        <v>0</v>
      </c>
      <c r="H36">
        <f t="shared" si="4"/>
        <v>0</v>
      </c>
      <c r="I36">
        <f t="shared" si="4"/>
        <v>0</v>
      </c>
      <c r="J36">
        <f t="shared" si="4"/>
        <v>0</v>
      </c>
      <c r="K36">
        <f t="shared" si="4"/>
        <v>0</v>
      </c>
      <c r="L36">
        <f t="shared" si="4"/>
        <v>0</v>
      </c>
      <c r="M36">
        <f>SUM(E36:L36)</f>
        <v>0</v>
      </c>
    </row>
    <row r="37" spans="2:81" x14ac:dyDescent="0.2">
      <c r="B37" t="s">
        <v>2986</v>
      </c>
      <c r="C37">
        <v>230</v>
      </c>
      <c r="D37" t="s">
        <v>248</v>
      </c>
      <c r="E37">
        <f t="shared" ref="E37:L37" si="5">E167</f>
        <v>0</v>
      </c>
      <c r="F37">
        <f t="shared" si="5"/>
        <v>0</v>
      </c>
      <c r="G37">
        <f t="shared" si="5"/>
        <v>0</v>
      </c>
      <c r="H37">
        <f t="shared" si="5"/>
        <v>0</v>
      </c>
      <c r="I37">
        <f t="shared" si="5"/>
        <v>0</v>
      </c>
      <c r="J37">
        <f t="shared" si="5"/>
        <v>0</v>
      </c>
      <c r="K37">
        <f t="shared" si="5"/>
        <v>0</v>
      </c>
      <c r="L37">
        <f t="shared" si="5"/>
        <v>0</v>
      </c>
      <c r="M37">
        <f>SUM(E37:L37)</f>
        <v>0</v>
      </c>
    </row>
    <row r="38" spans="2:81" x14ac:dyDescent="0.2">
      <c r="B38" t="s">
        <v>304</v>
      </c>
      <c r="C38">
        <v>231</v>
      </c>
      <c r="D38" t="s">
        <v>251</v>
      </c>
    </row>
    <row r="39" spans="2:81" x14ac:dyDescent="0.2">
      <c r="B39" t="s">
        <v>303</v>
      </c>
      <c r="C39">
        <v>232</v>
      </c>
      <c r="D39" t="s">
        <v>251</v>
      </c>
    </row>
    <row r="40" spans="2:81" x14ac:dyDescent="0.2">
      <c r="B40" t="s">
        <v>387</v>
      </c>
      <c r="C40">
        <v>233</v>
      </c>
      <c r="D40" t="s">
        <v>251</v>
      </c>
    </row>
    <row r="41" spans="2:81" x14ac:dyDescent="0.2">
      <c r="B41" t="s">
        <v>1078</v>
      </c>
      <c r="C41">
        <v>234</v>
      </c>
      <c r="D41" t="s">
        <v>251</v>
      </c>
    </row>
    <row r="42" spans="2:81" x14ac:dyDescent="0.2">
      <c r="B42" t="s">
        <v>389</v>
      </c>
      <c r="C42">
        <v>235</v>
      </c>
      <c r="D42" t="s">
        <v>251</v>
      </c>
      <c r="M42">
        <f>SUM(E42:L42)</f>
        <v>0</v>
      </c>
    </row>
    <row r="43" spans="2:81" x14ac:dyDescent="0.2">
      <c r="B43" t="s">
        <v>1079</v>
      </c>
      <c r="C43">
        <v>236</v>
      </c>
      <c r="D43" t="s">
        <v>251</v>
      </c>
    </row>
    <row r="44" spans="2:81" x14ac:dyDescent="0.2">
      <c r="B44" t="s">
        <v>1080</v>
      </c>
      <c r="C44">
        <v>237</v>
      </c>
      <c r="D44" t="s">
        <v>248</v>
      </c>
      <c r="E44">
        <f t="shared" ref="E44:L44" si="6">SUM(E37+E42)</f>
        <v>0</v>
      </c>
      <c r="F44">
        <f t="shared" si="6"/>
        <v>0</v>
      </c>
      <c r="G44">
        <f t="shared" si="6"/>
        <v>0</v>
      </c>
      <c r="H44">
        <f t="shared" si="6"/>
        <v>0</v>
      </c>
      <c r="I44">
        <f t="shared" si="6"/>
        <v>0</v>
      </c>
      <c r="J44">
        <f t="shared" si="6"/>
        <v>0</v>
      </c>
      <c r="K44">
        <f t="shared" si="6"/>
        <v>0</v>
      </c>
      <c r="L44">
        <f t="shared" si="6"/>
        <v>0</v>
      </c>
      <c r="M44">
        <f t="shared" ref="M44:M52" si="7">SUM(E44:L44)</f>
        <v>0</v>
      </c>
    </row>
    <row r="45" spans="2:81" x14ac:dyDescent="0.2">
      <c r="B45" t="s">
        <v>1065</v>
      </c>
      <c r="C45">
        <v>240</v>
      </c>
      <c r="D45" t="s">
        <v>251</v>
      </c>
      <c r="M45">
        <f t="shared" si="7"/>
        <v>0</v>
      </c>
    </row>
    <row r="46" spans="2:81" x14ac:dyDescent="0.2">
      <c r="B46" t="s">
        <v>1066</v>
      </c>
      <c r="C46">
        <v>250</v>
      </c>
      <c r="D46" t="s">
        <v>251</v>
      </c>
      <c r="M46">
        <f t="shared" si="7"/>
        <v>0</v>
      </c>
    </row>
    <row r="47" spans="2:81" x14ac:dyDescent="0.2">
      <c r="B47" t="s">
        <v>1067</v>
      </c>
      <c r="C47">
        <v>260</v>
      </c>
      <c r="D47" t="s">
        <v>245</v>
      </c>
      <c r="M47">
        <f t="shared" si="7"/>
        <v>0</v>
      </c>
      <c r="BC47">
        <f>M47</f>
        <v>0</v>
      </c>
      <c r="CA47">
        <f>IF(OR(E47&gt;0,F47&gt;0,G47&gt;0,H47&gt;0,I47&gt;0,J47&gt;0,K47&gt;0,L47&gt;0),1,0)</f>
        <v>0</v>
      </c>
    </row>
    <row r="48" spans="2:81" x14ac:dyDescent="0.2">
      <c r="B48" t="s">
        <v>1068</v>
      </c>
      <c r="C48">
        <v>270</v>
      </c>
      <c r="D48" t="s">
        <v>251</v>
      </c>
      <c r="M48">
        <f t="shared" si="7"/>
        <v>0</v>
      </c>
      <c r="CC48" t="s">
        <v>1032</v>
      </c>
    </row>
    <row r="49" spans="2:81" x14ac:dyDescent="0.2">
      <c r="B49" t="s">
        <v>1081</v>
      </c>
      <c r="C49">
        <v>280</v>
      </c>
      <c r="D49" t="s">
        <v>248</v>
      </c>
      <c r="M49">
        <f t="shared" si="7"/>
        <v>0</v>
      </c>
      <c r="CB49">
        <f>IF(OR(E49&lt;0,F49&lt;0,G49&lt;0,H49&lt;0,I49&lt;0,J49&lt;0,K49&lt;0,L49&lt;0),1,0)</f>
        <v>0</v>
      </c>
      <c r="CC49">
        <f>M49+M50</f>
        <v>0</v>
      </c>
    </row>
    <row r="50" spans="2:81" x14ac:dyDescent="0.2">
      <c r="B50" t="s">
        <v>1082</v>
      </c>
      <c r="C50">
        <v>290</v>
      </c>
      <c r="D50" t="s">
        <v>245</v>
      </c>
      <c r="M50">
        <f t="shared" si="7"/>
        <v>0</v>
      </c>
      <c r="CA50">
        <f>IF(OR(E50&gt;0,F50&gt;0,G50&gt;0,H50&gt;0,I50&gt;0,J50&gt;0,K50&gt;0,L50&gt;0),1,0)</f>
        <v>0</v>
      </c>
    </row>
    <row r="51" spans="2:81" x14ac:dyDescent="0.2">
      <c r="B51" t="s">
        <v>1083</v>
      </c>
      <c r="C51">
        <v>295</v>
      </c>
      <c r="D51" t="s">
        <v>251</v>
      </c>
      <c r="E51">
        <f t="shared" ref="E51:L51" si="8">SUM(E49:E50)</f>
        <v>0</v>
      </c>
      <c r="F51">
        <f t="shared" si="8"/>
        <v>0</v>
      </c>
      <c r="G51">
        <f t="shared" si="8"/>
        <v>0</v>
      </c>
      <c r="H51">
        <f t="shared" si="8"/>
        <v>0</v>
      </c>
      <c r="I51">
        <f t="shared" si="8"/>
        <v>0</v>
      </c>
      <c r="J51">
        <f t="shared" si="8"/>
        <v>0</v>
      </c>
      <c r="K51">
        <f t="shared" si="8"/>
        <v>0</v>
      </c>
      <c r="L51">
        <f t="shared" si="8"/>
        <v>0</v>
      </c>
      <c r="M51">
        <f t="shared" si="7"/>
        <v>0</v>
      </c>
    </row>
    <row r="52" spans="2:81" x14ac:dyDescent="0.2">
      <c r="B52" t="s">
        <v>1084</v>
      </c>
      <c r="C52">
        <v>300</v>
      </c>
      <c r="D52" t="s">
        <v>248</v>
      </c>
      <c r="M52">
        <f t="shared" si="7"/>
        <v>0</v>
      </c>
      <c r="CB52">
        <f>IF(OR(E52&lt;0,F52&lt;0,G52&lt;0,H52&lt;0,I52&lt;0,J52&lt;0,K52&lt;0,L52&lt;0),1,0)</f>
        <v>0</v>
      </c>
    </row>
    <row r="53" spans="2:81" x14ac:dyDescent="0.2">
      <c r="B53" t="s">
        <v>1085</v>
      </c>
      <c r="C53">
        <v>310</v>
      </c>
      <c r="D53" t="s">
        <v>251</v>
      </c>
    </row>
    <row r="54" spans="2:81" x14ac:dyDescent="0.2">
      <c r="B54" t="s">
        <v>1073</v>
      </c>
      <c r="C54">
        <v>320</v>
      </c>
      <c r="D54" t="s">
        <v>245</v>
      </c>
      <c r="M54">
        <f>SUM(E54:L54)</f>
        <v>0</v>
      </c>
      <c r="CA54">
        <f>IF(OR(E54&gt;0,F54&gt;0,G54&gt;0,H54&gt;0,I54&gt;0,J54&gt;0,K54&gt;0,L54&gt;0),1,0)</f>
        <v>0</v>
      </c>
    </row>
    <row r="55" spans="2:81" x14ac:dyDescent="0.2">
      <c r="B55" t="s">
        <v>1074</v>
      </c>
      <c r="C55">
        <v>325</v>
      </c>
      <c r="D55" t="s">
        <v>251</v>
      </c>
      <c r="M55">
        <f>SUM(E55:L55)</f>
        <v>0</v>
      </c>
    </row>
    <row r="56" spans="2:81" x14ac:dyDescent="0.2">
      <c r="B56" t="s">
        <v>1086</v>
      </c>
      <c r="C56">
        <v>330</v>
      </c>
      <c r="D56" t="s">
        <v>245</v>
      </c>
      <c r="CA56">
        <f>IF(OR(E56&gt;0,F56&gt;0,G56&gt;0,H56&gt;0,I56&gt;0,J56&gt;0,K56&gt;0,L56&gt;0),1,0)</f>
        <v>0</v>
      </c>
    </row>
    <row r="57" spans="2:81" x14ac:dyDescent="0.2">
      <c r="B57" t="s">
        <v>1087</v>
      </c>
      <c r="C57">
        <v>340</v>
      </c>
      <c r="D57" t="s">
        <v>248</v>
      </c>
      <c r="E57">
        <f t="shared" ref="E57:M57" si="9">SUM(E44:E56)-E51</f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 t="shared" si="9"/>
        <v>0</v>
      </c>
    </row>
    <row r="58" spans="2:81" x14ac:dyDescent="0.2">
      <c r="B58" t="s">
        <v>1088</v>
      </c>
      <c r="C58">
        <v>350</v>
      </c>
      <c r="D58" t="s">
        <v>248</v>
      </c>
      <c r="E58">
        <f t="shared" ref="E58:M58" si="10">E36-E57</f>
        <v>0</v>
      </c>
      <c r="F58">
        <f t="shared" si="10"/>
        <v>0</v>
      </c>
      <c r="G58">
        <f t="shared" si="10"/>
        <v>0</v>
      </c>
      <c r="H58">
        <f t="shared" si="10"/>
        <v>0</v>
      </c>
      <c r="I58">
        <f t="shared" si="10"/>
        <v>0</v>
      </c>
      <c r="J58">
        <f t="shared" si="10"/>
        <v>0</v>
      </c>
      <c r="K58">
        <f t="shared" si="10"/>
        <v>0</v>
      </c>
      <c r="L58">
        <f t="shared" si="10"/>
        <v>0</v>
      </c>
      <c r="M58">
        <f t="shared" si="10"/>
        <v>0</v>
      </c>
    </row>
    <row r="59" spans="2:81" x14ac:dyDescent="0.2">
      <c r="B59" t="s">
        <v>1089</v>
      </c>
      <c r="C59">
        <v>360</v>
      </c>
      <c r="D59" t="s">
        <v>248</v>
      </c>
    </row>
    <row r="60" spans="2:81" x14ac:dyDescent="0.2">
      <c r="B60" t="s">
        <v>1090</v>
      </c>
      <c r="C60">
        <v>370</v>
      </c>
      <c r="D60" t="s">
        <v>248</v>
      </c>
    </row>
    <row r="61" spans="2:81" x14ac:dyDescent="0.2">
      <c r="B61" t="s">
        <v>1091</v>
      </c>
      <c r="C61">
        <v>380</v>
      </c>
      <c r="D61" t="s">
        <v>248</v>
      </c>
    </row>
    <row r="62" spans="2:81" x14ac:dyDescent="0.2">
      <c r="B62" t="s">
        <v>1092</v>
      </c>
      <c r="C62">
        <v>390</v>
      </c>
      <c r="D62" t="s">
        <v>248</v>
      </c>
    </row>
    <row r="63" spans="2:81" x14ac:dyDescent="0.2">
      <c r="B63" t="s">
        <v>116</v>
      </c>
    </row>
    <row r="64" spans="2:81" x14ac:dyDescent="0.2">
      <c r="B64" t="s">
        <v>1093</v>
      </c>
      <c r="C64">
        <v>400</v>
      </c>
      <c r="D64" t="s">
        <v>248</v>
      </c>
      <c r="M64">
        <f t="shared" ref="M64:M70" si="11">SUM(E64:L64)</f>
        <v>0</v>
      </c>
      <c r="CB64">
        <f>IF(OR(E64&lt;0,F64&lt;0,G64&lt;0,H64&lt;0,I64&lt;0,J64&lt;0,K64&lt;0,L64&lt;0),1,0)</f>
        <v>0</v>
      </c>
    </row>
    <row r="65" spans="2:89" x14ac:dyDescent="0.2">
      <c r="B65" t="s">
        <v>1094</v>
      </c>
      <c r="C65">
        <v>405</v>
      </c>
      <c r="D65" t="s">
        <v>248</v>
      </c>
      <c r="M65">
        <f t="shared" si="11"/>
        <v>0</v>
      </c>
      <c r="CB65">
        <f>IF(OR(E65&lt;0,F65&lt;0,G65&lt;0,H65&lt;0,I65&lt;0,J65&lt;0,K65&lt;0,L65&lt;0),1,0)</f>
        <v>0</v>
      </c>
    </row>
    <row r="66" spans="2:89" x14ac:dyDescent="0.2">
      <c r="B66" t="s">
        <v>1095</v>
      </c>
      <c r="C66">
        <v>406</v>
      </c>
      <c r="D66" t="s">
        <v>248</v>
      </c>
      <c r="M66">
        <f t="shared" si="11"/>
        <v>0</v>
      </c>
      <c r="CB66">
        <f>IF(OR(E66&lt;0,F66&lt;0,G66&lt;0,H66&lt;0,I66&lt;0,J66&lt;0,K66&lt;0,L66&lt;0),1,0)</f>
        <v>0</v>
      </c>
    </row>
    <row r="67" spans="2:89" x14ac:dyDescent="0.2">
      <c r="B67" t="s">
        <v>2987</v>
      </c>
      <c r="C67">
        <v>407</v>
      </c>
      <c r="D67" t="s">
        <v>248</v>
      </c>
      <c r="E67">
        <f t="shared" ref="E67:L67" si="12">SUM(E65:E66)</f>
        <v>0</v>
      </c>
      <c r="F67">
        <f t="shared" si="12"/>
        <v>0</v>
      </c>
      <c r="G67">
        <f t="shared" si="12"/>
        <v>0</v>
      </c>
      <c r="H67">
        <f t="shared" si="12"/>
        <v>0</v>
      </c>
      <c r="I67">
        <f t="shared" si="12"/>
        <v>0</v>
      </c>
      <c r="J67">
        <f t="shared" si="12"/>
        <v>0</v>
      </c>
      <c r="K67">
        <f t="shared" si="12"/>
        <v>0</v>
      </c>
      <c r="L67">
        <f t="shared" si="12"/>
        <v>0</v>
      </c>
      <c r="M67">
        <f t="shared" si="11"/>
        <v>0</v>
      </c>
    </row>
    <row r="68" spans="2:89" x14ac:dyDescent="0.2">
      <c r="B68" t="s">
        <v>1097</v>
      </c>
      <c r="C68">
        <v>410</v>
      </c>
      <c r="D68" t="s">
        <v>248</v>
      </c>
      <c r="M68">
        <f t="shared" si="11"/>
        <v>0</v>
      </c>
      <c r="CB68">
        <f>IF(OR(E68&lt;0,F68&lt;0,G68&lt;0,H68&lt;0,I68&lt;0,J68&lt;0,K68&lt;0,L68&lt;0),1,0)</f>
        <v>0</v>
      </c>
    </row>
    <row r="69" spans="2:89" x14ac:dyDescent="0.2">
      <c r="B69" t="s">
        <v>1098</v>
      </c>
      <c r="C69">
        <v>420</v>
      </c>
      <c r="D69" t="s">
        <v>248</v>
      </c>
      <c r="M69">
        <f t="shared" si="11"/>
        <v>0</v>
      </c>
      <c r="CB69">
        <f>IF(OR(E69&lt;0,F69&lt;0,G69&lt;0,H69&lt;0,I69&lt;0,J69&lt;0,K69&lt;0,L69&lt;0),1,0)</f>
        <v>0</v>
      </c>
    </row>
    <row r="70" spans="2:89" x14ac:dyDescent="0.2">
      <c r="B70" t="s">
        <v>1099</v>
      </c>
      <c r="C70">
        <v>430</v>
      </c>
      <c r="D70" t="s">
        <v>248</v>
      </c>
      <c r="M70">
        <f t="shared" si="11"/>
        <v>0</v>
      </c>
      <c r="CB70">
        <f>IF(OR(E70&lt;0,F70&lt;0,G70&lt;0,H70&lt;0,I70&lt;0,J70&lt;0,K70&lt;0,L70&lt;0),1,0)</f>
        <v>0</v>
      </c>
      <c r="CK70" t="s">
        <v>1035</v>
      </c>
    </row>
    <row r="71" spans="2:89" x14ac:dyDescent="0.2">
      <c r="B71" t="s">
        <v>1100</v>
      </c>
      <c r="C71">
        <v>440</v>
      </c>
      <c r="D71" t="s">
        <v>248</v>
      </c>
      <c r="E71">
        <f t="shared" ref="E71:M71" si="13">SUM(E64:E70)-E67</f>
        <v>0</v>
      </c>
      <c r="F71">
        <f t="shared" si="13"/>
        <v>0</v>
      </c>
      <c r="G71">
        <f t="shared" si="13"/>
        <v>0</v>
      </c>
      <c r="H71">
        <f t="shared" si="13"/>
        <v>0</v>
      </c>
      <c r="I71">
        <f t="shared" si="13"/>
        <v>0</v>
      </c>
      <c r="J71">
        <f t="shared" si="13"/>
        <v>0</v>
      </c>
      <c r="K71">
        <f t="shared" si="13"/>
        <v>0</v>
      </c>
      <c r="L71">
        <f t="shared" si="13"/>
        <v>0</v>
      </c>
      <c r="M71">
        <f t="shared" si="13"/>
        <v>0</v>
      </c>
    </row>
    <row r="72" spans="2:89" x14ac:dyDescent="0.2">
      <c r="CK72">
        <f>IF(OR(E58-E71&lt;&gt;0,F58-F71&lt;&gt;0,G58-G71&lt;&gt;0,H58-H71&lt;&gt;0,I58-I71&lt;&gt;0,K58-K71&lt;&gt;0,L58-L71&lt;&gt;0,J58-J71&lt;&gt;0),1,0)</f>
        <v>0</v>
      </c>
    </row>
    <row r="75" spans="2:89" x14ac:dyDescent="0.2">
      <c r="D75" t="s">
        <v>25</v>
      </c>
      <c r="E75" t="s">
        <v>235</v>
      </c>
      <c r="F75" t="s">
        <v>236</v>
      </c>
      <c r="G75" t="s">
        <v>293</v>
      </c>
      <c r="H75" t="s">
        <v>294</v>
      </c>
      <c r="I75" t="s">
        <v>295</v>
      </c>
      <c r="J75" t="s">
        <v>296</v>
      </c>
      <c r="K75" t="s">
        <v>342</v>
      </c>
      <c r="L75" t="s">
        <v>297</v>
      </c>
      <c r="M75" t="s">
        <v>298</v>
      </c>
    </row>
    <row r="76" spans="2:89" x14ac:dyDescent="0.2">
      <c r="B76" t="s">
        <v>1101</v>
      </c>
      <c r="C76" t="s">
        <v>238</v>
      </c>
      <c r="E76" t="s">
        <v>1040</v>
      </c>
      <c r="F76" t="s">
        <v>1102</v>
      </c>
      <c r="G76" t="s">
        <v>1042</v>
      </c>
      <c r="H76" t="s">
        <v>1103</v>
      </c>
      <c r="I76" t="s">
        <v>1044</v>
      </c>
      <c r="J76" t="s">
        <v>1045</v>
      </c>
      <c r="K76" t="s">
        <v>1046</v>
      </c>
      <c r="L76" t="s">
        <v>1047</v>
      </c>
      <c r="M76" t="s">
        <v>340</v>
      </c>
    </row>
    <row r="77" spans="2:89" x14ac:dyDescent="0.2">
      <c r="C77" t="s">
        <v>242</v>
      </c>
      <c r="I77" t="s">
        <v>1050</v>
      </c>
      <c r="J77" t="s">
        <v>1051</v>
      </c>
      <c r="K77" t="s">
        <v>1052</v>
      </c>
      <c r="L77" t="s">
        <v>1053</v>
      </c>
    </row>
    <row r="78" spans="2:89" x14ac:dyDescent="0.2">
      <c r="E78" t="s">
        <v>243</v>
      </c>
      <c r="F78" t="s">
        <v>243</v>
      </c>
      <c r="G78" t="s">
        <v>243</v>
      </c>
      <c r="H78" t="s">
        <v>243</v>
      </c>
      <c r="I78" t="s">
        <v>243</v>
      </c>
      <c r="J78" t="s">
        <v>243</v>
      </c>
      <c r="K78" t="s">
        <v>243</v>
      </c>
      <c r="L78" t="s">
        <v>243</v>
      </c>
      <c r="M78" t="s">
        <v>243</v>
      </c>
    </row>
    <row r="79" spans="2:89" x14ac:dyDescent="0.2">
      <c r="B79" t="s">
        <v>1104</v>
      </c>
      <c r="C79">
        <v>450</v>
      </c>
      <c r="D79" t="s">
        <v>248</v>
      </c>
    </row>
    <row r="80" spans="2:89" x14ac:dyDescent="0.2">
      <c r="B80" t="s">
        <v>304</v>
      </c>
      <c r="C80">
        <v>452</v>
      </c>
      <c r="D80" t="s">
        <v>251</v>
      </c>
    </row>
    <row r="81" spans="2:84" x14ac:dyDescent="0.2">
      <c r="B81" t="s">
        <v>303</v>
      </c>
      <c r="C81">
        <v>454</v>
      </c>
      <c r="D81" t="s">
        <v>251</v>
      </c>
    </row>
    <row r="82" spans="2:84" x14ac:dyDescent="0.2">
      <c r="B82" t="s">
        <v>387</v>
      </c>
      <c r="C82">
        <v>456</v>
      </c>
      <c r="D82" t="s">
        <v>251</v>
      </c>
    </row>
    <row r="83" spans="2:84" x14ac:dyDescent="0.2">
      <c r="B83" t="s">
        <v>388</v>
      </c>
      <c r="C83">
        <v>458</v>
      </c>
      <c r="D83" t="s">
        <v>251</v>
      </c>
    </row>
    <row r="84" spans="2:84" x14ac:dyDescent="0.2">
      <c r="B84" t="s">
        <v>389</v>
      </c>
      <c r="C84">
        <v>460</v>
      </c>
      <c r="D84" t="s">
        <v>251</v>
      </c>
      <c r="M84">
        <f>SUM(E84:L84)</f>
        <v>0</v>
      </c>
    </row>
    <row r="85" spans="2:84" x14ac:dyDescent="0.2">
      <c r="B85" t="s">
        <v>1079</v>
      </c>
      <c r="C85">
        <v>462</v>
      </c>
      <c r="D85" t="s">
        <v>251</v>
      </c>
    </row>
    <row r="86" spans="2:84" x14ac:dyDescent="0.2">
      <c r="B86" t="s">
        <v>391</v>
      </c>
      <c r="C86">
        <v>465</v>
      </c>
      <c r="D86" t="s">
        <v>248</v>
      </c>
      <c r="E86">
        <f t="shared" ref="E86:L86" si="14">SUM(E79+E84)</f>
        <v>0</v>
      </c>
      <c r="F86">
        <f t="shared" si="14"/>
        <v>0</v>
      </c>
      <c r="G86">
        <f t="shared" si="14"/>
        <v>0</v>
      </c>
      <c r="H86">
        <f t="shared" si="14"/>
        <v>0</v>
      </c>
      <c r="I86">
        <f t="shared" si="14"/>
        <v>0</v>
      </c>
      <c r="J86">
        <f t="shared" si="14"/>
        <v>0</v>
      </c>
      <c r="K86">
        <f t="shared" si="14"/>
        <v>0</v>
      </c>
      <c r="L86">
        <f t="shared" si="14"/>
        <v>0</v>
      </c>
      <c r="M86">
        <f>SUM(E86:L86)</f>
        <v>0</v>
      </c>
    </row>
    <row r="87" spans="2:84" x14ac:dyDescent="0.2">
      <c r="B87" t="s">
        <v>1105</v>
      </c>
      <c r="C87">
        <v>490</v>
      </c>
      <c r="D87" t="s">
        <v>251</v>
      </c>
      <c r="M87">
        <f>SUM(E87:L87)</f>
        <v>0</v>
      </c>
    </row>
    <row r="88" spans="2:84" x14ac:dyDescent="0.2">
      <c r="B88" t="s">
        <v>1106</v>
      </c>
      <c r="C88">
        <v>500</v>
      </c>
      <c r="D88" t="s">
        <v>248</v>
      </c>
      <c r="E88">
        <f t="shared" ref="E88:L88" si="15">SUM(E86:E87)</f>
        <v>0</v>
      </c>
      <c r="F88">
        <f t="shared" si="15"/>
        <v>0</v>
      </c>
      <c r="G88">
        <f t="shared" si="15"/>
        <v>0</v>
      </c>
      <c r="H88">
        <f t="shared" si="15"/>
        <v>0</v>
      </c>
      <c r="I88">
        <f t="shared" si="15"/>
        <v>0</v>
      </c>
      <c r="J88">
        <f t="shared" si="15"/>
        <v>0</v>
      </c>
      <c r="K88">
        <f t="shared" si="15"/>
        <v>0</v>
      </c>
      <c r="L88">
        <f t="shared" si="15"/>
        <v>0</v>
      </c>
      <c r="M88">
        <f>SUM(E88:L88)</f>
        <v>0</v>
      </c>
    </row>
    <row r="92" spans="2:84" x14ac:dyDescent="0.2">
      <c r="B92" t="s">
        <v>1107</v>
      </c>
      <c r="C92" t="s">
        <v>238</v>
      </c>
      <c r="E92" t="s">
        <v>235</v>
      </c>
      <c r="F92" t="s">
        <v>236</v>
      </c>
      <c r="CD92" t="s">
        <v>1108</v>
      </c>
      <c r="CF92" t="s">
        <v>300</v>
      </c>
    </row>
    <row r="93" spans="2:84" x14ac:dyDescent="0.2">
      <c r="C93" t="s">
        <v>242</v>
      </c>
      <c r="D93" t="s">
        <v>25</v>
      </c>
      <c r="E93" t="s">
        <v>1109</v>
      </c>
      <c r="F93" t="s">
        <v>1110</v>
      </c>
      <c r="CD93" t="s">
        <v>1111</v>
      </c>
      <c r="CF93" t="s">
        <v>1112</v>
      </c>
    </row>
    <row r="94" spans="2:84" x14ac:dyDescent="0.2">
      <c r="E94" t="s">
        <v>1113</v>
      </c>
      <c r="F94" t="s">
        <v>1113</v>
      </c>
      <c r="CD94">
        <f>M86</f>
        <v>0</v>
      </c>
      <c r="CE94" t="s">
        <v>353</v>
      </c>
      <c r="CF94">
        <f>M88</f>
        <v>0</v>
      </c>
    </row>
    <row r="95" spans="2:84" x14ac:dyDescent="0.2">
      <c r="B95" t="s">
        <v>311</v>
      </c>
      <c r="CE95" t="s">
        <v>354</v>
      </c>
    </row>
    <row r="96" spans="2:84" x14ac:dyDescent="0.2">
      <c r="B96" t="s">
        <v>1114</v>
      </c>
      <c r="C96">
        <v>510</v>
      </c>
      <c r="D96" t="s">
        <v>248</v>
      </c>
      <c r="CB96">
        <f>IF(OR(E96&lt;0,F96&lt;0),1,0)</f>
        <v>0</v>
      </c>
      <c r="CE96" t="s">
        <v>1115</v>
      </c>
    </row>
    <row r="97" spans="2:84" x14ac:dyDescent="0.2">
      <c r="B97" t="s">
        <v>1116</v>
      </c>
      <c r="C97">
        <v>520</v>
      </c>
      <c r="D97" t="s">
        <v>248</v>
      </c>
      <c r="CB97">
        <f>IF(OR(E97&lt;0,F97&lt;0),1,0)</f>
        <v>0</v>
      </c>
      <c r="CD97">
        <f>SUM(CD94:CD96)</f>
        <v>0</v>
      </c>
      <c r="CE97" t="s">
        <v>340</v>
      </c>
      <c r="CF97">
        <f>SUM(CF94:CF96)</f>
        <v>0</v>
      </c>
    </row>
    <row r="98" spans="2:84" x14ac:dyDescent="0.2">
      <c r="B98" t="s">
        <v>1117</v>
      </c>
      <c r="C98">
        <v>530</v>
      </c>
      <c r="D98" t="s">
        <v>248</v>
      </c>
      <c r="CB98">
        <f>IF(OR(E98&lt;0,F98&lt;0),1,0)</f>
        <v>0</v>
      </c>
    </row>
    <row r="99" spans="2:84" x14ac:dyDescent="0.2">
      <c r="B99" t="s">
        <v>1118</v>
      </c>
      <c r="C99">
        <v>540</v>
      </c>
      <c r="D99" t="s">
        <v>248</v>
      </c>
      <c r="CB99">
        <f>IF(OR(E99&lt;0,F99&lt;0),1,0)</f>
        <v>0</v>
      </c>
    </row>
    <row r="100" spans="2:84" x14ac:dyDescent="0.2">
      <c r="B100" t="s">
        <v>2988</v>
      </c>
      <c r="C100">
        <v>545</v>
      </c>
      <c r="D100" t="s">
        <v>248</v>
      </c>
      <c r="CB100">
        <f>IF(OR(E100&lt;0,F100&lt;0),1,0)</f>
        <v>0</v>
      </c>
    </row>
    <row r="101" spans="2:84" x14ac:dyDescent="0.2">
      <c r="B101" t="s">
        <v>310</v>
      </c>
    </row>
    <row r="102" spans="2:84" x14ac:dyDescent="0.2">
      <c r="B102" t="s">
        <v>1120</v>
      </c>
      <c r="C102">
        <v>550</v>
      </c>
      <c r="D102" t="s">
        <v>248</v>
      </c>
      <c r="CB102">
        <f t="shared" ref="CB102:CB107" si="16">IF(OR(E102&lt;0,F102&lt;0),1,0)</f>
        <v>0</v>
      </c>
    </row>
    <row r="103" spans="2:84" x14ac:dyDescent="0.2">
      <c r="B103" t="s">
        <v>1042</v>
      </c>
      <c r="C103">
        <v>560</v>
      </c>
      <c r="D103" t="s">
        <v>248</v>
      </c>
      <c r="CB103">
        <f t="shared" si="16"/>
        <v>0</v>
      </c>
    </row>
    <row r="104" spans="2:84" x14ac:dyDescent="0.2">
      <c r="B104" t="s">
        <v>1121</v>
      </c>
      <c r="C104">
        <v>570</v>
      </c>
      <c r="D104" t="s">
        <v>248</v>
      </c>
      <c r="CB104">
        <f t="shared" si="16"/>
        <v>0</v>
      </c>
    </row>
    <row r="105" spans="2:84" x14ac:dyDescent="0.2">
      <c r="B105" t="s">
        <v>1122</v>
      </c>
      <c r="C105">
        <v>580</v>
      </c>
      <c r="D105" t="s">
        <v>248</v>
      </c>
      <c r="CB105">
        <f t="shared" si="16"/>
        <v>0</v>
      </c>
    </row>
    <row r="106" spans="2:84" x14ac:dyDescent="0.2">
      <c r="B106" t="s">
        <v>1123</v>
      </c>
      <c r="C106">
        <v>590</v>
      </c>
      <c r="D106" t="s">
        <v>248</v>
      </c>
      <c r="CB106">
        <f t="shared" si="16"/>
        <v>0</v>
      </c>
    </row>
    <row r="107" spans="2:84" x14ac:dyDescent="0.2">
      <c r="B107" t="s">
        <v>1124</v>
      </c>
      <c r="C107">
        <v>600</v>
      </c>
      <c r="D107" t="s">
        <v>248</v>
      </c>
      <c r="CB107">
        <f t="shared" si="16"/>
        <v>0</v>
      </c>
    </row>
    <row r="110" spans="2:84" x14ac:dyDescent="0.2">
      <c r="D110" t="s">
        <v>25</v>
      </c>
      <c r="E110" t="s">
        <v>235</v>
      </c>
      <c r="F110" t="s">
        <v>236</v>
      </c>
      <c r="G110" t="s">
        <v>293</v>
      </c>
      <c r="H110" t="s">
        <v>294</v>
      </c>
    </row>
    <row r="111" spans="2:84" x14ac:dyDescent="0.2">
      <c r="B111" t="s">
        <v>119</v>
      </c>
      <c r="C111" t="s">
        <v>238</v>
      </c>
      <c r="E111" t="s">
        <v>1040</v>
      </c>
      <c r="F111" t="s">
        <v>1125</v>
      </c>
      <c r="G111" t="s">
        <v>1042</v>
      </c>
      <c r="H111" t="s">
        <v>340</v>
      </c>
    </row>
    <row r="112" spans="2:84" x14ac:dyDescent="0.2">
      <c r="C112" t="s">
        <v>242</v>
      </c>
      <c r="F112" t="s">
        <v>1126</v>
      </c>
    </row>
    <row r="113" spans="2:80" x14ac:dyDescent="0.2">
      <c r="E113" t="s">
        <v>243</v>
      </c>
      <c r="F113" t="s">
        <v>243</v>
      </c>
      <c r="G113" t="s">
        <v>243</v>
      </c>
      <c r="H113" t="s">
        <v>243</v>
      </c>
    </row>
    <row r="114" spans="2:80" x14ac:dyDescent="0.2">
      <c r="B114" t="s">
        <v>1127</v>
      </c>
      <c r="C114">
        <v>610</v>
      </c>
      <c r="D114" t="s">
        <v>248</v>
      </c>
      <c r="H114">
        <f>SUM(E114:G114)</f>
        <v>0</v>
      </c>
      <c r="CB114">
        <f>IF(OR(E114&lt;0,F114&lt;0,G114&lt;0),1,0)</f>
        <v>0</v>
      </c>
    </row>
    <row r="115" spans="2:80" x14ac:dyDescent="0.2">
      <c r="B115" t="s">
        <v>1128</v>
      </c>
      <c r="C115">
        <v>620</v>
      </c>
      <c r="D115" t="s">
        <v>248</v>
      </c>
      <c r="H115">
        <f>SUM(E115:G115)</f>
        <v>0</v>
      </c>
      <c r="CB115">
        <f>IF(OR(E115&lt;0,F115&lt;0,G115&lt;0),1,0)</f>
        <v>0</v>
      </c>
    </row>
    <row r="119" spans="2:80" x14ac:dyDescent="0.2">
      <c r="D119" t="s">
        <v>25</v>
      </c>
      <c r="E119" t="s">
        <v>235</v>
      </c>
      <c r="F119" t="s">
        <v>236</v>
      </c>
      <c r="G119" t="s">
        <v>293</v>
      </c>
      <c r="H119" t="s">
        <v>294</v>
      </c>
      <c r="I119" t="s">
        <v>295</v>
      </c>
      <c r="J119" t="s">
        <v>296</v>
      </c>
      <c r="K119" t="s">
        <v>342</v>
      </c>
      <c r="L119" t="s">
        <v>297</v>
      </c>
      <c r="M119" t="s">
        <v>298</v>
      </c>
    </row>
    <row r="120" spans="2:80" x14ac:dyDescent="0.2">
      <c r="B120" t="s">
        <v>1129</v>
      </c>
      <c r="C120" t="s">
        <v>238</v>
      </c>
      <c r="E120" t="s">
        <v>1040</v>
      </c>
      <c r="F120" t="s">
        <v>1041</v>
      </c>
      <c r="G120" t="s">
        <v>1042</v>
      </c>
      <c r="H120" t="s">
        <v>1043</v>
      </c>
      <c r="I120" t="s">
        <v>1044</v>
      </c>
      <c r="J120" t="s">
        <v>1045</v>
      </c>
      <c r="K120" t="s">
        <v>1046</v>
      </c>
      <c r="L120" t="s">
        <v>1047</v>
      </c>
      <c r="M120" t="s">
        <v>340</v>
      </c>
    </row>
    <row r="121" spans="2:80" x14ac:dyDescent="0.2">
      <c r="C121" t="s">
        <v>242</v>
      </c>
      <c r="F121" t="s">
        <v>1042</v>
      </c>
      <c r="H121" t="s">
        <v>1049</v>
      </c>
      <c r="I121" t="s">
        <v>1050</v>
      </c>
      <c r="J121" t="s">
        <v>1051</v>
      </c>
      <c r="K121" t="s">
        <v>1052</v>
      </c>
      <c r="L121" t="s">
        <v>1053</v>
      </c>
    </row>
    <row r="122" spans="2:80" x14ac:dyDescent="0.2">
      <c r="H122" t="s">
        <v>1055</v>
      </c>
    </row>
    <row r="123" spans="2:80" x14ac:dyDescent="0.2">
      <c r="H123" t="s">
        <v>1056</v>
      </c>
    </row>
    <row r="124" spans="2:80" x14ac:dyDescent="0.2">
      <c r="E124" t="s">
        <v>243</v>
      </c>
      <c r="F124" t="s">
        <v>243</v>
      </c>
      <c r="G124" t="s">
        <v>243</v>
      </c>
      <c r="H124" t="s">
        <v>243</v>
      </c>
      <c r="I124" t="s">
        <v>243</v>
      </c>
      <c r="J124" t="s">
        <v>243</v>
      </c>
      <c r="K124" t="s">
        <v>243</v>
      </c>
      <c r="L124" t="s">
        <v>243</v>
      </c>
      <c r="M124" t="s">
        <v>243</v>
      </c>
    </row>
    <row r="125" spans="2:80" x14ac:dyDescent="0.2">
      <c r="B125" t="s">
        <v>1130</v>
      </c>
      <c r="C125">
        <v>630</v>
      </c>
      <c r="D125" t="s">
        <v>248</v>
      </c>
    </row>
    <row r="126" spans="2:80" x14ac:dyDescent="0.2">
      <c r="B126" t="s">
        <v>304</v>
      </c>
      <c r="C126">
        <v>640</v>
      </c>
      <c r="D126" t="s">
        <v>251</v>
      </c>
    </row>
    <row r="127" spans="2:80" x14ac:dyDescent="0.2">
      <c r="B127" t="s">
        <v>303</v>
      </c>
      <c r="C127">
        <v>650</v>
      </c>
      <c r="D127" t="s">
        <v>251</v>
      </c>
    </row>
    <row r="128" spans="2:80" x14ac:dyDescent="0.2">
      <c r="B128" t="s">
        <v>387</v>
      </c>
      <c r="C128">
        <v>660</v>
      </c>
      <c r="D128" t="s">
        <v>251</v>
      </c>
    </row>
    <row r="129" spans="2:4" x14ac:dyDescent="0.2">
      <c r="B129" t="s">
        <v>2989</v>
      </c>
      <c r="C129">
        <v>670</v>
      </c>
      <c r="D129" t="s">
        <v>251</v>
      </c>
    </row>
    <row r="130" spans="2:4" x14ac:dyDescent="0.2">
      <c r="B130" t="s">
        <v>389</v>
      </c>
      <c r="C130">
        <v>680</v>
      </c>
      <c r="D130" t="s">
        <v>251</v>
      </c>
    </row>
    <row r="131" spans="2:4" x14ac:dyDescent="0.2">
      <c r="B131" t="s">
        <v>1079</v>
      </c>
      <c r="C131">
        <v>690</v>
      </c>
      <c r="D131" t="s">
        <v>251</v>
      </c>
    </row>
    <row r="132" spans="2:4" x14ac:dyDescent="0.2">
      <c r="B132" t="s">
        <v>1058</v>
      </c>
      <c r="C132">
        <v>700</v>
      </c>
      <c r="D132" t="s">
        <v>248</v>
      </c>
    </row>
    <row r="133" spans="2:4" x14ac:dyDescent="0.2">
      <c r="B133" t="s">
        <v>1059</v>
      </c>
      <c r="C133">
        <v>710</v>
      </c>
      <c r="D133" t="s">
        <v>248</v>
      </c>
    </row>
    <row r="134" spans="2:4" x14ac:dyDescent="0.2">
      <c r="B134" t="s">
        <v>1060</v>
      </c>
      <c r="C134">
        <v>720</v>
      </c>
      <c r="D134" t="s">
        <v>248</v>
      </c>
    </row>
    <row r="135" spans="2:4" x14ac:dyDescent="0.2">
      <c r="B135" t="s">
        <v>1174</v>
      </c>
      <c r="C135">
        <v>730</v>
      </c>
      <c r="D135" t="s">
        <v>248</v>
      </c>
    </row>
    <row r="136" spans="2:4" x14ac:dyDescent="0.2">
      <c r="B136" t="s">
        <v>1175</v>
      </c>
      <c r="C136">
        <v>740</v>
      </c>
      <c r="D136" t="s">
        <v>248</v>
      </c>
    </row>
    <row r="137" spans="2:4" x14ac:dyDescent="0.2">
      <c r="B137" t="s">
        <v>1065</v>
      </c>
      <c r="C137">
        <v>750</v>
      </c>
      <c r="D137" t="s">
        <v>251</v>
      </c>
    </row>
    <row r="138" spans="2:4" x14ac:dyDescent="0.2">
      <c r="B138" t="s">
        <v>1066</v>
      </c>
      <c r="C138">
        <v>760</v>
      </c>
      <c r="D138" t="s">
        <v>251</v>
      </c>
    </row>
    <row r="139" spans="2:4" x14ac:dyDescent="0.2">
      <c r="B139" t="s">
        <v>1067</v>
      </c>
      <c r="C139">
        <v>770</v>
      </c>
      <c r="D139" t="s">
        <v>245</v>
      </c>
    </row>
    <row r="140" spans="2:4" x14ac:dyDescent="0.2">
      <c r="B140" t="s">
        <v>1155</v>
      </c>
      <c r="C140">
        <v>780</v>
      </c>
      <c r="D140" t="s">
        <v>248</v>
      </c>
    </row>
    <row r="141" spans="2:4" x14ac:dyDescent="0.2">
      <c r="B141" t="s">
        <v>1070</v>
      </c>
      <c r="C141">
        <v>790</v>
      </c>
      <c r="D141" t="s">
        <v>245</v>
      </c>
    </row>
    <row r="142" spans="2:4" x14ac:dyDescent="0.2">
      <c r="B142" t="s">
        <v>1071</v>
      </c>
      <c r="C142">
        <v>800</v>
      </c>
      <c r="D142" t="s">
        <v>248</v>
      </c>
    </row>
    <row r="144" spans="2:4" x14ac:dyDescent="0.2">
      <c r="B144" t="s">
        <v>1073</v>
      </c>
      <c r="C144">
        <v>810</v>
      </c>
      <c r="D144" t="s">
        <v>245</v>
      </c>
    </row>
    <row r="145" spans="2:4" x14ac:dyDescent="0.2">
      <c r="B145" t="s">
        <v>2990</v>
      </c>
      <c r="C145">
        <v>820</v>
      </c>
      <c r="D145" t="s">
        <v>251</v>
      </c>
    </row>
    <row r="147" spans="2:4" x14ac:dyDescent="0.2">
      <c r="B147" t="s">
        <v>1133</v>
      </c>
      <c r="C147">
        <v>830</v>
      </c>
      <c r="D147" t="s">
        <v>248</v>
      </c>
    </row>
    <row r="148" spans="2:4" x14ac:dyDescent="0.2">
      <c r="B148" t="s">
        <v>1134</v>
      </c>
      <c r="C148">
        <v>840</v>
      </c>
      <c r="D148" t="s">
        <v>248</v>
      </c>
    </row>
    <row r="149" spans="2:4" x14ac:dyDescent="0.2">
      <c r="B149" t="s">
        <v>304</v>
      </c>
      <c r="C149">
        <v>850</v>
      </c>
      <c r="D149" t="s">
        <v>251</v>
      </c>
    </row>
    <row r="150" spans="2:4" x14ac:dyDescent="0.2">
      <c r="B150" t="s">
        <v>303</v>
      </c>
      <c r="C150">
        <v>860</v>
      </c>
      <c r="D150" t="s">
        <v>251</v>
      </c>
    </row>
    <row r="151" spans="2:4" x14ac:dyDescent="0.2">
      <c r="B151" t="s">
        <v>387</v>
      </c>
      <c r="C151">
        <v>870</v>
      </c>
      <c r="D151" t="s">
        <v>251</v>
      </c>
    </row>
    <row r="152" spans="2:4" x14ac:dyDescent="0.2">
      <c r="B152" t="s">
        <v>1078</v>
      </c>
      <c r="C152">
        <v>880</v>
      </c>
      <c r="D152" t="s">
        <v>251</v>
      </c>
    </row>
    <row r="153" spans="2:4" x14ac:dyDescent="0.2">
      <c r="B153" t="s">
        <v>389</v>
      </c>
      <c r="C153">
        <v>890</v>
      </c>
      <c r="D153" t="s">
        <v>251</v>
      </c>
    </row>
    <row r="154" spans="2:4" x14ac:dyDescent="0.2">
      <c r="B154" t="s">
        <v>1079</v>
      </c>
      <c r="C154">
        <v>900</v>
      </c>
      <c r="D154" t="s">
        <v>251</v>
      </c>
    </row>
    <row r="155" spans="2:4" x14ac:dyDescent="0.2">
      <c r="B155" t="s">
        <v>1080</v>
      </c>
      <c r="C155">
        <v>910</v>
      </c>
      <c r="D155" t="s">
        <v>248</v>
      </c>
    </row>
    <row r="156" spans="2:4" x14ac:dyDescent="0.2">
      <c r="B156" t="s">
        <v>1065</v>
      </c>
      <c r="C156">
        <v>920</v>
      </c>
      <c r="D156" t="s">
        <v>251</v>
      </c>
    </row>
    <row r="157" spans="2:4" x14ac:dyDescent="0.2">
      <c r="B157" t="s">
        <v>2991</v>
      </c>
      <c r="C157">
        <v>930</v>
      </c>
      <c r="D157" t="s">
        <v>251</v>
      </c>
    </row>
    <row r="158" spans="2:4" x14ac:dyDescent="0.2">
      <c r="B158" t="s">
        <v>1067</v>
      </c>
      <c r="C158">
        <v>940</v>
      </c>
      <c r="D158" t="s">
        <v>245</v>
      </c>
    </row>
    <row r="159" spans="2:4" x14ac:dyDescent="0.2">
      <c r="B159" t="s">
        <v>1155</v>
      </c>
      <c r="C159">
        <v>950</v>
      </c>
      <c r="D159" t="s">
        <v>248</v>
      </c>
    </row>
    <row r="160" spans="2:4" x14ac:dyDescent="0.2">
      <c r="B160" t="s">
        <v>1081</v>
      </c>
      <c r="C160">
        <v>960</v>
      </c>
      <c r="D160" t="s">
        <v>248</v>
      </c>
    </row>
    <row r="161" spans="2:4" x14ac:dyDescent="0.2">
      <c r="B161" t="s">
        <v>1082</v>
      </c>
      <c r="C161">
        <v>970</v>
      </c>
      <c r="D161" t="s">
        <v>245</v>
      </c>
    </row>
    <row r="162" spans="2:4" x14ac:dyDescent="0.2">
      <c r="B162" t="s">
        <v>1084</v>
      </c>
      <c r="C162">
        <v>980</v>
      </c>
      <c r="D162" t="s">
        <v>248</v>
      </c>
    </row>
    <row r="164" spans="2:4" x14ac:dyDescent="0.2">
      <c r="B164" t="s">
        <v>1073</v>
      </c>
      <c r="C164">
        <v>990</v>
      </c>
      <c r="D164" t="s">
        <v>245</v>
      </c>
    </row>
    <row r="165" spans="2:4" x14ac:dyDescent="0.2">
      <c r="B165" t="s">
        <v>2990</v>
      </c>
      <c r="C165">
        <v>1000</v>
      </c>
      <c r="D165" t="s">
        <v>251</v>
      </c>
    </row>
    <row r="167" spans="2:4" x14ac:dyDescent="0.2">
      <c r="B167" t="s">
        <v>1136</v>
      </c>
      <c r="C167">
        <v>1010</v>
      </c>
      <c r="D167" t="s">
        <v>248</v>
      </c>
    </row>
    <row r="168" spans="2:4" x14ac:dyDescent="0.2">
      <c r="B168" t="s">
        <v>1137</v>
      </c>
      <c r="C168">
        <v>1020</v>
      </c>
      <c r="D168" t="s">
        <v>248</v>
      </c>
    </row>
    <row r="169" spans="2:4" x14ac:dyDescent="0.2">
      <c r="B169" t="s">
        <v>116</v>
      </c>
    </row>
    <row r="170" spans="2:4" x14ac:dyDescent="0.2">
      <c r="B170" t="s">
        <v>2992</v>
      </c>
      <c r="C170">
        <v>1025</v>
      </c>
      <c r="D170" t="s">
        <v>248</v>
      </c>
    </row>
    <row r="171" spans="2:4" x14ac:dyDescent="0.2">
      <c r="B171" t="s">
        <v>1097</v>
      </c>
      <c r="C171">
        <v>1030</v>
      </c>
      <c r="D171" t="s">
        <v>248</v>
      </c>
    </row>
    <row r="172" spans="2:4" x14ac:dyDescent="0.2">
      <c r="B172" t="s">
        <v>1098</v>
      </c>
      <c r="C172">
        <v>1035</v>
      </c>
      <c r="D172" t="s">
        <v>248</v>
      </c>
    </row>
    <row r="173" spans="2:4" x14ac:dyDescent="0.2">
      <c r="B173" t="s">
        <v>1099</v>
      </c>
      <c r="C173">
        <v>1040</v>
      </c>
      <c r="D173" t="s">
        <v>248</v>
      </c>
    </row>
    <row r="174" spans="2:4" x14ac:dyDescent="0.2">
      <c r="B174" t="s">
        <v>1137</v>
      </c>
      <c r="C174">
        <v>1045</v>
      </c>
      <c r="D174" t="s">
        <v>248</v>
      </c>
    </row>
    <row r="178" spans="2:80" x14ac:dyDescent="0.2">
      <c r="D178" t="s">
        <v>25</v>
      </c>
      <c r="E178" t="s">
        <v>235</v>
      </c>
    </row>
    <row r="179" spans="2:80" x14ac:dyDescent="0.2">
      <c r="B179" t="s">
        <v>1138</v>
      </c>
      <c r="C179" t="s">
        <v>238</v>
      </c>
    </row>
    <row r="180" spans="2:80" x14ac:dyDescent="0.2">
      <c r="C180" t="s">
        <v>242</v>
      </c>
    </row>
    <row r="181" spans="2:80" x14ac:dyDescent="0.2">
      <c r="E181" t="s">
        <v>243</v>
      </c>
    </row>
    <row r="182" spans="2:80" x14ac:dyDescent="0.2">
      <c r="B182" t="s">
        <v>1040</v>
      </c>
      <c r="C182">
        <v>1050</v>
      </c>
      <c r="D182" t="s">
        <v>248</v>
      </c>
      <c r="CB182">
        <f>IF(OR(E182&lt;0,F182&lt;0),1,0)</f>
        <v>0</v>
      </c>
    </row>
    <row r="183" spans="2:80" x14ac:dyDescent="0.2">
      <c r="B183" t="s">
        <v>1139</v>
      </c>
      <c r="C183">
        <v>1060</v>
      </c>
      <c r="D183" t="s">
        <v>251</v>
      </c>
    </row>
    <row r="184" spans="2:80" x14ac:dyDescent="0.2">
      <c r="B184" t="s">
        <v>1042</v>
      </c>
      <c r="C184">
        <v>1070</v>
      </c>
      <c r="D184" t="s">
        <v>251</v>
      </c>
    </row>
    <row r="185" spans="2:80" x14ac:dyDescent="0.2">
      <c r="B185" t="s">
        <v>1121</v>
      </c>
      <c r="C185">
        <v>1080</v>
      </c>
      <c r="D185" t="s">
        <v>248</v>
      </c>
      <c r="CB185">
        <f>IF(OR(E185&lt;0,F185&lt;0),1,0)</f>
        <v>0</v>
      </c>
    </row>
    <row r="186" spans="2:80" x14ac:dyDescent="0.2">
      <c r="B186" t="s">
        <v>1106</v>
      </c>
      <c r="C186">
        <v>1090</v>
      </c>
      <c r="D186" t="s">
        <v>248</v>
      </c>
      <c r="E186">
        <f>SUM(E182:E185)</f>
        <v>0</v>
      </c>
    </row>
    <row r="190" spans="2:80" x14ac:dyDescent="0.2">
      <c r="D190" t="s">
        <v>25</v>
      </c>
      <c r="E190" t="s">
        <v>235</v>
      </c>
      <c r="F190" t="s">
        <v>236</v>
      </c>
      <c r="G190" t="s">
        <v>293</v>
      </c>
      <c r="H190" t="s">
        <v>294</v>
      </c>
      <c r="I190" t="s">
        <v>295</v>
      </c>
      <c r="J190" t="s">
        <v>296</v>
      </c>
      <c r="K190" t="s">
        <v>342</v>
      </c>
      <c r="L190" t="s">
        <v>297</v>
      </c>
      <c r="M190" t="s">
        <v>298</v>
      </c>
    </row>
    <row r="191" spans="2:80" x14ac:dyDescent="0.2">
      <c r="B191" t="s">
        <v>1039</v>
      </c>
      <c r="C191" t="s">
        <v>238</v>
      </c>
      <c r="E191" t="s">
        <v>1040</v>
      </c>
      <c r="F191" t="s">
        <v>1041</v>
      </c>
      <c r="G191" t="s">
        <v>1042</v>
      </c>
      <c r="H191" t="s">
        <v>1043</v>
      </c>
      <c r="I191" t="s">
        <v>1044</v>
      </c>
      <c r="J191" t="s">
        <v>1045</v>
      </c>
      <c r="K191" t="s">
        <v>1046</v>
      </c>
      <c r="L191" t="s">
        <v>1047</v>
      </c>
      <c r="M191" t="s">
        <v>340</v>
      </c>
    </row>
    <row r="192" spans="2:80" x14ac:dyDescent="0.2">
      <c r="C192" t="s">
        <v>242</v>
      </c>
      <c r="F192" t="s">
        <v>1042</v>
      </c>
      <c r="H192" t="s">
        <v>1049</v>
      </c>
      <c r="I192" t="s">
        <v>1050</v>
      </c>
      <c r="J192" t="s">
        <v>1051</v>
      </c>
      <c r="K192" t="s">
        <v>1052</v>
      </c>
      <c r="L192" t="s">
        <v>1053</v>
      </c>
    </row>
    <row r="193" spans="2:13" x14ac:dyDescent="0.2">
      <c r="H193" t="s">
        <v>1055</v>
      </c>
    </row>
    <row r="194" spans="2:13" x14ac:dyDescent="0.2">
      <c r="H194" t="s">
        <v>1056</v>
      </c>
    </row>
    <row r="195" spans="2:13" x14ac:dyDescent="0.2">
      <c r="E195" t="s">
        <v>243</v>
      </c>
      <c r="F195" t="s">
        <v>243</v>
      </c>
      <c r="G195" t="s">
        <v>243</v>
      </c>
      <c r="H195" t="s">
        <v>243</v>
      </c>
      <c r="I195" t="s">
        <v>243</v>
      </c>
      <c r="J195" t="s">
        <v>243</v>
      </c>
      <c r="K195" t="s">
        <v>243</v>
      </c>
      <c r="L195" t="s">
        <v>243</v>
      </c>
      <c r="M195" t="s">
        <v>243</v>
      </c>
    </row>
    <row r="196" spans="2:13" x14ac:dyDescent="0.2">
      <c r="B196" t="s">
        <v>1140</v>
      </c>
      <c r="C196">
        <v>1200</v>
      </c>
      <c r="D196" t="s">
        <v>248</v>
      </c>
    </row>
  </sheetData>
  <sheetProtection sheet="1" objects="1" scenarios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CT196"/>
  <sheetViews>
    <sheetView zoomScale="70" zoomScaleNormal="70" workbookViewId="0"/>
  </sheetViews>
  <sheetFormatPr defaultRowHeight="12.75" x14ac:dyDescent="0.2"/>
  <sheetData>
    <row r="1" spans="1:98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98" x14ac:dyDescent="0.2">
      <c r="A2" t="s">
        <v>3727</v>
      </c>
    </row>
    <row r="3" spans="1:98" x14ac:dyDescent="0.2">
      <c r="A3" t="s">
        <v>3767</v>
      </c>
    </row>
    <row r="4" spans="1:98" x14ac:dyDescent="0.2">
      <c r="B4" t="s">
        <v>1031</v>
      </c>
    </row>
    <row r="5" spans="1:98" x14ac:dyDescent="0.2">
      <c r="B5" t="s">
        <v>66</v>
      </c>
      <c r="CA5" t="s">
        <v>230</v>
      </c>
      <c r="CB5">
        <f>0</f>
        <v>0</v>
      </c>
    </row>
    <row r="6" spans="1:98" x14ac:dyDescent="0.2">
      <c r="CA6" t="s">
        <v>231</v>
      </c>
      <c r="CB6" t="s">
        <v>232</v>
      </c>
      <c r="CC6" t="s">
        <v>1032</v>
      </c>
      <c r="CD6" t="s">
        <v>1033</v>
      </c>
      <c r="CF6" t="s">
        <v>1034</v>
      </c>
      <c r="CK6" t="s">
        <v>1035</v>
      </c>
      <c r="CN6" t="s">
        <v>1036</v>
      </c>
      <c r="CS6" t="s">
        <v>1037</v>
      </c>
      <c r="CT6" t="s">
        <v>1038</v>
      </c>
    </row>
    <row r="7" spans="1:98" x14ac:dyDescent="0.2">
      <c r="D7" t="s">
        <v>25</v>
      </c>
      <c r="E7" t="s">
        <v>235</v>
      </c>
      <c r="F7" t="s">
        <v>236</v>
      </c>
      <c r="G7" t="s">
        <v>293</v>
      </c>
      <c r="H7" t="s">
        <v>294</v>
      </c>
      <c r="I7" t="s">
        <v>295</v>
      </c>
      <c r="J7" t="s">
        <v>296</v>
      </c>
      <c r="K7" t="s">
        <v>342</v>
      </c>
      <c r="L7" t="s">
        <v>297</v>
      </c>
      <c r="M7" t="s">
        <v>298</v>
      </c>
      <c r="BC7" t="s">
        <v>237</v>
      </c>
      <c r="CA7">
        <f>SUM(CA10:CA186)</f>
        <v>0</v>
      </c>
      <c r="CB7">
        <f>SUM(CB10:CB186)</f>
        <v>0</v>
      </c>
    </row>
    <row r="8" spans="1:98" x14ac:dyDescent="0.2">
      <c r="B8" t="s">
        <v>1039</v>
      </c>
      <c r="C8" t="s">
        <v>238</v>
      </c>
      <c r="E8" t="s">
        <v>1040</v>
      </c>
      <c r="F8" t="s">
        <v>1041</v>
      </c>
      <c r="G8" t="s">
        <v>1042</v>
      </c>
      <c r="H8" t="s">
        <v>1043</v>
      </c>
      <c r="I8" t="s">
        <v>1044</v>
      </c>
      <c r="J8" t="s">
        <v>1045</v>
      </c>
      <c r="K8" t="s">
        <v>1046</v>
      </c>
      <c r="L8" t="s">
        <v>1047</v>
      </c>
      <c r="M8" t="s">
        <v>340</v>
      </c>
      <c r="BC8" t="s">
        <v>1048</v>
      </c>
    </row>
    <row r="9" spans="1:98" x14ac:dyDescent="0.2">
      <c r="C9" t="s">
        <v>242</v>
      </c>
      <c r="F9" t="s">
        <v>1042</v>
      </c>
      <c r="H9" t="s">
        <v>1049</v>
      </c>
      <c r="I9" t="s">
        <v>1050</v>
      </c>
      <c r="J9" t="s">
        <v>1051</v>
      </c>
      <c r="K9" t="s">
        <v>1052</v>
      </c>
      <c r="L9" t="s">
        <v>1053</v>
      </c>
      <c r="BC9" t="s">
        <v>1054</v>
      </c>
    </row>
    <row r="10" spans="1:98" x14ac:dyDescent="0.2">
      <c r="H10" t="s">
        <v>1055</v>
      </c>
    </row>
    <row r="11" spans="1:98" x14ac:dyDescent="0.2">
      <c r="H11" t="s">
        <v>1056</v>
      </c>
    </row>
    <row r="12" spans="1:98" x14ac:dyDescent="0.2">
      <c r="E12" t="s">
        <v>243</v>
      </c>
      <c r="F12" t="s">
        <v>243</v>
      </c>
      <c r="G12" t="s">
        <v>243</v>
      </c>
      <c r="H12" t="s">
        <v>243</v>
      </c>
      <c r="I12" t="s">
        <v>243</v>
      </c>
      <c r="J12" t="s">
        <v>243</v>
      </c>
      <c r="K12" t="s">
        <v>243</v>
      </c>
      <c r="L12" t="s">
        <v>243</v>
      </c>
      <c r="M12" t="s">
        <v>243</v>
      </c>
      <c r="BC12" t="s">
        <v>243</v>
      </c>
    </row>
    <row r="13" spans="1:98" x14ac:dyDescent="0.2">
      <c r="B13" t="s">
        <v>1104</v>
      </c>
      <c r="C13">
        <v>100</v>
      </c>
      <c r="D13" t="s">
        <v>248</v>
      </c>
    </row>
    <row r="14" spans="1:98" x14ac:dyDescent="0.2">
      <c r="B14" t="s">
        <v>304</v>
      </c>
      <c r="C14">
        <v>101</v>
      </c>
      <c r="D14" t="s">
        <v>251</v>
      </c>
    </row>
    <row r="15" spans="1:98" x14ac:dyDescent="0.2">
      <c r="B15" t="s">
        <v>303</v>
      </c>
      <c r="C15">
        <v>102</v>
      </c>
      <c r="D15" t="s">
        <v>251</v>
      </c>
    </row>
    <row r="16" spans="1:98" x14ac:dyDescent="0.2">
      <c r="B16" t="s">
        <v>387</v>
      </c>
      <c r="C16">
        <v>103</v>
      </c>
      <c r="D16" t="s">
        <v>251</v>
      </c>
    </row>
    <row r="17" spans="2:98" x14ac:dyDescent="0.2">
      <c r="B17" t="s">
        <v>389</v>
      </c>
      <c r="C17">
        <v>104</v>
      </c>
      <c r="D17" t="s">
        <v>251</v>
      </c>
    </row>
    <row r="18" spans="2:98" x14ac:dyDescent="0.2">
      <c r="B18" t="s">
        <v>1058</v>
      </c>
      <c r="C18">
        <v>105</v>
      </c>
      <c r="D18" t="s">
        <v>248</v>
      </c>
    </row>
    <row r="19" spans="2:98" x14ac:dyDescent="0.2">
      <c r="B19" t="s">
        <v>401</v>
      </c>
      <c r="C19">
        <v>106</v>
      </c>
      <c r="D19" t="s">
        <v>248</v>
      </c>
    </row>
    <row r="20" spans="2:98" x14ac:dyDescent="0.2">
      <c r="B20" t="s">
        <v>402</v>
      </c>
      <c r="C20">
        <v>108</v>
      </c>
      <c r="D20" t="s">
        <v>251</v>
      </c>
    </row>
    <row r="21" spans="2:98" x14ac:dyDescent="0.2">
      <c r="B21" t="s">
        <v>1059</v>
      </c>
      <c r="C21">
        <v>109</v>
      </c>
      <c r="D21" t="s">
        <v>248</v>
      </c>
    </row>
    <row r="22" spans="2:98" x14ac:dyDescent="0.2">
      <c r="B22" t="s">
        <v>1060</v>
      </c>
      <c r="C22">
        <v>110</v>
      </c>
      <c r="D22" t="s">
        <v>248</v>
      </c>
      <c r="CB22">
        <f>IF(OR(E22&lt;0,F22&lt;0,G22&lt;0,H22&lt;0,I22&lt;0,J22&lt;0,K22&lt;0,L22&lt;0),1,0)</f>
        <v>0</v>
      </c>
    </row>
    <row r="23" spans="2:98" x14ac:dyDescent="0.2">
      <c r="B23" t="s">
        <v>1061</v>
      </c>
      <c r="C23">
        <v>120</v>
      </c>
      <c r="D23" t="s">
        <v>248</v>
      </c>
      <c r="CB23">
        <f>IF(OR(E23&lt;0,F23&lt;0,G23&lt;0,H23&lt;0,I23&lt;0,J23&lt;0,K23&lt;0,L23&lt;0),1,0)</f>
        <v>0</v>
      </c>
      <c r="CN23" t="s">
        <v>1062</v>
      </c>
    </row>
    <row r="24" spans="2:98" x14ac:dyDescent="0.2">
      <c r="B24" t="s">
        <v>1063</v>
      </c>
      <c r="C24">
        <v>130</v>
      </c>
      <c r="D24" t="s">
        <v>248</v>
      </c>
      <c r="CB24">
        <f>IF(OR(E24&lt;0,F24&lt;0,G24&lt;0,H24&lt;0,I24&lt;0,J24&lt;0,K24&lt;0,L24&lt;0),1,0)</f>
        <v>0</v>
      </c>
      <c r="CS24" t="s">
        <v>353</v>
      </c>
      <c r="CT24" t="s">
        <v>353</v>
      </c>
    </row>
    <row r="25" spans="2:98" x14ac:dyDescent="0.2">
      <c r="B25" t="s">
        <v>1064</v>
      </c>
      <c r="C25">
        <v>135</v>
      </c>
      <c r="D25" t="s">
        <v>248</v>
      </c>
      <c r="CB25">
        <f>IF(OR(E25&lt;0,F25&lt;0,G25&lt;0,H25&lt;0,I25&lt;0,J25&lt;0,K25&lt;0,L25&lt;0),1,0)</f>
        <v>0</v>
      </c>
    </row>
    <row r="26" spans="2:98" x14ac:dyDescent="0.2">
      <c r="B26" t="s">
        <v>1065</v>
      </c>
      <c r="C26">
        <v>140</v>
      </c>
      <c r="D26" t="s">
        <v>251</v>
      </c>
      <c r="CN26" t="s">
        <v>353</v>
      </c>
    </row>
    <row r="27" spans="2:98" x14ac:dyDescent="0.2">
      <c r="B27" t="s">
        <v>1066</v>
      </c>
      <c r="C27">
        <v>150</v>
      </c>
      <c r="D27" t="s">
        <v>251</v>
      </c>
      <c r="CS27" t="s">
        <v>354</v>
      </c>
      <c r="CT27" t="s">
        <v>354</v>
      </c>
    </row>
    <row r="28" spans="2:98" x14ac:dyDescent="0.2">
      <c r="B28" t="s">
        <v>1067</v>
      </c>
      <c r="C28">
        <v>160</v>
      </c>
      <c r="D28" t="s">
        <v>245</v>
      </c>
      <c r="CA28">
        <f>IF(OR(E28&gt;0,F28&gt;0,G28&gt;0,H28&gt;0,I28&gt;0,J28&gt;0,K28&gt;0,L28&gt;0),1,0)</f>
        <v>0</v>
      </c>
      <c r="CC28" t="s">
        <v>1032</v>
      </c>
      <c r="CN28" t="s">
        <v>354</v>
      </c>
    </row>
    <row r="29" spans="2:98" x14ac:dyDescent="0.2">
      <c r="B29" t="s">
        <v>1068</v>
      </c>
      <c r="C29">
        <v>170</v>
      </c>
      <c r="D29" t="s">
        <v>251</v>
      </c>
      <c r="CS29" t="s">
        <v>1069</v>
      </c>
      <c r="CT29" t="s">
        <v>1069</v>
      </c>
    </row>
    <row r="30" spans="2:98" x14ac:dyDescent="0.2">
      <c r="B30" t="s">
        <v>1070</v>
      </c>
      <c r="C30">
        <v>180</v>
      </c>
      <c r="D30" t="s">
        <v>245</v>
      </c>
      <c r="CA30">
        <f>IF(OR(E30&gt;0,F30&gt;0,G30&gt;0,H30&gt;0,I30&gt;0,J30&gt;0,K30&gt;0,L30&gt;0),1,0)</f>
        <v>0</v>
      </c>
      <c r="CN30" t="s">
        <v>340</v>
      </c>
    </row>
    <row r="31" spans="2:98" x14ac:dyDescent="0.2">
      <c r="B31" t="s">
        <v>1071</v>
      </c>
      <c r="C31">
        <v>190</v>
      </c>
      <c r="D31" t="s">
        <v>248</v>
      </c>
      <c r="CB31">
        <f>IF(OR(E31&lt;0,F31&lt;0,G31&lt;0,H31&lt;0,I31&lt;0,J31&lt;0,K31&lt;0,L31&lt;0),1,0)</f>
        <v>0</v>
      </c>
    </row>
    <row r="32" spans="2:98" x14ac:dyDescent="0.2">
      <c r="B32" t="s">
        <v>1072</v>
      </c>
      <c r="C32">
        <v>195</v>
      </c>
      <c r="D32" t="s">
        <v>251</v>
      </c>
    </row>
    <row r="33" spans="2:81" x14ac:dyDescent="0.2">
      <c r="B33" t="s">
        <v>1073</v>
      </c>
      <c r="C33">
        <v>210</v>
      </c>
      <c r="D33" t="s">
        <v>245</v>
      </c>
      <c r="CA33">
        <f>IF(OR(E33&gt;0,F33&gt;0,G33&gt;0,H33&gt;0,I33&gt;0,J33&gt;0,K33&gt;0,L33&gt;0),1,0)</f>
        <v>0</v>
      </c>
    </row>
    <row r="34" spans="2:81" x14ac:dyDescent="0.2">
      <c r="B34" t="s">
        <v>1074</v>
      </c>
      <c r="C34">
        <v>212</v>
      </c>
      <c r="D34" t="s">
        <v>251</v>
      </c>
    </row>
    <row r="35" spans="2:81" x14ac:dyDescent="0.2">
      <c r="B35" t="s">
        <v>1075</v>
      </c>
      <c r="C35">
        <v>215</v>
      </c>
      <c r="D35" t="s">
        <v>245</v>
      </c>
    </row>
    <row r="36" spans="2:81" x14ac:dyDescent="0.2">
      <c r="B36" t="s">
        <v>1076</v>
      </c>
      <c r="C36">
        <v>220</v>
      </c>
      <c r="D36" t="s">
        <v>248</v>
      </c>
    </row>
    <row r="37" spans="2:81" x14ac:dyDescent="0.2">
      <c r="B37" t="s">
        <v>2986</v>
      </c>
      <c r="C37">
        <v>230</v>
      </c>
      <c r="D37" t="s">
        <v>248</v>
      </c>
    </row>
    <row r="38" spans="2:81" x14ac:dyDescent="0.2">
      <c r="B38" t="s">
        <v>304</v>
      </c>
      <c r="C38">
        <v>231</v>
      </c>
      <c r="D38" t="s">
        <v>251</v>
      </c>
    </row>
    <row r="39" spans="2:81" x14ac:dyDescent="0.2">
      <c r="B39" t="s">
        <v>303</v>
      </c>
      <c r="C39">
        <v>232</v>
      </c>
      <c r="D39" t="s">
        <v>251</v>
      </c>
    </row>
    <row r="40" spans="2:81" x14ac:dyDescent="0.2">
      <c r="B40" t="s">
        <v>387</v>
      </c>
      <c r="C40">
        <v>233</v>
      </c>
      <c r="D40" t="s">
        <v>251</v>
      </c>
    </row>
    <row r="41" spans="2:81" x14ac:dyDescent="0.2">
      <c r="B41" t="s">
        <v>1078</v>
      </c>
      <c r="C41">
        <v>234</v>
      </c>
      <c r="D41" t="s">
        <v>251</v>
      </c>
    </row>
    <row r="42" spans="2:81" x14ac:dyDescent="0.2">
      <c r="B42" t="s">
        <v>389</v>
      </c>
      <c r="C42">
        <v>235</v>
      </c>
      <c r="D42" t="s">
        <v>251</v>
      </c>
    </row>
    <row r="43" spans="2:81" x14ac:dyDescent="0.2">
      <c r="B43" t="s">
        <v>1079</v>
      </c>
      <c r="C43">
        <v>236</v>
      </c>
      <c r="D43" t="s">
        <v>251</v>
      </c>
    </row>
    <row r="44" spans="2:81" x14ac:dyDescent="0.2">
      <c r="B44" t="s">
        <v>1080</v>
      </c>
      <c r="C44">
        <v>237</v>
      </c>
      <c r="D44" t="s">
        <v>248</v>
      </c>
    </row>
    <row r="45" spans="2:81" x14ac:dyDescent="0.2">
      <c r="B45" t="s">
        <v>1065</v>
      </c>
      <c r="C45">
        <v>240</v>
      </c>
      <c r="D45" t="s">
        <v>251</v>
      </c>
    </row>
    <row r="46" spans="2:81" x14ac:dyDescent="0.2">
      <c r="B46" t="s">
        <v>1066</v>
      </c>
      <c r="C46">
        <v>250</v>
      </c>
      <c r="D46" t="s">
        <v>251</v>
      </c>
    </row>
    <row r="47" spans="2:81" x14ac:dyDescent="0.2">
      <c r="B47" t="s">
        <v>1067</v>
      </c>
      <c r="C47">
        <v>260</v>
      </c>
      <c r="D47" t="s">
        <v>245</v>
      </c>
      <c r="CA47">
        <f>IF(OR(E47&gt;0,F47&gt;0,G47&gt;0,H47&gt;0,I47&gt;0,J47&gt;0,K47&gt;0,L47&gt;0),1,0)</f>
        <v>0</v>
      </c>
    </row>
    <row r="48" spans="2:81" x14ac:dyDescent="0.2">
      <c r="B48" t="s">
        <v>1068</v>
      </c>
      <c r="C48">
        <v>270</v>
      </c>
      <c r="D48" t="s">
        <v>251</v>
      </c>
      <c r="CC48" t="s">
        <v>1032</v>
      </c>
    </row>
    <row r="49" spans="2:80" x14ac:dyDescent="0.2">
      <c r="B49" t="s">
        <v>1081</v>
      </c>
      <c r="C49">
        <v>280</v>
      </c>
      <c r="D49" t="s">
        <v>248</v>
      </c>
      <c r="CB49">
        <f>IF(OR(E49&lt;0,F49&lt;0,G49&lt;0,H49&lt;0,I49&lt;0,J49&lt;0,K49&lt;0,L49&lt;0),1,0)</f>
        <v>0</v>
      </c>
    </row>
    <row r="50" spans="2:80" x14ac:dyDescent="0.2">
      <c r="B50" t="s">
        <v>1082</v>
      </c>
      <c r="C50">
        <v>290</v>
      </c>
      <c r="D50" t="s">
        <v>245</v>
      </c>
      <c r="CA50">
        <f>IF(OR(E50&gt;0,F50&gt;0,G50&gt;0,H50&gt;0,I50&gt;0,J50&gt;0,K50&gt;0,L50&gt;0),1,0)</f>
        <v>0</v>
      </c>
    </row>
    <row r="51" spans="2:80" x14ac:dyDescent="0.2">
      <c r="B51" t="s">
        <v>1083</v>
      </c>
      <c r="C51">
        <v>295</v>
      </c>
      <c r="D51" t="s">
        <v>251</v>
      </c>
    </row>
    <row r="52" spans="2:80" x14ac:dyDescent="0.2">
      <c r="B52" t="s">
        <v>1084</v>
      </c>
      <c r="C52">
        <v>300</v>
      </c>
      <c r="D52" t="s">
        <v>248</v>
      </c>
      <c r="CB52">
        <f>IF(OR(E52&lt;0,F52&lt;0,G52&lt;0,H52&lt;0,I52&lt;0,J52&lt;0,K52&lt;0,L52&lt;0),1,0)</f>
        <v>0</v>
      </c>
    </row>
    <row r="53" spans="2:80" x14ac:dyDescent="0.2">
      <c r="B53" t="s">
        <v>1085</v>
      </c>
      <c r="C53">
        <v>310</v>
      </c>
      <c r="D53" t="s">
        <v>251</v>
      </c>
    </row>
    <row r="54" spans="2:80" x14ac:dyDescent="0.2">
      <c r="B54" t="s">
        <v>1073</v>
      </c>
      <c r="C54">
        <v>320</v>
      </c>
      <c r="D54" t="s">
        <v>245</v>
      </c>
      <c r="CA54">
        <f>IF(OR(E54&gt;0,F54&gt;0,G54&gt;0,H54&gt;0,I54&gt;0,J54&gt;0,K54&gt;0,L54&gt;0),1,0)</f>
        <v>0</v>
      </c>
    </row>
    <row r="55" spans="2:80" x14ac:dyDescent="0.2">
      <c r="B55" t="s">
        <v>1074</v>
      </c>
      <c r="C55">
        <v>325</v>
      </c>
      <c r="D55" t="s">
        <v>251</v>
      </c>
    </row>
    <row r="56" spans="2:80" x14ac:dyDescent="0.2">
      <c r="B56" t="s">
        <v>1086</v>
      </c>
      <c r="C56">
        <v>330</v>
      </c>
      <c r="D56" t="s">
        <v>245</v>
      </c>
      <c r="CA56">
        <f>IF(OR(E56&gt;0,F56&gt;0,G56&gt;0,H56&gt;0,I56&gt;0,J56&gt;0,K56&gt;0,L56&gt;0),1,0)</f>
        <v>0</v>
      </c>
    </row>
    <row r="57" spans="2:80" x14ac:dyDescent="0.2">
      <c r="B57" t="s">
        <v>1087</v>
      </c>
      <c r="C57">
        <v>340</v>
      </c>
      <c r="D57" t="s">
        <v>248</v>
      </c>
    </row>
    <row r="58" spans="2:80" x14ac:dyDescent="0.2">
      <c r="B58" t="s">
        <v>1088</v>
      </c>
      <c r="C58">
        <v>350</v>
      </c>
      <c r="D58" t="s">
        <v>248</v>
      </c>
    </row>
    <row r="59" spans="2:80" x14ac:dyDescent="0.2">
      <c r="B59" t="s">
        <v>1089</v>
      </c>
      <c r="C59">
        <v>360</v>
      </c>
      <c r="D59" t="s">
        <v>248</v>
      </c>
    </row>
    <row r="60" spans="2:80" x14ac:dyDescent="0.2">
      <c r="B60" t="s">
        <v>1090</v>
      </c>
      <c r="C60">
        <v>370</v>
      </c>
      <c r="D60" t="s">
        <v>248</v>
      </c>
    </row>
    <row r="61" spans="2:80" x14ac:dyDescent="0.2">
      <c r="B61" t="s">
        <v>1091</v>
      </c>
      <c r="C61">
        <v>380</v>
      </c>
      <c r="D61" t="s">
        <v>248</v>
      </c>
    </row>
    <row r="62" spans="2:80" x14ac:dyDescent="0.2">
      <c r="B62" t="s">
        <v>1092</v>
      </c>
      <c r="C62">
        <v>390</v>
      </c>
      <c r="D62" t="s">
        <v>248</v>
      </c>
    </row>
    <row r="63" spans="2:80" x14ac:dyDescent="0.2">
      <c r="B63" t="s">
        <v>116</v>
      </c>
    </row>
    <row r="64" spans="2:80" x14ac:dyDescent="0.2">
      <c r="B64" t="s">
        <v>1093</v>
      </c>
      <c r="C64">
        <v>400</v>
      </c>
      <c r="D64" t="s">
        <v>248</v>
      </c>
      <c r="CB64">
        <f>IF(OR(E64&lt;0,F64&lt;0,G64&lt;0,H64&lt;0,I64&lt;0,J64&lt;0,K64&lt;0,L64&lt;0),1,0)</f>
        <v>0</v>
      </c>
    </row>
    <row r="65" spans="2:89" x14ac:dyDescent="0.2">
      <c r="B65" t="s">
        <v>1094</v>
      </c>
      <c r="C65">
        <v>405</v>
      </c>
      <c r="D65" t="s">
        <v>248</v>
      </c>
      <c r="CB65">
        <f>IF(OR(E65&lt;0,F65&lt;0,G65&lt;0,H65&lt;0,I65&lt;0,J65&lt;0,K65&lt;0,L65&lt;0),1,0)</f>
        <v>0</v>
      </c>
    </row>
    <row r="66" spans="2:89" x14ac:dyDescent="0.2">
      <c r="B66" t="s">
        <v>1095</v>
      </c>
      <c r="C66">
        <v>406</v>
      </c>
      <c r="D66" t="s">
        <v>248</v>
      </c>
      <c r="CB66">
        <f>IF(OR(E66&lt;0,F66&lt;0,G66&lt;0,H66&lt;0,I66&lt;0,J66&lt;0,K66&lt;0,L66&lt;0),1,0)</f>
        <v>0</v>
      </c>
    </row>
    <row r="67" spans="2:89" x14ac:dyDescent="0.2">
      <c r="B67" t="s">
        <v>2987</v>
      </c>
      <c r="C67">
        <v>407</v>
      </c>
      <c r="D67" t="s">
        <v>248</v>
      </c>
    </row>
    <row r="68" spans="2:89" x14ac:dyDescent="0.2">
      <c r="B68" t="s">
        <v>1097</v>
      </c>
      <c r="C68">
        <v>410</v>
      </c>
      <c r="D68" t="s">
        <v>248</v>
      </c>
      <c r="CB68">
        <f>IF(OR(E68&lt;0,F68&lt;0,G68&lt;0,H68&lt;0,I68&lt;0,J68&lt;0,K68&lt;0,L68&lt;0),1,0)</f>
        <v>0</v>
      </c>
    </row>
    <row r="69" spans="2:89" x14ac:dyDescent="0.2">
      <c r="B69" t="s">
        <v>1098</v>
      </c>
      <c r="C69">
        <v>420</v>
      </c>
      <c r="D69" t="s">
        <v>248</v>
      </c>
      <c r="CB69">
        <f>IF(OR(E69&lt;0,F69&lt;0,G69&lt;0,H69&lt;0,I69&lt;0,J69&lt;0,K69&lt;0,L69&lt;0),1,0)</f>
        <v>0</v>
      </c>
    </row>
    <row r="70" spans="2:89" x14ac:dyDescent="0.2">
      <c r="B70" t="s">
        <v>1099</v>
      </c>
      <c r="C70">
        <v>430</v>
      </c>
      <c r="D70" t="s">
        <v>248</v>
      </c>
      <c r="CB70">
        <f>IF(OR(E70&lt;0,F70&lt;0,G70&lt;0,H70&lt;0,I70&lt;0,J70&lt;0,K70&lt;0,L70&lt;0),1,0)</f>
        <v>0</v>
      </c>
      <c r="CK70" t="s">
        <v>1035</v>
      </c>
    </row>
    <row r="71" spans="2:89" x14ac:dyDescent="0.2">
      <c r="B71" t="s">
        <v>1100</v>
      </c>
      <c r="C71">
        <v>440</v>
      </c>
      <c r="D71" t="s">
        <v>248</v>
      </c>
    </row>
    <row r="72" spans="2:89" x14ac:dyDescent="0.2">
      <c r="CK72">
        <f>IF(OR(E58-E71&lt;&gt;0,F58-F71&lt;&gt;0,G58-G71&lt;&gt;0,H58-H71&lt;&gt;0,I58-I71&lt;&gt;0,K58-K71&lt;&gt;0,L58-L71&lt;&gt;0,J58-J71&lt;&gt;0),1,0)</f>
        <v>0</v>
      </c>
    </row>
    <row r="75" spans="2:89" x14ac:dyDescent="0.2">
      <c r="D75" t="s">
        <v>25</v>
      </c>
      <c r="E75" t="s">
        <v>235</v>
      </c>
      <c r="F75" t="s">
        <v>236</v>
      </c>
      <c r="G75" t="s">
        <v>293</v>
      </c>
      <c r="H75" t="s">
        <v>294</v>
      </c>
      <c r="I75" t="s">
        <v>295</v>
      </c>
      <c r="J75" t="s">
        <v>296</v>
      </c>
      <c r="K75" t="s">
        <v>342</v>
      </c>
      <c r="L75" t="s">
        <v>297</v>
      </c>
      <c r="M75" t="s">
        <v>298</v>
      </c>
    </row>
    <row r="76" spans="2:89" x14ac:dyDescent="0.2">
      <c r="B76" t="s">
        <v>1101</v>
      </c>
      <c r="C76" t="s">
        <v>238</v>
      </c>
      <c r="E76" t="s">
        <v>1040</v>
      </c>
      <c r="F76" t="s">
        <v>1102</v>
      </c>
      <c r="G76" t="s">
        <v>1042</v>
      </c>
      <c r="H76" t="s">
        <v>1103</v>
      </c>
      <c r="I76" t="s">
        <v>1044</v>
      </c>
      <c r="J76" t="s">
        <v>1045</v>
      </c>
      <c r="K76" t="s">
        <v>1046</v>
      </c>
      <c r="L76" t="s">
        <v>1047</v>
      </c>
      <c r="M76" t="s">
        <v>340</v>
      </c>
    </row>
    <row r="77" spans="2:89" x14ac:dyDescent="0.2">
      <c r="C77" t="s">
        <v>242</v>
      </c>
      <c r="I77" t="s">
        <v>1050</v>
      </c>
      <c r="J77" t="s">
        <v>1051</v>
      </c>
      <c r="K77" t="s">
        <v>1052</v>
      </c>
      <c r="L77" t="s">
        <v>1053</v>
      </c>
    </row>
    <row r="78" spans="2:89" x14ac:dyDescent="0.2">
      <c r="E78" t="s">
        <v>243</v>
      </c>
      <c r="F78" t="s">
        <v>243</v>
      </c>
      <c r="G78" t="s">
        <v>243</v>
      </c>
      <c r="H78" t="s">
        <v>243</v>
      </c>
      <c r="I78" t="s">
        <v>243</v>
      </c>
      <c r="J78" t="s">
        <v>243</v>
      </c>
      <c r="K78" t="s">
        <v>243</v>
      </c>
      <c r="L78" t="s">
        <v>243</v>
      </c>
      <c r="M78" t="s">
        <v>243</v>
      </c>
    </row>
    <row r="79" spans="2:89" x14ac:dyDescent="0.2">
      <c r="B79" t="s">
        <v>1104</v>
      </c>
      <c r="C79">
        <v>450</v>
      </c>
      <c r="D79" t="s">
        <v>248</v>
      </c>
    </row>
    <row r="80" spans="2:89" x14ac:dyDescent="0.2">
      <c r="B80" t="s">
        <v>304</v>
      </c>
      <c r="C80">
        <v>452</v>
      </c>
      <c r="D80" t="s">
        <v>251</v>
      </c>
    </row>
    <row r="81" spans="2:84" x14ac:dyDescent="0.2">
      <c r="B81" t="s">
        <v>303</v>
      </c>
      <c r="C81">
        <v>454</v>
      </c>
      <c r="D81" t="s">
        <v>251</v>
      </c>
    </row>
    <row r="82" spans="2:84" x14ac:dyDescent="0.2">
      <c r="B82" t="s">
        <v>387</v>
      </c>
      <c r="C82">
        <v>456</v>
      </c>
      <c r="D82" t="s">
        <v>251</v>
      </c>
    </row>
    <row r="83" spans="2:84" x14ac:dyDescent="0.2">
      <c r="B83" t="s">
        <v>388</v>
      </c>
      <c r="C83">
        <v>458</v>
      </c>
      <c r="D83" t="s">
        <v>251</v>
      </c>
    </row>
    <row r="84" spans="2:84" x14ac:dyDescent="0.2">
      <c r="B84" t="s">
        <v>389</v>
      </c>
      <c r="C84">
        <v>460</v>
      </c>
      <c r="D84" t="s">
        <v>251</v>
      </c>
    </row>
    <row r="85" spans="2:84" x14ac:dyDescent="0.2">
      <c r="B85" t="s">
        <v>1079</v>
      </c>
      <c r="C85">
        <v>462</v>
      </c>
      <c r="D85" t="s">
        <v>251</v>
      </c>
    </row>
    <row r="86" spans="2:84" x14ac:dyDescent="0.2">
      <c r="B86" t="s">
        <v>391</v>
      </c>
      <c r="C86">
        <v>465</v>
      </c>
      <c r="D86" t="s">
        <v>248</v>
      </c>
    </row>
    <row r="87" spans="2:84" x14ac:dyDescent="0.2">
      <c r="B87" t="s">
        <v>1105</v>
      </c>
      <c r="C87">
        <v>490</v>
      </c>
      <c r="D87" t="s">
        <v>251</v>
      </c>
    </row>
    <row r="88" spans="2:84" x14ac:dyDescent="0.2">
      <c r="B88" t="s">
        <v>1106</v>
      </c>
      <c r="C88">
        <v>500</v>
      </c>
      <c r="D88" t="s">
        <v>248</v>
      </c>
    </row>
    <row r="92" spans="2:84" x14ac:dyDescent="0.2">
      <c r="B92" t="s">
        <v>1107</v>
      </c>
      <c r="C92" t="s">
        <v>238</v>
      </c>
      <c r="E92" t="s">
        <v>235</v>
      </c>
      <c r="F92" t="s">
        <v>236</v>
      </c>
      <c r="CD92" t="s">
        <v>1108</v>
      </c>
      <c r="CF92" t="s">
        <v>300</v>
      </c>
    </row>
    <row r="93" spans="2:84" x14ac:dyDescent="0.2">
      <c r="C93" t="s">
        <v>242</v>
      </c>
      <c r="D93" t="s">
        <v>25</v>
      </c>
      <c r="E93" t="s">
        <v>1109</v>
      </c>
      <c r="F93" t="s">
        <v>1110</v>
      </c>
      <c r="CD93" t="s">
        <v>1111</v>
      </c>
      <c r="CF93" t="s">
        <v>1112</v>
      </c>
    </row>
    <row r="94" spans="2:84" x14ac:dyDescent="0.2">
      <c r="E94" t="s">
        <v>1113</v>
      </c>
      <c r="F94" t="s">
        <v>1113</v>
      </c>
      <c r="CE94" t="s">
        <v>353</v>
      </c>
    </row>
    <row r="95" spans="2:84" x14ac:dyDescent="0.2">
      <c r="B95" t="s">
        <v>311</v>
      </c>
      <c r="CE95" t="s">
        <v>354</v>
      </c>
    </row>
    <row r="96" spans="2:84" x14ac:dyDescent="0.2">
      <c r="B96" t="s">
        <v>1114</v>
      </c>
      <c r="C96">
        <v>510</v>
      </c>
      <c r="D96" t="s">
        <v>248</v>
      </c>
      <c r="CB96">
        <f>IF(OR(E96&lt;0,F96&lt;0),1,0)</f>
        <v>0</v>
      </c>
      <c r="CE96" t="s">
        <v>1115</v>
      </c>
    </row>
    <row r="97" spans="2:83" x14ac:dyDescent="0.2">
      <c r="B97" t="s">
        <v>1116</v>
      </c>
      <c r="C97">
        <v>520</v>
      </c>
      <c r="D97" t="s">
        <v>248</v>
      </c>
      <c r="CB97">
        <f>IF(OR(E97&lt;0,F97&lt;0),1,0)</f>
        <v>0</v>
      </c>
      <c r="CE97" t="s">
        <v>340</v>
      </c>
    </row>
    <row r="98" spans="2:83" x14ac:dyDescent="0.2">
      <c r="B98" t="s">
        <v>1117</v>
      </c>
      <c r="C98">
        <v>530</v>
      </c>
      <c r="D98" t="s">
        <v>248</v>
      </c>
      <c r="CB98">
        <f>IF(OR(E98&lt;0,F98&lt;0),1,0)</f>
        <v>0</v>
      </c>
    </row>
    <row r="99" spans="2:83" x14ac:dyDescent="0.2">
      <c r="B99" t="s">
        <v>1118</v>
      </c>
      <c r="C99">
        <v>540</v>
      </c>
      <c r="D99" t="s">
        <v>248</v>
      </c>
      <c r="CB99">
        <f>IF(OR(E99&lt;0,F99&lt;0),1,0)</f>
        <v>0</v>
      </c>
    </row>
    <row r="100" spans="2:83" x14ac:dyDescent="0.2">
      <c r="B100" t="s">
        <v>2988</v>
      </c>
      <c r="C100">
        <v>545</v>
      </c>
      <c r="D100" t="s">
        <v>248</v>
      </c>
      <c r="CB100">
        <f>IF(OR(E100&lt;0,F100&lt;0),1,0)</f>
        <v>0</v>
      </c>
    </row>
    <row r="101" spans="2:83" x14ac:dyDescent="0.2">
      <c r="B101" t="s">
        <v>310</v>
      </c>
    </row>
    <row r="102" spans="2:83" x14ac:dyDescent="0.2">
      <c r="B102" t="s">
        <v>1120</v>
      </c>
      <c r="C102">
        <v>550</v>
      </c>
      <c r="D102" t="s">
        <v>248</v>
      </c>
      <c r="CB102">
        <f t="shared" ref="CB102:CB107" si="0">IF(OR(E102&lt;0,F102&lt;0),1,0)</f>
        <v>0</v>
      </c>
    </row>
    <row r="103" spans="2:83" x14ac:dyDescent="0.2">
      <c r="B103" t="s">
        <v>1042</v>
      </c>
      <c r="C103">
        <v>560</v>
      </c>
      <c r="D103" t="s">
        <v>248</v>
      </c>
      <c r="CB103">
        <f t="shared" si="0"/>
        <v>0</v>
      </c>
    </row>
    <row r="104" spans="2:83" x14ac:dyDescent="0.2">
      <c r="B104" t="s">
        <v>1121</v>
      </c>
      <c r="C104">
        <v>570</v>
      </c>
      <c r="D104" t="s">
        <v>248</v>
      </c>
      <c r="CB104">
        <f t="shared" si="0"/>
        <v>0</v>
      </c>
    </row>
    <row r="105" spans="2:83" x14ac:dyDescent="0.2">
      <c r="B105" t="s">
        <v>1122</v>
      </c>
      <c r="C105">
        <v>580</v>
      </c>
      <c r="D105" t="s">
        <v>248</v>
      </c>
      <c r="CB105">
        <f t="shared" si="0"/>
        <v>0</v>
      </c>
    </row>
    <row r="106" spans="2:83" x14ac:dyDescent="0.2">
      <c r="B106" t="s">
        <v>1123</v>
      </c>
      <c r="C106">
        <v>590</v>
      </c>
      <c r="D106" t="s">
        <v>248</v>
      </c>
      <c r="CB106">
        <f t="shared" si="0"/>
        <v>0</v>
      </c>
    </row>
    <row r="107" spans="2:83" x14ac:dyDescent="0.2">
      <c r="B107" t="s">
        <v>1124</v>
      </c>
      <c r="C107">
        <v>600</v>
      </c>
      <c r="D107" t="s">
        <v>248</v>
      </c>
      <c r="CB107">
        <f t="shared" si="0"/>
        <v>0</v>
      </c>
    </row>
    <row r="110" spans="2:83" x14ac:dyDescent="0.2">
      <c r="D110" t="s">
        <v>25</v>
      </c>
      <c r="E110" t="s">
        <v>235</v>
      </c>
      <c r="F110" t="s">
        <v>236</v>
      </c>
      <c r="G110" t="s">
        <v>293</v>
      </c>
      <c r="H110" t="s">
        <v>294</v>
      </c>
    </row>
    <row r="111" spans="2:83" x14ac:dyDescent="0.2">
      <c r="B111" t="s">
        <v>119</v>
      </c>
      <c r="C111" t="s">
        <v>238</v>
      </c>
      <c r="E111" t="s">
        <v>1040</v>
      </c>
      <c r="F111" t="s">
        <v>1125</v>
      </c>
      <c r="G111" t="s">
        <v>1042</v>
      </c>
      <c r="H111" t="s">
        <v>340</v>
      </c>
    </row>
    <row r="112" spans="2:83" x14ac:dyDescent="0.2">
      <c r="C112" t="s">
        <v>242</v>
      </c>
      <c r="F112" t="s">
        <v>1126</v>
      </c>
    </row>
    <row r="113" spans="2:80" x14ac:dyDescent="0.2">
      <c r="E113" t="s">
        <v>243</v>
      </c>
      <c r="F113" t="s">
        <v>243</v>
      </c>
      <c r="G113" t="s">
        <v>243</v>
      </c>
      <c r="H113" t="s">
        <v>243</v>
      </c>
    </row>
    <row r="114" spans="2:80" x14ac:dyDescent="0.2">
      <c r="B114" t="s">
        <v>1127</v>
      </c>
      <c r="C114">
        <v>610</v>
      </c>
      <c r="D114" t="s">
        <v>248</v>
      </c>
      <c r="CB114">
        <f>IF(OR(E114&lt;0,F114&lt;0,G114&lt;0),1,0)</f>
        <v>0</v>
      </c>
    </row>
    <row r="115" spans="2:80" x14ac:dyDescent="0.2">
      <c r="B115" t="s">
        <v>1128</v>
      </c>
      <c r="C115">
        <v>620</v>
      </c>
      <c r="D115" t="s">
        <v>248</v>
      </c>
      <c r="CB115">
        <f>IF(OR(E115&lt;0,F115&lt;0,G115&lt;0),1,0)</f>
        <v>0</v>
      </c>
    </row>
    <row r="119" spans="2:80" x14ac:dyDescent="0.2">
      <c r="D119" t="s">
        <v>25</v>
      </c>
      <c r="E119" t="s">
        <v>235</v>
      </c>
      <c r="F119" t="s">
        <v>236</v>
      </c>
      <c r="G119" t="s">
        <v>293</v>
      </c>
      <c r="H119" t="s">
        <v>294</v>
      </c>
      <c r="I119" t="s">
        <v>295</v>
      </c>
      <c r="J119" t="s">
        <v>296</v>
      </c>
      <c r="K119" t="s">
        <v>342</v>
      </c>
      <c r="L119" t="s">
        <v>297</v>
      </c>
      <c r="M119" t="s">
        <v>298</v>
      </c>
    </row>
    <row r="120" spans="2:80" x14ac:dyDescent="0.2">
      <c r="B120" t="s">
        <v>1129</v>
      </c>
      <c r="C120" t="s">
        <v>238</v>
      </c>
      <c r="E120" t="s">
        <v>1040</v>
      </c>
      <c r="F120" t="s">
        <v>1041</v>
      </c>
      <c r="G120" t="s">
        <v>1042</v>
      </c>
      <c r="H120" t="s">
        <v>1043</v>
      </c>
      <c r="I120" t="s">
        <v>1044</v>
      </c>
      <c r="J120" t="s">
        <v>1045</v>
      </c>
      <c r="K120" t="s">
        <v>1046</v>
      </c>
      <c r="L120" t="s">
        <v>1047</v>
      </c>
      <c r="M120" t="s">
        <v>340</v>
      </c>
    </row>
    <row r="121" spans="2:80" x14ac:dyDescent="0.2">
      <c r="C121" t="s">
        <v>242</v>
      </c>
      <c r="F121" t="s">
        <v>1042</v>
      </c>
      <c r="H121" t="s">
        <v>1049</v>
      </c>
      <c r="I121" t="s">
        <v>1050</v>
      </c>
      <c r="J121" t="s">
        <v>1051</v>
      </c>
      <c r="K121" t="s">
        <v>1052</v>
      </c>
      <c r="L121" t="s">
        <v>1053</v>
      </c>
    </row>
    <row r="122" spans="2:80" x14ac:dyDescent="0.2">
      <c r="H122" t="s">
        <v>1055</v>
      </c>
    </row>
    <row r="123" spans="2:80" x14ac:dyDescent="0.2">
      <c r="H123" t="s">
        <v>1056</v>
      </c>
    </row>
    <row r="124" spans="2:80" x14ac:dyDescent="0.2">
      <c r="E124" t="s">
        <v>243</v>
      </c>
      <c r="F124" t="s">
        <v>243</v>
      </c>
      <c r="G124" t="s">
        <v>243</v>
      </c>
      <c r="H124" t="s">
        <v>243</v>
      </c>
      <c r="I124" t="s">
        <v>243</v>
      </c>
      <c r="J124" t="s">
        <v>243</v>
      </c>
      <c r="K124" t="s">
        <v>243</v>
      </c>
      <c r="L124" t="s">
        <v>243</v>
      </c>
      <c r="M124" t="s">
        <v>243</v>
      </c>
    </row>
    <row r="125" spans="2:80" x14ac:dyDescent="0.2">
      <c r="B125" t="s">
        <v>1130</v>
      </c>
      <c r="C125">
        <v>630</v>
      </c>
      <c r="D125" t="s">
        <v>248</v>
      </c>
    </row>
    <row r="126" spans="2:80" x14ac:dyDescent="0.2">
      <c r="B126" t="s">
        <v>304</v>
      </c>
      <c r="C126">
        <v>640</v>
      </c>
      <c r="D126" t="s">
        <v>251</v>
      </c>
    </row>
    <row r="127" spans="2:80" x14ac:dyDescent="0.2">
      <c r="B127" t="s">
        <v>303</v>
      </c>
      <c r="C127">
        <v>650</v>
      </c>
      <c r="D127" t="s">
        <v>251</v>
      </c>
    </row>
    <row r="128" spans="2:80" x14ac:dyDescent="0.2">
      <c r="B128" t="s">
        <v>387</v>
      </c>
      <c r="C128">
        <v>660</v>
      </c>
      <c r="D128" t="s">
        <v>251</v>
      </c>
    </row>
    <row r="129" spans="2:4" x14ac:dyDescent="0.2">
      <c r="B129" t="s">
        <v>2989</v>
      </c>
      <c r="C129">
        <v>670</v>
      </c>
      <c r="D129" t="s">
        <v>251</v>
      </c>
    </row>
    <row r="130" spans="2:4" x14ac:dyDescent="0.2">
      <c r="B130" t="s">
        <v>389</v>
      </c>
      <c r="C130">
        <v>680</v>
      </c>
      <c r="D130" t="s">
        <v>251</v>
      </c>
    </row>
    <row r="131" spans="2:4" x14ac:dyDescent="0.2">
      <c r="B131" t="s">
        <v>1079</v>
      </c>
      <c r="C131">
        <v>690</v>
      </c>
      <c r="D131" t="s">
        <v>251</v>
      </c>
    </row>
    <row r="132" spans="2:4" x14ac:dyDescent="0.2">
      <c r="B132" t="s">
        <v>1058</v>
      </c>
      <c r="C132">
        <v>700</v>
      </c>
      <c r="D132" t="s">
        <v>248</v>
      </c>
    </row>
    <row r="133" spans="2:4" x14ac:dyDescent="0.2">
      <c r="B133" t="s">
        <v>1059</v>
      </c>
      <c r="C133">
        <v>710</v>
      </c>
      <c r="D133" t="s">
        <v>248</v>
      </c>
    </row>
    <row r="134" spans="2:4" x14ac:dyDescent="0.2">
      <c r="B134" t="s">
        <v>1060</v>
      </c>
      <c r="C134">
        <v>720</v>
      </c>
      <c r="D134" t="s">
        <v>248</v>
      </c>
    </row>
    <row r="135" spans="2:4" x14ac:dyDescent="0.2">
      <c r="B135" t="s">
        <v>1174</v>
      </c>
      <c r="C135">
        <v>730</v>
      </c>
      <c r="D135" t="s">
        <v>248</v>
      </c>
    </row>
    <row r="136" spans="2:4" x14ac:dyDescent="0.2">
      <c r="B136" t="s">
        <v>1175</v>
      </c>
      <c r="C136">
        <v>740</v>
      </c>
      <c r="D136" t="s">
        <v>248</v>
      </c>
    </row>
    <row r="137" spans="2:4" x14ac:dyDescent="0.2">
      <c r="B137" t="s">
        <v>1065</v>
      </c>
      <c r="C137">
        <v>750</v>
      </c>
      <c r="D137" t="s">
        <v>251</v>
      </c>
    </row>
    <row r="138" spans="2:4" x14ac:dyDescent="0.2">
      <c r="B138" t="s">
        <v>1066</v>
      </c>
      <c r="C138">
        <v>760</v>
      </c>
      <c r="D138" t="s">
        <v>251</v>
      </c>
    </row>
    <row r="139" spans="2:4" x14ac:dyDescent="0.2">
      <c r="B139" t="s">
        <v>1067</v>
      </c>
      <c r="C139">
        <v>770</v>
      </c>
      <c r="D139" t="s">
        <v>245</v>
      </c>
    </row>
    <row r="140" spans="2:4" x14ac:dyDescent="0.2">
      <c r="B140" t="s">
        <v>1155</v>
      </c>
      <c r="C140">
        <v>780</v>
      </c>
      <c r="D140" t="s">
        <v>248</v>
      </c>
    </row>
    <row r="141" spans="2:4" x14ac:dyDescent="0.2">
      <c r="B141" t="s">
        <v>1070</v>
      </c>
      <c r="C141">
        <v>790</v>
      </c>
      <c r="D141" t="s">
        <v>245</v>
      </c>
    </row>
    <row r="142" spans="2:4" x14ac:dyDescent="0.2">
      <c r="B142" t="s">
        <v>1071</v>
      </c>
      <c r="C142">
        <v>800</v>
      </c>
      <c r="D142" t="s">
        <v>248</v>
      </c>
    </row>
    <row r="144" spans="2:4" x14ac:dyDescent="0.2">
      <c r="B144" t="s">
        <v>1073</v>
      </c>
      <c r="C144">
        <v>810</v>
      </c>
      <c r="D144" t="s">
        <v>245</v>
      </c>
    </row>
    <row r="145" spans="2:4" x14ac:dyDescent="0.2">
      <c r="B145" t="s">
        <v>2990</v>
      </c>
      <c r="C145">
        <v>820</v>
      </c>
      <c r="D145" t="s">
        <v>251</v>
      </c>
    </row>
    <row r="147" spans="2:4" x14ac:dyDescent="0.2">
      <c r="B147" t="s">
        <v>1133</v>
      </c>
      <c r="C147">
        <v>830</v>
      </c>
      <c r="D147" t="s">
        <v>248</v>
      </c>
    </row>
    <row r="148" spans="2:4" x14ac:dyDescent="0.2">
      <c r="B148" t="s">
        <v>1134</v>
      </c>
      <c r="C148">
        <v>840</v>
      </c>
      <c r="D148" t="s">
        <v>248</v>
      </c>
    </row>
    <row r="149" spans="2:4" x14ac:dyDescent="0.2">
      <c r="B149" t="s">
        <v>304</v>
      </c>
      <c r="C149">
        <v>850</v>
      </c>
      <c r="D149" t="s">
        <v>251</v>
      </c>
    </row>
    <row r="150" spans="2:4" x14ac:dyDescent="0.2">
      <c r="B150" t="s">
        <v>303</v>
      </c>
      <c r="C150">
        <v>860</v>
      </c>
      <c r="D150" t="s">
        <v>251</v>
      </c>
    </row>
    <row r="151" spans="2:4" x14ac:dyDescent="0.2">
      <c r="B151" t="s">
        <v>387</v>
      </c>
      <c r="C151">
        <v>870</v>
      </c>
      <c r="D151" t="s">
        <v>251</v>
      </c>
    </row>
    <row r="152" spans="2:4" x14ac:dyDescent="0.2">
      <c r="B152" t="s">
        <v>1078</v>
      </c>
      <c r="C152">
        <v>880</v>
      </c>
      <c r="D152" t="s">
        <v>251</v>
      </c>
    </row>
    <row r="153" spans="2:4" x14ac:dyDescent="0.2">
      <c r="B153" t="s">
        <v>389</v>
      </c>
      <c r="C153">
        <v>890</v>
      </c>
      <c r="D153" t="s">
        <v>251</v>
      </c>
    </row>
    <row r="154" spans="2:4" x14ac:dyDescent="0.2">
      <c r="B154" t="s">
        <v>1079</v>
      </c>
      <c r="C154">
        <v>900</v>
      </c>
      <c r="D154" t="s">
        <v>251</v>
      </c>
    </row>
    <row r="155" spans="2:4" x14ac:dyDescent="0.2">
      <c r="B155" t="s">
        <v>1080</v>
      </c>
      <c r="C155">
        <v>910</v>
      </c>
      <c r="D155" t="s">
        <v>248</v>
      </c>
    </row>
    <row r="156" spans="2:4" x14ac:dyDescent="0.2">
      <c r="B156" t="s">
        <v>1065</v>
      </c>
      <c r="C156">
        <v>920</v>
      </c>
      <c r="D156" t="s">
        <v>251</v>
      </c>
    </row>
    <row r="157" spans="2:4" x14ac:dyDescent="0.2">
      <c r="B157" t="s">
        <v>2991</v>
      </c>
      <c r="C157">
        <v>930</v>
      </c>
      <c r="D157" t="s">
        <v>251</v>
      </c>
    </row>
    <row r="158" spans="2:4" x14ac:dyDescent="0.2">
      <c r="B158" t="s">
        <v>1067</v>
      </c>
      <c r="C158">
        <v>940</v>
      </c>
      <c r="D158" t="s">
        <v>245</v>
      </c>
    </row>
    <row r="159" spans="2:4" x14ac:dyDescent="0.2">
      <c r="B159" t="s">
        <v>1155</v>
      </c>
      <c r="C159">
        <v>950</v>
      </c>
      <c r="D159" t="s">
        <v>248</v>
      </c>
    </row>
    <row r="160" spans="2:4" x14ac:dyDescent="0.2">
      <c r="B160" t="s">
        <v>1081</v>
      </c>
      <c r="C160">
        <v>960</v>
      </c>
      <c r="D160" t="s">
        <v>248</v>
      </c>
    </row>
    <row r="161" spans="2:4" x14ac:dyDescent="0.2">
      <c r="B161" t="s">
        <v>1082</v>
      </c>
      <c r="C161">
        <v>970</v>
      </c>
      <c r="D161" t="s">
        <v>245</v>
      </c>
    </row>
    <row r="162" spans="2:4" x14ac:dyDescent="0.2">
      <c r="B162" t="s">
        <v>1084</v>
      </c>
      <c r="C162">
        <v>980</v>
      </c>
      <c r="D162" t="s">
        <v>248</v>
      </c>
    </row>
    <row r="164" spans="2:4" x14ac:dyDescent="0.2">
      <c r="B164" t="s">
        <v>1073</v>
      </c>
      <c r="C164">
        <v>990</v>
      </c>
      <c r="D164" t="s">
        <v>245</v>
      </c>
    </row>
    <row r="165" spans="2:4" x14ac:dyDescent="0.2">
      <c r="B165" t="s">
        <v>2990</v>
      </c>
      <c r="C165">
        <v>1000</v>
      </c>
      <c r="D165" t="s">
        <v>251</v>
      </c>
    </row>
    <row r="167" spans="2:4" x14ac:dyDescent="0.2">
      <c r="B167" t="s">
        <v>1136</v>
      </c>
      <c r="C167">
        <v>1010</v>
      </c>
      <c r="D167" t="s">
        <v>248</v>
      </c>
    </row>
    <row r="168" spans="2:4" x14ac:dyDescent="0.2">
      <c r="B168" t="s">
        <v>1137</v>
      </c>
      <c r="C168">
        <v>1020</v>
      </c>
      <c r="D168" t="s">
        <v>248</v>
      </c>
    </row>
    <row r="169" spans="2:4" x14ac:dyDescent="0.2">
      <c r="B169" t="s">
        <v>116</v>
      </c>
    </row>
    <row r="170" spans="2:4" x14ac:dyDescent="0.2">
      <c r="B170" t="s">
        <v>2992</v>
      </c>
      <c r="C170">
        <v>1025</v>
      </c>
      <c r="D170" t="s">
        <v>248</v>
      </c>
    </row>
    <row r="171" spans="2:4" x14ac:dyDescent="0.2">
      <c r="B171" t="s">
        <v>1097</v>
      </c>
      <c r="C171">
        <v>1030</v>
      </c>
      <c r="D171" t="s">
        <v>248</v>
      </c>
    </row>
    <row r="172" spans="2:4" x14ac:dyDescent="0.2">
      <c r="B172" t="s">
        <v>1098</v>
      </c>
      <c r="C172">
        <v>1035</v>
      </c>
      <c r="D172" t="s">
        <v>248</v>
      </c>
    </row>
    <row r="173" spans="2:4" x14ac:dyDescent="0.2">
      <c r="B173" t="s">
        <v>1099</v>
      </c>
      <c r="C173">
        <v>1040</v>
      </c>
      <c r="D173" t="s">
        <v>248</v>
      </c>
    </row>
    <row r="174" spans="2:4" x14ac:dyDescent="0.2">
      <c r="B174" t="s">
        <v>1137</v>
      </c>
      <c r="C174">
        <v>1045</v>
      </c>
      <c r="D174" t="s">
        <v>248</v>
      </c>
    </row>
    <row r="178" spans="2:80" x14ac:dyDescent="0.2">
      <c r="D178" t="s">
        <v>25</v>
      </c>
      <c r="E178" t="s">
        <v>235</v>
      </c>
    </row>
    <row r="179" spans="2:80" x14ac:dyDescent="0.2">
      <c r="B179" t="s">
        <v>1138</v>
      </c>
      <c r="C179" t="s">
        <v>238</v>
      </c>
    </row>
    <row r="180" spans="2:80" x14ac:dyDescent="0.2">
      <c r="C180" t="s">
        <v>242</v>
      </c>
    </row>
    <row r="181" spans="2:80" x14ac:dyDescent="0.2">
      <c r="E181" t="s">
        <v>243</v>
      </c>
    </row>
    <row r="182" spans="2:80" x14ac:dyDescent="0.2">
      <c r="B182" t="s">
        <v>1040</v>
      </c>
      <c r="C182">
        <v>1050</v>
      </c>
      <c r="D182" t="s">
        <v>248</v>
      </c>
      <c r="CB182">
        <f>IF(OR(E182&lt;0,F182&lt;0),1,0)</f>
        <v>0</v>
      </c>
    </row>
    <row r="183" spans="2:80" x14ac:dyDescent="0.2">
      <c r="B183" t="s">
        <v>1139</v>
      </c>
      <c r="C183">
        <v>1060</v>
      </c>
      <c r="D183" t="s">
        <v>251</v>
      </c>
    </row>
    <row r="184" spans="2:80" x14ac:dyDescent="0.2">
      <c r="B184" t="s">
        <v>1042</v>
      </c>
      <c r="C184">
        <v>1070</v>
      </c>
      <c r="D184" t="s">
        <v>251</v>
      </c>
    </row>
    <row r="185" spans="2:80" x14ac:dyDescent="0.2">
      <c r="B185" t="s">
        <v>1121</v>
      </c>
      <c r="C185">
        <v>1080</v>
      </c>
      <c r="D185" t="s">
        <v>248</v>
      </c>
      <c r="CB185">
        <f>IF(OR(E185&lt;0,F185&lt;0),1,0)</f>
        <v>0</v>
      </c>
    </row>
    <row r="186" spans="2:80" x14ac:dyDescent="0.2">
      <c r="B186" t="s">
        <v>1106</v>
      </c>
      <c r="C186">
        <v>1090</v>
      </c>
      <c r="D186" t="s">
        <v>248</v>
      </c>
    </row>
    <row r="190" spans="2:80" x14ac:dyDescent="0.2">
      <c r="D190" t="s">
        <v>25</v>
      </c>
      <c r="E190" t="s">
        <v>235</v>
      </c>
      <c r="F190" t="s">
        <v>236</v>
      </c>
      <c r="G190" t="s">
        <v>293</v>
      </c>
      <c r="H190" t="s">
        <v>294</v>
      </c>
      <c r="I190" t="s">
        <v>295</v>
      </c>
      <c r="J190" t="s">
        <v>296</v>
      </c>
      <c r="K190" t="s">
        <v>342</v>
      </c>
      <c r="L190" t="s">
        <v>297</v>
      </c>
      <c r="M190" t="s">
        <v>298</v>
      </c>
    </row>
    <row r="191" spans="2:80" x14ac:dyDescent="0.2">
      <c r="B191" t="s">
        <v>1039</v>
      </c>
      <c r="C191" t="s">
        <v>238</v>
      </c>
      <c r="E191" t="s">
        <v>1040</v>
      </c>
      <c r="F191" t="s">
        <v>1041</v>
      </c>
      <c r="G191" t="s">
        <v>1042</v>
      </c>
      <c r="H191" t="s">
        <v>1043</v>
      </c>
      <c r="I191" t="s">
        <v>1044</v>
      </c>
      <c r="J191" t="s">
        <v>1045</v>
      </c>
      <c r="K191" t="s">
        <v>1046</v>
      </c>
      <c r="L191" t="s">
        <v>1047</v>
      </c>
      <c r="M191" t="s">
        <v>340</v>
      </c>
    </row>
    <row r="192" spans="2:80" x14ac:dyDescent="0.2">
      <c r="C192" t="s">
        <v>242</v>
      </c>
      <c r="F192" t="s">
        <v>1042</v>
      </c>
      <c r="H192" t="s">
        <v>1049</v>
      </c>
      <c r="I192" t="s">
        <v>1050</v>
      </c>
      <c r="J192" t="s">
        <v>1051</v>
      </c>
      <c r="K192" t="s">
        <v>1052</v>
      </c>
      <c r="L192" t="s">
        <v>1053</v>
      </c>
    </row>
    <row r="193" spans="2:13" x14ac:dyDescent="0.2">
      <c r="H193" t="s">
        <v>1055</v>
      </c>
    </row>
    <row r="194" spans="2:13" x14ac:dyDescent="0.2">
      <c r="H194" t="s">
        <v>1056</v>
      </c>
    </row>
    <row r="195" spans="2:13" x14ac:dyDescent="0.2">
      <c r="E195" t="s">
        <v>243</v>
      </c>
      <c r="F195" t="s">
        <v>243</v>
      </c>
      <c r="G195" t="s">
        <v>243</v>
      </c>
      <c r="H195" t="s">
        <v>243</v>
      </c>
      <c r="I195" t="s">
        <v>243</v>
      </c>
      <c r="J195" t="s">
        <v>243</v>
      </c>
      <c r="K195" t="s">
        <v>243</v>
      </c>
      <c r="L195" t="s">
        <v>243</v>
      </c>
      <c r="M195" t="s">
        <v>243</v>
      </c>
    </row>
    <row r="196" spans="2:13" x14ac:dyDescent="0.2">
      <c r="B196" t="s">
        <v>1140</v>
      </c>
      <c r="C196">
        <v>1200</v>
      </c>
      <c r="D196" t="s">
        <v>248</v>
      </c>
    </row>
  </sheetData>
  <sheetProtection sheet="1" objects="1" scenarios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CG143"/>
  <sheetViews>
    <sheetView zoomScale="70" zoomScaleNormal="70" workbookViewId="0"/>
  </sheetViews>
  <sheetFormatPr defaultRowHeight="12.75" x14ac:dyDescent="0.2"/>
  <sheetData>
    <row r="1" spans="1:85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5" x14ac:dyDescent="0.2">
      <c r="A2" t="s">
        <v>3727</v>
      </c>
    </row>
    <row r="3" spans="1:85" x14ac:dyDescent="0.2">
      <c r="A3" t="s">
        <v>3768</v>
      </c>
    </row>
    <row r="4" spans="1:85" x14ac:dyDescent="0.2">
      <c r="B4" t="s">
        <v>1141</v>
      </c>
    </row>
    <row r="5" spans="1:85" x14ac:dyDescent="0.2">
      <c r="B5" t="s">
        <v>66</v>
      </c>
      <c r="CA5" t="s">
        <v>230</v>
      </c>
      <c r="CB5">
        <f>0</f>
        <v>0</v>
      </c>
    </row>
    <row r="6" spans="1:85" x14ac:dyDescent="0.2">
      <c r="CA6" t="s">
        <v>1142</v>
      </c>
      <c r="CB6" t="s">
        <v>232</v>
      </c>
      <c r="CC6" t="s">
        <v>1143</v>
      </c>
      <c r="CD6" t="s">
        <v>1144</v>
      </c>
      <c r="CE6" t="s">
        <v>1145</v>
      </c>
      <c r="CF6" t="s">
        <v>1146</v>
      </c>
    </row>
    <row r="7" spans="1:85" x14ac:dyDescent="0.2">
      <c r="D7" t="s">
        <v>25</v>
      </c>
      <c r="E7" t="s">
        <v>235</v>
      </c>
      <c r="F7" t="s">
        <v>236</v>
      </c>
      <c r="G7" t="s">
        <v>293</v>
      </c>
      <c r="H7" t="s">
        <v>294</v>
      </c>
      <c r="I7" t="s">
        <v>295</v>
      </c>
      <c r="J7" t="s">
        <v>296</v>
      </c>
      <c r="BC7" t="s">
        <v>237</v>
      </c>
      <c r="CA7">
        <f>SUM(CA11:CA135)</f>
        <v>0</v>
      </c>
      <c r="CB7">
        <f>SUM(CB11:CB135)</f>
        <v>0</v>
      </c>
    </row>
    <row r="8" spans="1:85" x14ac:dyDescent="0.2">
      <c r="B8" t="s">
        <v>1147</v>
      </c>
      <c r="C8" t="s">
        <v>238</v>
      </c>
      <c r="E8" t="s">
        <v>1148</v>
      </c>
      <c r="F8" t="s">
        <v>1149</v>
      </c>
      <c r="G8" t="s">
        <v>1150</v>
      </c>
      <c r="H8" t="s">
        <v>1117</v>
      </c>
      <c r="I8" t="s">
        <v>1151</v>
      </c>
      <c r="J8" t="s">
        <v>340</v>
      </c>
      <c r="BC8" t="s">
        <v>241</v>
      </c>
    </row>
    <row r="9" spans="1:85" x14ac:dyDescent="0.2">
      <c r="C9" t="s">
        <v>242</v>
      </c>
    </row>
    <row r="10" spans="1:85" x14ac:dyDescent="0.2"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BC10" t="s">
        <v>243</v>
      </c>
    </row>
    <row r="11" spans="1:85" x14ac:dyDescent="0.2">
      <c r="B11" t="s">
        <v>1104</v>
      </c>
      <c r="C11">
        <v>100</v>
      </c>
      <c r="D11" t="s">
        <v>248</v>
      </c>
      <c r="E11">
        <f t="shared" ref="E11:J11" si="0">E110</f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</row>
    <row r="12" spans="1:85" x14ac:dyDescent="0.2">
      <c r="B12" t="s">
        <v>304</v>
      </c>
      <c r="C12">
        <v>101</v>
      </c>
      <c r="D12" t="s">
        <v>251</v>
      </c>
    </row>
    <row r="13" spans="1:85" x14ac:dyDescent="0.2">
      <c r="B13" t="s">
        <v>303</v>
      </c>
      <c r="C13">
        <v>102</v>
      </c>
      <c r="D13" t="s">
        <v>251</v>
      </c>
    </row>
    <row r="14" spans="1:85" x14ac:dyDescent="0.2">
      <c r="B14" t="s">
        <v>387</v>
      </c>
      <c r="C14">
        <v>103</v>
      </c>
      <c r="D14" t="s">
        <v>251</v>
      </c>
    </row>
    <row r="15" spans="1:85" x14ac:dyDescent="0.2">
      <c r="B15" t="s">
        <v>389</v>
      </c>
      <c r="C15">
        <v>104</v>
      </c>
      <c r="D15" t="s">
        <v>251</v>
      </c>
      <c r="J15">
        <f t="shared" ref="J15:J32" si="1">SUM(E15:I15)</f>
        <v>0</v>
      </c>
    </row>
    <row r="16" spans="1:85" x14ac:dyDescent="0.2">
      <c r="B16" t="s">
        <v>1058</v>
      </c>
      <c r="C16">
        <v>105</v>
      </c>
      <c r="D16" t="s">
        <v>251</v>
      </c>
      <c r="E16">
        <f>SUM(E11:E15)</f>
        <v>0</v>
      </c>
      <c r="F16">
        <f>SUM(F11:F15)</f>
        <v>0</v>
      </c>
      <c r="G16">
        <f>SUM(G11:G15)</f>
        <v>0</v>
      </c>
      <c r="H16">
        <f>SUM(H11:H15)</f>
        <v>0</v>
      </c>
      <c r="I16">
        <f>SUM(I11:I15)</f>
        <v>0</v>
      </c>
      <c r="J16">
        <f t="shared" si="1"/>
        <v>0</v>
      </c>
      <c r="CF16">
        <f>J16-J40</f>
        <v>0</v>
      </c>
      <c r="CG16" t="s">
        <v>1152</v>
      </c>
    </row>
    <row r="17" spans="2:83" x14ac:dyDescent="0.2">
      <c r="B17" t="s">
        <v>401</v>
      </c>
      <c r="C17">
        <v>106</v>
      </c>
      <c r="D17" t="s">
        <v>248</v>
      </c>
      <c r="J17">
        <f t="shared" si="1"/>
        <v>0</v>
      </c>
    </row>
    <row r="18" spans="2:83" x14ac:dyDescent="0.2">
      <c r="B18" t="s">
        <v>402</v>
      </c>
      <c r="C18">
        <v>107</v>
      </c>
      <c r="D18" t="s">
        <v>251</v>
      </c>
      <c r="J18">
        <f t="shared" si="1"/>
        <v>0</v>
      </c>
    </row>
    <row r="19" spans="2:83" x14ac:dyDescent="0.2">
      <c r="B19" t="s">
        <v>1060</v>
      </c>
      <c r="C19">
        <v>110</v>
      </c>
      <c r="D19" t="s">
        <v>248</v>
      </c>
      <c r="J19">
        <f t="shared" si="1"/>
        <v>0</v>
      </c>
      <c r="BC19">
        <f>J19</f>
        <v>0</v>
      </c>
      <c r="CB19">
        <f>IF(OR(E19&lt;0,F19&lt;0,G19&lt;0,H19&lt;0,I19&lt;0),1,0)</f>
        <v>0</v>
      </c>
    </row>
    <row r="20" spans="2:83" x14ac:dyDescent="0.2">
      <c r="B20" t="s">
        <v>1153</v>
      </c>
      <c r="C20">
        <v>120</v>
      </c>
      <c r="D20" t="s">
        <v>248</v>
      </c>
      <c r="J20">
        <f t="shared" si="1"/>
        <v>0</v>
      </c>
      <c r="BC20">
        <f>J20</f>
        <v>0</v>
      </c>
      <c r="CB20">
        <f>IF(OR(E20&lt;0,F20&lt;0,G20&lt;0,H20&lt;0,I20&lt;0),1,0)</f>
        <v>0</v>
      </c>
    </row>
    <row r="21" spans="2:83" x14ac:dyDescent="0.2">
      <c r="B21" t="s">
        <v>1174</v>
      </c>
      <c r="C21">
        <v>130</v>
      </c>
      <c r="D21" t="s">
        <v>248</v>
      </c>
      <c r="J21">
        <f t="shared" si="1"/>
        <v>0</v>
      </c>
      <c r="BC21">
        <f>J21</f>
        <v>0</v>
      </c>
      <c r="CB21">
        <f>IF(OR(E21&lt;0,F21&lt;0,G21&lt;0,H21&lt;0,I21&lt;0),1,0)</f>
        <v>0</v>
      </c>
    </row>
    <row r="22" spans="2:83" x14ac:dyDescent="0.2">
      <c r="B22" t="s">
        <v>1175</v>
      </c>
      <c r="C22">
        <v>140</v>
      </c>
      <c r="D22" t="s">
        <v>248</v>
      </c>
      <c r="J22">
        <f t="shared" si="1"/>
        <v>0</v>
      </c>
      <c r="BC22">
        <f>J22</f>
        <v>0</v>
      </c>
      <c r="CB22">
        <f>IF(OR(E22&lt;0,F22&lt;0,G22&lt;0,H22&lt;0,I22&lt;0),1,0)</f>
        <v>0</v>
      </c>
    </row>
    <row r="23" spans="2:83" x14ac:dyDescent="0.2">
      <c r="B23" t="s">
        <v>1064</v>
      </c>
      <c r="C23">
        <v>145</v>
      </c>
      <c r="D23" t="s">
        <v>248</v>
      </c>
      <c r="J23">
        <f t="shared" si="1"/>
        <v>0</v>
      </c>
      <c r="BC23">
        <f>J23</f>
        <v>0</v>
      </c>
    </row>
    <row r="24" spans="2:83" x14ac:dyDescent="0.2">
      <c r="B24" t="s">
        <v>1065</v>
      </c>
      <c r="C24">
        <v>150</v>
      </c>
      <c r="D24" t="s">
        <v>251</v>
      </c>
      <c r="J24">
        <f t="shared" si="1"/>
        <v>0</v>
      </c>
    </row>
    <row r="25" spans="2:83" x14ac:dyDescent="0.2">
      <c r="B25" t="s">
        <v>1066</v>
      </c>
      <c r="C25">
        <v>160</v>
      </c>
      <c r="D25" t="s">
        <v>251</v>
      </c>
      <c r="J25">
        <f t="shared" si="1"/>
        <v>0</v>
      </c>
    </row>
    <row r="26" spans="2:83" x14ac:dyDescent="0.2">
      <c r="B26" t="s">
        <v>1067</v>
      </c>
      <c r="C26">
        <v>170</v>
      </c>
      <c r="D26" t="s">
        <v>245</v>
      </c>
      <c r="J26">
        <f t="shared" si="1"/>
        <v>0</v>
      </c>
      <c r="BC26">
        <f>J26</f>
        <v>0</v>
      </c>
      <c r="CA26">
        <f>IF(OR(E26&gt;0,F26&gt;0,G26&gt;0,H26&gt;0,I26&gt;0),1,0)</f>
        <v>0</v>
      </c>
      <c r="CE26">
        <f>SUM(J26-J45)</f>
        <v>0</v>
      </c>
    </row>
    <row r="27" spans="2:83" x14ac:dyDescent="0.2">
      <c r="B27" t="s">
        <v>1155</v>
      </c>
      <c r="C27">
        <v>180</v>
      </c>
      <c r="D27" t="s">
        <v>248</v>
      </c>
      <c r="J27">
        <f t="shared" si="1"/>
        <v>0</v>
      </c>
      <c r="CB27">
        <f>IF(OR(E27&lt;0,F27&lt;0,G27&lt;0,H27&lt;0,I27&lt;0),1,0)</f>
        <v>0</v>
      </c>
    </row>
    <row r="28" spans="2:83" x14ac:dyDescent="0.2">
      <c r="B28" t="s">
        <v>1070</v>
      </c>
      <c r="C28">
        <v>190</v>
      </c>
      <c r="D28" t="s">
        <v>245</v>
      </c>
      <c r="J28">
        <f t="shared" si="1"/>
        <v>0</v>
      </c>
      <c r="CA28">
        <f>IF(OR(E28&gt;0,F28&gt;0,G28&gt;0,H28&gt;0,I28&gt;0),1,0)</f>
        <v>0</v>
      </c>
      <c r="CC28" t="s">
        <v>1156</v>
      </c>
    </row>
    <row r="29" spans="2:83" x14ac:dyDescent="0.2">
      <c r="B29" t="s">
        <v>1071</v>
      </c>
      <c r="C29">
        <v>200</v>
      </c>
      <c r="D29" t="s">
        <v>248</v>
      </c>
      <c r="J29">
        <f t="shared" si="1"/>
        <v>0</v>
      </c>
      <c r="CC29">
        <f>(J28+J29)*-1</f>
        <v>0</v>
      </c>
    </row>
    <row r="30" spans="2:83" x14ac:dyDescent="0.2">
      <c r="B30" t="s">
        <v>1157</v>
      </c>
      <c r="C30">
        <v>202</v>
      </c>
      <c r="D30" t="s">
        <v>251</v>
      </c>
      <c r="E30">
        <f>SUM(E28:E29)</f>
        <v>0</v>
      </c>
      <c r="F30">
        <f>SUM(F28:F29)</f>
        <v>0</v>
      </c>
      <c r="G30">
        <f>SUM(G28:G29)</f>
        <v>0</v>
      </c>
      <c r="H30">
        <f>SUM(H28:H29)</f>
        <v>0</v>
      </c>
      <c r="I30">
        <f>SUM(I28:I29)</f>
        <v>0</v>
      </c>
      <c r="J30">
        <f t="shared" si="1"/>
        <v>0</v>
      </c>
    </row>
    <row r="31" spans="2:83" x14ac:dyDescent="0.2">
      <c r="B31" t="s">
        <v>508</v>
      </c>
      <c r="C31">
        <v>210</v>
      </c>
      <c r="D31" t="s">
        <v>245</v>
      </c>
      <c r="J31">
        <f t="shared" si="1"/>
        <v>0</v>
      </c>
      <c r="CA31">
        <f>IF(OR(E31&gt;0,F31&gt;0,G31&gt;0,H31&gt;0,I31&gt;0),1,0)</f>
        <v>0</v>
      </c>
    </row>
    <row r="32" spans="2:83" x14ac:dyDescent="0.2">
      <c r="B32" t="s">
        <v>1158</v>
      </c>
      <c r="C32">
        <v>215</v>
      </c>
      <c r="D32" t="s">
        <v>251</v>
      </c>
      <c r="J32">
        <f t="shared" si="1"/>
        <v>0</v>
      </c>
    </row>
    <row r="33" spans="2:81" x14ac:dyDescent="0.2">
      <c r="B33" t="s">
        <v>1075</v>
      </c>
      <c r="C33">
        <v>220</v>
      </c>
      <c r="D33" t="s">
        <v>245</v>
      </c>
    </row>
    <row r="34" spans="2:81" x14ac:dyDescent="0.2">
      <c r="B34" t="s">
        <v>1159</v>
      </c>
      <c r="C34">
        <v>225</v>
      </c>
      <c r="D34" t="s">
        <v>248</v>
      </c>
      <c r="E34">
        <f>SUM(E16:E33)-E30</f>
        <v>0</v>
      </c>
      <c r="F34">
        <f>SUM(F16:F33)-F30</f>
        <v>0</v>
      </c>
      <c r="G34">
        <f>SUM(G16:G33)-G30</f>
        <v>0</v>
      </c>
      <c r="H34">
        <f>SUM(H16:H33)-H30</f>
        <v>0</v>
      </c>
      <c r="I34">
        <f>SUM(I16:I33)-I30</f>
        <v>0</v>
      </c>
      <c r="J34">
        <f>SUM(E34:I34)</f>
        <v>0</v>
      </c>
    </row>
    <row r="35" spans="2:81" x14ac:dyDescent="0.2">
      <c r="B35" t="s">
        <v>2993</v>
      </c>
      <c r="C35">
        <v>230</v>
      </c>
      <c r="D35" t="s">
        <v>248</v>
      </c>
      <c r="E35">
        <f t="shared" ref="E35:J35" si="2">E130</f>
        <v>0</v>
      </c>
      <c r="F35">
        <f t="shared" si="2"/>
        <v>0</v>
      </c>
      <c r="G35">
        <f t="shared" si="2"/>
        <v>0</v>
      </c>
      <c r="H35">
        <f t="shared" si="2"/>
        <v>0</v>
      </c>
      <c r="I35">
        <f t="shared" si="2"/>
        <v>0</v>
      </c>
      <c r="J35">
        <f t="shared" si="2"/>
        <v>0</v>
      </c>
    </row>
    <row r="36" spans="2:81" x14ac:dyDescent="0.2">
      <c r="B36" t="s">
        <v>304</v>
      </c>
      <c r="C36">
        <v>231</v>
      </c>
      <c r="D36" t="s">
        <v>251</v>
      </c>
    </row>
    <row r="37" spans="2:81" x14ac:dyDescent="0.2">
      <c r="B37" t="s">
        <v>303</v>
      </c>
      <c r="C37">
        <v>232</v>
      </c>
      <c r="D37" t="s">
        <v>251</v>
      </c>
    </row>
    <row r="38" spans="2:81" x14ac:dyDescent="0.2">
      <c r="B38" t="s">
        <v>387</v>
      </c>
      <c r="C38">
        <v>233</v>
      </c>
      <c r="D38" t="s">
        <v>251</v>
      </c>
    </row>
    <row r="39" spans="2:81" x14ac:dyDescent="0.2">
      <c r="B39" t="s">
        <v>1161</v>
      </c>
      <c r="C39">
        <v>234</v>
      </c>
      <c r="D39" t="s">
        <v>251</v>
      </c>
    </row>
    <row r="40" spans="2:81" x14ac:dyDescent="0.2">
      <c r="B40" t="s">
        <v>389</v>
      </c>
      <c r="C40">
        <v>235</v>
      </c>
      <c r="D40" t="s">
        <v>251</v>
      </c>
      <c r="J40">
        <f>SUM(E40:I40)</f>
        <v>0</v>
      </c>
    </row>
    <row r="41" spans="2:81" x14ac:dyDescent="0.2">
      <c r="B41" t="s">
        <v>390</v>
      </c>
      <c r="C41">
        <v>236</v>
      </c>
      <c r="D41" t="s">
        <v>251</v>
      </c>
    </row>
    <row r="42" spans="2:81" x14ac:dyDescent="0.2">
      <c r="B42" t="s">
        <v>1058</v>
      </c>
      <c r="C42">
        <v>237</v>
      </c>
      <c r="D42" t="s">
        <v>248</v>
      </c>
      <c r="E42">
        <f>SUM(E35+E40)</f>
        <v>0</v>
      </c>
      <c r="F42">
        <f>SUM(F35+F40)</f>
        <v>0</v>
      </c>
      <c r="G42">
        <f>SUM(G35+G40)</f>
        <v>0</v>
      </c>
      <c r="H42">
        <f>SUM(H35+H40)</f>
        <v>0</v>
      </c>
      <c r="I42">
        <f>SUM(I35+I40)</f>
        <v>0</v>
      </c>
      <c r="J42">
        <f t="shared" ref="J42:J50" si="3">SUM(E42:I42)</f>
        <v>0</v>
      </c>
    </row>
    <row r="43" spans="2:81" x14ac:dyDescent="0.2">
      <c r="B43" t="s">
        <v>1065</v>
      </c>
      <c r="C43">
        <v>250</v>
      </c>
      <c r="D43" t="s">
        <v>251</v>
      </c>
      <c r="J43">
        <f t="shared" si="3"/>
        <v>0</v>
      </c>
    </row>
    <row r="44" spans="2:81" x14ac:dyDescent="0.2">
      <c r="B44" t="s">
        <v>1066</v>
      </c>
      <c r="C44">
        <v>260</v>
      </c>
      <c r="D44" t="s">
        <v>251</v>
      </c>
      <c r="J44">
        <f t="shared" si="3"/>
        <v>0</v>
      </c>
    </row>
    <row r="45" spans="2:81" x14ac:dyDescent="0.2">
      <c r="B45" t="s">
        <v>1067</v>
      </c>
      <c r="C45">
        <v>270</v>
      </c>
      <c r="D45" t="s">
        <v>245</v>
      </c>
      <c r="J45">
        <f t="shared" si="3"/>
        <v>0</v>
      </c>
      <c r="BC45">
        <f>J45</f>
        <v>0</v>
      </c>
      <c r="CA45">
        <f>IF(OR(E45&gt;0,F45&gt;0,G45&gt;0,H45&gt;0,I45&gt;0),1,0)</f>
        <v>0</v>
      </c>
    </row>
    <row r="46" spans="2:81" x14ac:dyDescent="0.2">
      <c r="B46" t="s">
        <v>1155</v>
      </c>
      <c r="C46">
        <v>280</v>
      </c>
      <c r="D46" t="s">
        <v>248</v>
      </c>
      <c r="J46">
        <f t="shared" si="3"/>
        <v>0</v>
      </c>
      <c r="CB46">
        <f>IF(OR(E46&lt;0,F46&lt;0,G46&lt;0,H46&lt;0,I46&lt;0),1,0)</f>
        <v>0</v>
      </c>
      <c r="CC46" t="s">
        <v>1156</v>
      </c>
    </row>
    <row r="47" spans="2:81" x14ac:dyDescent="0.2">
      <c r="B47" t="s">
        <v>1081</v>
      </c>
      <c r="C47">
        <v>290</v>
      </c>
      <c r="D47" t="s">
        <v>248</v>
      </c>
      <c r="J47">
        <f t="shared" si="3"/>
        <v>0</v>
      </c>
      <c r="CB47">
        <f>IF(OR(E47&lt;0,F47&lt;0,G47&lt;0,H47&lt;0,I47&lt;0),1,0)</f>
        <v>0</v>
      </c>
      <c r="CC47">
        <f>J47+J48</f>
        <v>0</v>
      </c>
    </row>
    <row r="48" spans="2:81" x14ac:dyDescent="0.2">
      <c r="B48" t="s">
        <v>1082</v>
      </c>
      <c r="C48">
        <v>300</v>
      </c>
      <c r="D48" t="s">
        <v>245</v>
      </c>
      <c r="J48">
        <f t="shared" si="3"/>
        <v>0</v>
      </c>
      <c r="CA48">
        <f>IF(OR(E48&gt;0,F48&gt;0,G48&gt;0,H48&gt;0,I48&gt;0),1,0)</f>
        <v>0</v>
      </c>
    </row>
    <row r="49" spans="2:82" x14ac:dyDescent="0.2">
      <c r="B49" t="s">
        <v>1163</v>
      </c>
      <c r="C49">
        <v>305</v>
      </c>
      <c r="D49" t="s">
        <v>251</v>
      </c>
      <c r="E49">
        <f>SUM(E47:E48)</f>
        <v>0</v>
      </c>
      <c r="F49">
        <f>SUM(F47:F48)</f>
        <v>0</v>
      </c>
      <c r="G49">
        <f>SUM(G47:G48)</f>
        <v>0</v>
      </c>
      <c r="H49">
        <f>SUM(H47:H48)</f>
        <v>0</v>
      </c>
      <c r="I49">
        <f>SUM(I47:I48)</f>
        <v>0</v>
      </c>
      <c r="J49">
        <f t="shared" si="3"/>
        <v>0</v>
      </c>
    </row>
    <row r="50" spans="2:82" x14ac:dyDescent="0.2">
      <c r="B50" t="s">
        <v>1084</v>
      </c>
      <c r="C50">
        <v>310</v>
      </c>
      <c r="D50" t="s">
        <v>248</v>
      </c>
      <c r="J50">
        <f t="shared" si="3"/>
        <v>0</v>
      </c>
      <c r="CB50">
        <f>IF(OR(E50&lt;0,F50&lt;0,G50&lt;0,H50&lt;0,I50&lt;0),1,0)</f>
        <v>0</v>
      </c>
    </row>
    <row r="51" spans="2:82" x14ac:dyDescent="0.2">
      <c r="B51" t="s">
        <v>529</v>
      </c>
      <c r="C51">
        <v>315</v>
      </c>
      <c r="D51" t="s">
        <v>251</v>
      </c>
    </row>
    <row r="52" spans="2:82" x14ac:dyDescent="0.2">
      <c r="B52" t="s">
        <v>508</v>
      </c>
      <c r="C52">
        <v>320</v>
      </c>
      <c r="D52" t="s">
        <v>245</v>
      </c>
      <c r="J52">
        <f>SUM(E52:I52)</f>
        <v>0</v>
      </c>
      <c r="CA52">
        <f>IF(OR(E52&gt;0,F52&gt;0,G52&gt;0,H52&gt;0,I52&gt;0),1,0)</f>
        <v>0</v>
      </c>
    </row>
    <row r="53" spans="2:82" x14ac:dyDescent="0.2">
      <c r="B53" t="s">
        <v>1158</v>
      </c>
      <c r="C53">
        <v>325</v>
      </c>
      <c r="D53" t="s">
        <v>251</v>
      </c>
      <c r="J53">
        <f>SUM(E53:I53)</f>
        <v>0</v>
      </c>
    </row>
    <row r="54" spans="2:82" x14ac:dyDescent="0.2">
      <c r="B54" t="s">
        <v>1086</v>
      </c>
      <c r="C54">
        <v>330</v>
      </c>
      <c r="D54" t="s">
        <v>245</v>
      </c>
      <c r="CA54">
        <f>IF(OR(E54&gt;0,F54&gt;0,G54&gt;0,H54&gt;0,I54&gt;0),1,0)</f>
        <v>0</v>
      </c>
    </row>
    <row r="55" spans="2:82" x14ac:dyDescent="0.2">
      <c r="B55" t="s">
        <v>1164</v>
      </c>
      <c r="C55">
        <v>340</v>
      </c>
      <c r="D55" t="s">
        <v>248</v>
      </c>
      <c r="E55">
        <f t="shared" ref="E55:J55" si="4">SUM(E42:E54)-E49</f>
        <v>0</v>
      </c>
      <c r="F55">
        <f t="shared" si="4"/>
        <v>0</v>
      </c>
      <c r="G55">
        <f t="shared" si="4"/>
        <v>0</v>
      </c>
      <c r="H55">
        <f t="shared" si="4"/>
        <v>0</v>
      </c>
      <c r="I55">
        <f t="shared" si="4"/>
        <v>0</v>
      </c>
      <c r="J55">
        <f t="shared" si="4"/>
        <v>0</v>
      </c>
    </row>
    <row r="56" spans="2:82" x14ac:dyDescent="0.2">
      <c r="B56" t="s">
        <v>1088</v>
      </c>
      <c r="C56">
        <v>350</v>
      </c>
      <c r="D56" t="s">
        <v>248</v>
      </c>
      <c r="E56">
        <f t="shared" ref="E56:J56" si="5">E34-E55</f>
        <v>0</v>
      </c>
      <c r="F56">
        <f t="shared" si="5"/>
        <v>0</v>
      </c>
      <c r="G56">
        <f t="shared" si="5"/>
        <v>0</v>
      </c>
      <c r="H56">
        <f t="shared" si="5"/>
        <v>0</v>
      </c>
      <c r="I56">
        <f t="shared" si="5"/>
        <v>0</v>
      </c>
      <c r="J56">
        <f t="shared" si="5"/>
        <v>0</v>
      </c>
    </row>
    <row r="57" spans="2:82" x14ac:dyDescent="0.2">
      <c r="B57" t="s">
        <v>1165</v>
      </c>
      <c r="C57">
        <v>360</v>
      </c>
      <c r="D57" t="s">
        <v>248</v>
      </c>
      <c r="J57">
        <f t="shared" ref="J57:J62" si="6">SUM(E57:I57)</f>
        <v>0</v>
      </c>
      <c r="CB57">
        <f>IF(OR(E57&lt;0,F57&lt;0,G57&lt;0,H57&lt;0,I57&lt;0),1,0)</f>
        <v>0</v>
      </c>
    </row>
    <row r="58" spans="2:82" x14ac:dyDescent="0.2">
      <c r="B58" t="s">
        <v>1166</v>
      </c>
      <c r="C58">
        <v>370</v>
      </c>
      <c r="D58" t="s">
        <v>248</v>
      </c>
      <c r="J58">
        <f t="shared" si="6"/>
        <v>0</v>
      </c>
      <c r="CB58">
        <f>IF(OR(E58&lt;0,F58&lt;0,G58&lt;0,H58&lt;0,I58&lt;0),1,0)</f>
        <v>0</v>
      </c>
    </row>
    <row r="59" spans="2:82" x14ac:dyDescent="0.2">
      <c r="B59" t="s">
        <v>1167</v>
      </c>
      <c r="C59">
        <v>380</v>
      </c>
      <c r="D59" t="s">
        <v>248</v>
      </c>
      <c r="J59">
        <f t="shared" si="6"/>
        <v>0</v>
      </c>
      <c r="CB59">
        <f>IF(OR(E59&lt;0,F59&lt;0,G59&lt;0,H59&lt;0,I59&lt;0),1,0)</f>
        <v>0</v>
      </c>
      <c r="CD59" t="s">
        <v>1144</v>
      </c>
    </row>
    <row r="60" spans="2:82" x14ac:dyDescent="0.2">
      <c r="B60" t="s">
        <v>1096</v>
      </c>
      <c r="C60">
        <v>382</v>
      </c>
      <c r="D60" t="s">
        <v>248</v>
      </c>
      <c r="E60">
        <f>SUM(E58:E59)</f>
        <v>0</v>
      </c>
      <c r="F60">
        <f>SUM(F58:F59)</f>
        <v>0</v>
      </c>
      <c r="G60">
        <f>SUM(G58:G59)</f>
        <v>0</v>
      </c>
      <c r="H60">
        <f>SUM(H58:H59)</f>
        <v>0</v>
      </c>
      <c r="I60">
        <f>SUM(I58:I59)</f>
        <v>0</v>
      </c>
      <c r="J60">
        <f t="shared" si="6"/>
        <v>0</v>
      </c>
    </row>
    <row r="61" spans="2:82" x14ac:dyDescent="0.2">
      <c r="B61" t="s">
        <v>1097</v>
      </c>
      <c r="C61">
        <v>384</v>
      </c>
      <c r="D61" t="s">
        <v>248</v>
      </c>
      <c r="J61">
        <f t="shared" si="6"/>
        <v>0</v>
      </c>
      <c r="CB61">
        <f>IF(OR(E61&lt;0,F61&lt;0,G61&lt;0,H61&lt;0,I61&lt;0),1,0)</f>
        <v>0</v>
      </c>
    </row>
    <row r="62" spans="2:82" x14ac:dyDescent="0.2">
      <c r="B62" t="s">
        <v>1168</v>
      </c>
      <c r="C62">
        <v>386</v>
      </c>
      <c r="D62" t="s">
        <v>248</v>
      </c>
      <c r="J62">
        <f t="shared" si="6"/>
        <v>0</v>
      </c>
      <c r="CB62">
        <f>IF(OR(E62&lt;0,F62&lt;0,G62&lt;0,H62&lt;0,I62&lt;0),1,0)</f>
        <v>0</v>
      </c>
    </row>
    <row r="63" spans="2:82" x14ac:dyDescent="0.2">
      <c r="B63" t="s">
        <v>1092</v>
      </c>
      <c r="C63">
        <v>390</v>
      </c>
      <c r="D63" t="s">
        <v>248</v>
      </c>
      <c r="E63">
        <f t="shared" ref="E63:J63" si="7">SUM(E57:E62)-E60</f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  <c r="CD63">
        <f>IF(OR(E56-E63&lt;&gt;0,F56-F63&lt;&gt;0,G56-G63&lt;&gt;0,H56-H63&lt;&gt;0,I56-I63&lt;&gt;0),1,0)</f>
        <v>0</v>
      </c>
    </row>
    <row r="67" spans="2:80" x14ac:dyDescent="0.2">
      <c r="D67" t="s">
        <v>25</v>
      </c>
      <c r="E67" t="s">
        <v>235</v>
      </c>
      <c r="F67" t="s">
        <v>236</v>
      </c>
      <c r="G67" t="s">
        <v>293</v>
      </c>
      <c r="H67" t="s">
        <v>294</v>
      </c>
      <c r="I67" t="s">
        <v>295</v>
      </c>
      <c r="J67" t="s">
        <v>296</v>
      </c>
    </row>
    <row r="68" spans="2:80" x14ac:dyDescent="0.2">
      <c r="C68" t="s">
        <v>238</v>
      </c>
      <c r="E68" t="s">
        <v>1148</v>
      </c>
      <c r="F68" t="s">
        <v>1149</v>
      </c>
      <c r="G68" t="s">
        <v>1150</v>
      </c>
      <c r="H68" t="s">
        <v>1117</v>
      </c>
      <c r="I68" t="s">
        <v>1151</v>
      </c>
      <c r="J68" t="s">
        <v>340</v>
      </c>
    </row>
    <row r="69" spans="2:80" x14ac:dyDescent="0.2">
      <c r="B69" t="s">
        <v>1169</v>
      </c>
      <c r="C69" t="s">
        <v>242</v>
      </c>
    </row>
    <row r="70" spans="2:80" x14ac:dyDescent="0.2">
      <c r="E70" t="s">
        <v>243</v>
      </c>
      <c r="F70" t="s">
        <v>243</v>
      </c>
      <c r="G70" t="s">
        <v>243</v>
      </c>
      <c r="H70" t="s">
        <v>243</v>
      </c>
      <c r="I70" t="s">
        <v>243</v>
      </c>
      <c r="J70" t="s">
        <v>243</v>
      </c>
    </row>
    <row r="71" spans="2:80" x14ac:dyDescent="0.2">
      <c r="B71" t="s">
        <v>1033</v>
      </c>
      <c r="C71">
        <v>400</v>
      </c>
      <c r="D71" t="s">
        <v>248</v>
      </c>
    </row>
    <row r="72" spans="2:80" x14ac:dyDescent="0.2">
      <c r="B72" t="s">
        <v>304</v>
      </c>
      <c r="C72">
        <v>406</v>
      </c>
      <c r="D72" t="s">
        <v>251</v>
      </c>
    </row>
    <row r="73" spans="2:80" x14ac:dyDescent="0.2">
      <c r="B73" t="s">
        <v>303</v>
      </c>
      <c r="C73">
        <v>412</v>
      </c>
      <c r="D73" t="s">
        <v>251</v>
      </c>
    </row>
    <row r="74" spans="2:80" x14ac:dyDescent="0.2">
      <c r="B74" t="s">
        <v>387</v>
      </c>
      <c r="C74">
        <v>418</v>
      </c>
      <c r="D74" t="s">
        <v>251</v>
      </c>
    </row>
    <row r="75" spans="2:80" x14ac:dyDescent="0.2">
      <c r="B75" t="s">
        <v>1170</v>
      </c>
      <c r="C75">
        <v>424</v>
      </c>
      <c r="D75" t="s">
        <v>251</v>
      </c>
    </row>
    <row r="76" spans="2:80" x14ac:dyDescent="0.2">
      <c r="B76" t="s">
        <v>389</v>
      </c>
      <c r="C76">
        <v>430</v>
      </c>
      <c r="D76" t="s">
        <v>251</v>
      </c>
      <c r="J76">
        <f>SUM(E76:I76)</f>
        <v>0</v>
      </c>
    </row>
    <row r="77" spans="2:80" x14ac:dyDescent="0.2">
      <c r="B77" t="s">
        <v>1079</v>
      </c>
      <c r="C77">
        <v>434</v>
      </c>
    </row>
    <row r="78" spans="2:80" x14ac:dyDescent="0.2">
      <c r="B78" t="s">
        <v>391</v>
      </c>
      <c r="C78">
        <v>436</v>
      </c>
      <c r="D78" t="s">
        <v>248</v>
      </c>
      <c r="E78">
        <f>SUM(E71+E76)</f>
        <v>0</v>
      </c>
      <c r="F78">
        <f>SUM(F71+F76)</f>
        <v>0</v>
      </c>
      <c r="G78">
        <f>SUM(G71+G76)</f>
        <v>0</v>
      </c>
      <c r="H78">
        <f>SUM(H71+H76)</f>
        <v>0</v>
      </c>
      <c r="I78">
        <f>SUM(I71+I76)</f>
        <v>0</v>
      </c>
      <c r="J78">
        <f>SUM(E78:I78)</f>
        <v>0</v>
      </c>
    </row>
    <row r="79" spans="2:80" x14ac:dyDescent="0.2">
      <c r="B79" t="s">
        <v>1171</v>
      </c>
      <c r="C79">
        <v>438</v>
      </c>
      <c r="D79" t="s">
        <v>248</v>
      </c>
      <c r="J79">
        <f>SUM(E79:I79)</f>
        <v>0</v>
      </c>
      <c r="CB79">
        <f>IF(OR(E79&lt;0,F79&lt;0,G79&lt;0,H79&lt;0,I79&lt;0),1,0)</f>
        <v>0</v>
      </c>
    </row>
    <row r="80" spans="2:80" x14ac:dyDescent="0.2">
      <c r="B80" t="s">
        <v>1106</v>
      </c>
      <c r="C80">
        <v>440</v>
      </c>
      <c r="D80" t="s">
        <v>248</v>
      </c>
      <c r="E80">
        <f>SUM(E78:E79)</f>
        <v>0</v>
      </c>
      <c r="F80">
        <f>SUM(F78:F79)</f>
        <v>0</v>
      </c>
      <c r="G80">
        <f>SUM(G78:G79)</f>
        <v>0</v>
      </c>
      <c r="H80">
        <f>SUM(H78:H79)</f>
        <v>0</v>
      </c>
      <c r="I80">
        <f>SUM(I78:I79)</f>
        <v>0</v>
      </c>
      <c r="J80">
        <f>SUM(E80:I80)</f>
        <v>0</v>
      </c>
    </row>
    <row r="84" spans="2:10" x14ac:dyDescent="0.2">
      <c r="D84" t="s">
        <v>25</v>
      </c>
      <c r="E84" t="s">
        <v>235</v>
      </c>
      <c r="F84" t="s">
        <v>236</v>
      </c>
      <c r="G84" t="s">
        <v>293</v>
      </c>
      <c r="H84" t="s">
        <v>294</v>
      </c>
      <c r="I84" t="s">
        <v>295</v>
      </c>
      <c r="J84" t="s">
        <v>296</v>
      </c>
    </row>
    <row r="85" spans="2:10" x14ac:dyDescent="0.2">
      <c r="B85" t="s">
        <v>1172</v>
      </c>
      <c r="C85" t="s">
        <v>238</v>
      </c>
      <c r="E85" t="s">
        <v>1148</v>
      </c>
      <c r="F85" t="s">
        <v>1149</v>
      </c>
      <c r="G85" t="s">
        <v>1150</v>
      </c>
      <c r="H85" t="s">
        <v>1117</v>
      </c>
      <c r="I85" t="s">
        <v>1151</v>
      </c>
      <c r="J85" t="s">
        <v>340</v>
      </c>
    </row>
    <row r="86" spans="2:10" x14ac:dyDescent="0.2">
      <c r="C86" t="s">
        <v>242</v>
      </c>
    </row>
    <row r="87" spans="2:10" x14ac:dyDescent="0.2">
      <c r="E87" t="s">
        <v>243</v>
      </c>
      <c r="F87" t="s">
        <v>243</v>
      </c>
      <c r="G87" t="s">
        <v>243</v>
      </c>
      <c r="H87" t="s">
        <v>243</v>
      </c>
      <c r="I87" t="s">
        <v>243</v>
      </c>
      <c r="J87" t="s">
        <v>243</v>
      </c>
    </row>
    <row r="88" spans="2:10" x14ac:dyDescent="0.2">
      <c r="B88" t="s">
        <v>1173</v>
      </c>
      <c r="C88">
        <v>450</v>
      </c>
      <c r="D88" t="s">
        <v>248</v>
      </c>
    </row>
    <row r="89" spans="2:10" x14ac:dyDescent="0.2">
      <c r="B89" t="s">
        <v>304</v>
      </c>
      <c r="C89">
        <v>460</v>
      </c>
      <c r="D89" t="s">
        <v>251</v>
      </c>
    </row>
    <row r="90" spans="2:10" x14ac:dyDescent="0.2">
      <c r="B90" t="s">
        <v>303</v>
      </c>
      <c r="C90">
        <v>470</v>
      </c>
      <c r="D90" t="s">
        <v>251</v>
      </c>
    </row>
    <row r="91" spans="2:10" x14ac:dyDescent="0.2">
      <c r="B91" t="s">
        <v>387</v>
      </c>
      <c r="C91">
        <v>480</v>
      </c>
      <c r="D91" t="s">
        <v>251</v>
      </c>
    </row>
    <row r="92" spans="2:10" x14ac:dyDescent="0.2">
      <c r="B92" t="s">
        <v>2994</v>
      </c>
      <c r="C92">
        <v>490</v>
      </c>
      <c r="D92" t="s">
        <v>251</v>
      </c>
    </row>
    <row r="93" spans="2:10" x14ac:dyDescent="0.2">
      <c r="B93" t="s">
        <v>389</v>
      </c>
      <c r="C93">
        <v>500</v>
      </c>
      <c r="D93" t="s">
        <v>251</v>
      </c>
    </row>
    <row r="94" spans="2:10" x14ac:dyDescent="0.2">
      <c r="B94" t="s">
        <v>1079</v>
      </c>
      <c r="C94">
        <v>510</v>
      </c>
    </row>
    <row r="95" spans="2:10" x14ac:dyDescent="0.2">
      <c r="B95" t="s">
        <v>1058</v>
      </c>
      <c r="C95">
        <v>520</v>
      </c>
      <c r="D95" t="s">
        <v>248</v>
      </c>
    </row>
    <row r="96" spans="2:10" x14ac:dyDescent="0.2">
      <c r="B96" t="s">
        <v>1060</v>
      </c>
      <c r="C96">
        <v>530</v>
      </c>
      <c r="D96" t="s">
        <v>248</v>
      </c>
    </row>
    <row r="97" spans="2:4" x14ac:dyDescent="0.2">
      <c r="B97" t="s">
        <v>1153</v>
      </c>
      <c r="C97">
        <v>540</v>
      </c>
      <c r="D97" t="s">
        <v>248</v>
      </c>
    </row>
    <row r="98" spans="2:4" x14ac:dyDescent="0.2">
      <c r="B98" t="s">
        <v>1174</v>
      </c>
      <c r="C98">
        <v>550</v>
      </c>
      <c r="D98" t="s">
        <v>248</v>
      </c>
    </row>
    <row r="99" spans="2:4" x14ac:dyDescent="0.2">
      <c r="B99" t="s">
        <v>1175</v>
      </c>
      <c r="C99">
        <v>560</v>
      </c>
      <c r="D99" t="s">
        <v>248</v>
      </c>
    </row>
    <row r="100" spans="2:4" x14ac:dyDescent="0.2">
      <c r="B100" t="s">
        <v>1065</v>
      </c>
      <c r="C100">
        <v>570</v>
      </c>
      <c r="D100" t="s">
        <v>251</v>
      </c>
    </row>
    <row r="101" spans="2:4" x14ac:dyDescent="0.2">
      <c r="B101" t="s">
        <v>1066</v>
      </c>
      <c r="C101">
        <v>580</v>
      </c>
      <c r="D101" t="s">
        <v>251</v>
      </c>
    </row>
    <row r="102" spans="2:4" x14ac:dyDescent="0.2">
      <c r="B102" t="s">
        <v>1067</v>
      </c>
      <c r="C102">
        <v>590</v>
      </c>
      <c r="D102" t="s">
        <v>245</v>
      </c>
    </row>
    <row r="103" spans="2:4" x14ac:dyDescent="0.2">
      <c r="B103" t="s">
        <v>1155</v>
      </c>
      <c r="C103">
        <v>600</v>
      </c>
      <c r="D103" t="s">
        <v>248</v>
      </c>
    </row>
    <row r="104" spans="2:4" x14ac:dyDescent="0.2">
      <c r="B104" t="s">
        <v>1070</v>
      </c>
      <c r="C104">
        <v>610</v>
      </c>
      <c r="D104" t="s">
        <v>245</v>
      </c>
    </row>
    <row r="105" spans="2:4" x14ac:dyDescent="0.2">
      <c r="B105" t="s">
        <v>1071</v>
      </c>
      <c r="C105">
        <v>620</v>
      </c>
      <c r="D105" t="s">
        <v>248</v>
      </c>
    </row>
    <row r="107" spans="2:4" x14ac:dyDescent="0.2">
      <c r="B107" t="s">
        <v>508</v>
      </c>
      <c r="C107">
        <v>630</v>
      </c>
      <c r="D107" t="s">
        <v>245</v>
      </c>
    </row>
    <row r="108" spans="2:4" x14ac:dyDescent="0.2">
      <c r="B108" t="s">
        <v>2990</v>
      </c>
      <c r="C108">
        <v>640</v>
      </c>
      <c r="D108" t="s">
        <v>251</v>
      </c>
    </row>
    <row r="110" spans="2:4" x14ac:dyDescent="0.2">
      <c r="B110" t="s">
        <v>1176</v>
      </c>
      <c r="C110">
        <v>650</v>
      </c>
      <c r="D110" t="s">
        <v>248</v>
      </c>
    </row>
    <row r="111" spans="2:4" x14ac:dyDescent="0.2">
      <c r="B111" t="s">
        <v>1177</v>
      </c>
      <c r="C111">
        <v>660</v>
      </c>
      <c r="D111" t="s">
        <v>248</v>
      </c>
    </row>
    <row r="112" spans="2:4" x14ac:dyDescent="0.2">
      <c r="B112" t="s">
        <v>304</v>
      </c>
      <c r="C112">
        <v>670</v>
      </c>
      <c r="D112" t="s">
        <v>251</v>
      </c>
    </row>
    <row r="113" spans="2:4" x14ac:dyDescent="0.2">
      <c r="B113" t="s">
        <v>303</v>
      </c>
      <c r="C113">
        <v>680</v>
      </c>
      <c r="D113" t="s">
        <v>251</v>
      </c>
    </row>
    <row r="114" spans="2:4" x14ac:dyDescent="0.2">
      <c r="B114" t="s">
        <v>387</v>
      </c>
      <c r="C114">
        <v>690</v>
      </c>
      <c r="D114" t="s">
        <v>251</v>
      </c>
    </row>
    <row r="115" spans="2:4" x14ac:dyDescent="0.2">
      <c r="B115" t="s">
        <v>1178</v>
      </c>
      <c r="C115">
        <v>700</v>
      </c>
      <c r="D115" t="s">
        <v>251</v>
      </c>
    </row>
    <row r="116" spans="2:4" x14ac:dyDescent="0.2">
      <c r="B116" t="s">
        <v>389</v>
      </c>
      <c r="C116">
        <v>710</v>
      </c>
      <c r="D116" t="s">
        <v>251</v>
      </c>
    </row>
    <row r="117" spans="2:4" x14ac:dyDescent="0.2">
      <c r="B117" t="s">
        <v>1079</v>
      </c>
      <c r="C117">
        <v>720</v>
      </c>
      <c r="D117" t="s">
        <v>251</v>
      </c>
    </row>
    <row r="118" spans="2:4" x14ac:dyDescent="0.2">
      <c r="B118" t="s">
        <v>1162</v>
      </c>
      <c r="C118">
        <v>730</v>
      </c>
      <c r="D118" t="s">
        <v>248</v>
      </c>
    </row>
    <row r="119" spans="2:4" x14ac:dyDescent="0.2">
      <c r="B119" t="s">
        <v>1065</v>
      </c>
      <c r="C119">
        <v>740</v>
      </c>
      <c r="D119" t="s">
        <v>251</v>
      </c>
    </row>
    <row r="120" spans="2:4" x14ac:dyDescent="0.2">
      <c r="B120" t="s">
        <v>1066</v>
      </c>
      <c r="C120">
        <v>750</v>
      </c>
      <c r="D120" t="s">
        <v>251</v>
      </c>
    </row>
    <row r="121" spans="2:4" x14ac:dyDescent="0.2">
      <c r="B121" t="s">
        <v>1067</v>
      </c>
      <c r="C121">
        <v>760</v>
      </c>
      <c r="D121" t="s">
        <v>245</v>
      </c>
    </row>
    <row r="122" spans="2:4" x14ac:dyDescent="0.2">
      <c r="B122" t="s">
        <v>1155</v>
      </c>
      <c r="C122">
        <v>770</v>
      </c>
      <c r="D122" t="s">
        <v>248</v>
      </c>
    </row>
    <row r="123" spans="2:4" x14ac:dyDescent="0.2">
      <c r="B123" t="s">
        <v>1081</v>
      </c>
      <c r="C123">
        <v>780</v>
      </c>
      <c r="D123" t="s">
        <v>248</v>
      </c>
    </row>
    <row r="124" spans="2:4" x14ac:dyDescent="0.2">
      <c r="B124" t="s">
        <v>1082</v>
      </c>
      <c r="C124">
        <v>790</v>
      </c>
      <c r="D124" t="s">
        <v>245</v>
      </c>
    </row>
    <row r="125" spans="2:4" x14ac:dyDescent="0.2">
      <c r="B125" t="s">
        <v>1084</v>
      </c>
      <c r="C125">
        <v>800</v>
      </c>
      <c r="D125" t="s">
        <v>248</v>
      </c>
    </row>
    <row r="127" spans="2:4" x14ac:dyDescent="0.2">
      <c r="B127" t="s">
        <v>508</v>
      </c>
      <c r="C127">
        <v>810</v>
      </c>
      <c r="D127" t="s">
        <v>245</v>
      </c>
    </row>
    <row r="128" spans="2:4" x14ac:dyDescent="0.2">
      <c r="B128" t="s">
        <v>2990</v>
      </c>
      <c r="C128">
        <v>820</v>
      </c>
      <c r="D128" t="s">
        <v>251</v>
      </c>
    </row>
    <row r="130" spans="2:10" x14ac:dyDescent="0.2">
      <c r="B130" t="s">
        <v>1179</v>
      </c>
      <c r="C130">
        <v>830</v>
      </c>
      <c r="D130" t="s">
        <v>248</v>
      </c>
    </row>
    <row r="131" spans="2:10" x14ac:dyDescent="0.2">
      <c r="B131" t="s">
        <v>1137</v>
      </c>
      <c r="C131">
        <v>840</v>
      </c>
      <c r="D131" t="s">
        <v>248</v>
      </c>
    </row>
    <row r="132" spans="2:10" x14ac:dyDescent="0.2">
      <c r="B132" t="s">
        <v>1089</v>
      </c>
      <c r="C132">
        <v>850</v>
      </c>
      <c r="D132" t="s">
        <v>248</v>
      </c>
    </row>
    <row r="133" spans="2:10" x14ac:dyDescent="0.2">
      <c r="B133" t="s">
        <v>1090</v>
      </c>
      <c r="C133">
        <v>860</v>
      </c>
      <c r="D133" t="s">
        <v>248</v>
      </c>
    </row>
    <row r="134" spans="2:10" x14ac:dyDescent="0.2">
      <c r="B134" t="s">
        <v>1091</v>
      </c>
      <c r="C134">
        <v>870</v>
      </c>
      <c r="D134" t="s">
        <v>248</v>
      </c>
    </row>
    <row r="135" spans="2:10" x14ac:dyDescent="0.2">
      <c r="B135" t="s">
        <v>1180</v>
      </c>
      <c r="C135">
        <v>880</v>
      </c>
      <c r="D135" t="s">
        <v>248</v>
      </c>
    </row>
    <row r="139" spans="2:10" x14ac:dyDescent="0.2">
      <c r="D139" t="s">
        <v>25</v>
      </c>
      <c r="E139" t="s">
        <v>235</v>
      </c>
      <c r="F139" t="s">
        <v>236</v>
      </c>
      <c r="G139" t="s">
        <v>293</v>
      </c>
      <c r="H139" t="s">
        <v>294</v>
      </c>
      <c r="I139" t="s">
        <v>295</v>
      </c>
      <c r="J139" t="s">
        <v>296</v>
      </c>
    </row>
    <row r="140" spans="2:10" x14ac:dyDescent="0.2">
      <c r="B140" t="s">
        <v>1147</v>
      </c>
      <c r="C140" t="s">
        <v>238</v>
      </c>
      <c r="E140" t="s">
        <v>1148</v>
      </c>
      <c r="F140" t="s">
        <v>1149</v>
      </c>
      <c r="G140" t="s">
        <v>1150</v>
      </c>
      <c r="H140" t="s">
        <v>1117</v>
      </c>
      <c r="I140" t="s">
        <v>1151</v>
      </c>
      <c r="J140" t="s">
        <v>340</v>
      </c>
    </row>
    <row r="141" spans="2:10" x14ac:dyDescent="0.2">
      <c r="C141" t="s">
        <v>242</v>
      </c>
    </row>
    <row r="142" spans="2:10" x14ac:dyDescent="0.2">
      <c r="E142" t="s">
        <v>243</v>
      </c>
      <c r="F142" t="s">
        <v>243</v>
      </c>
      <c r="G142" t="s">
        <v>243</v>
      </c>
      <c r="H142" t="s">
        <v>243</v>
      </c>
      <c r="I142" t="s">
        <v>243</v>
      </c>
      <c r="J142" t="s">
        <v>243</v>
      </c>
    </row>
    <row r="143" spans="2:10" x14ac:dyDescent="0.2">
      <c r="B143" t="s">
        <v>1181</v>
      </c>
      <c r="C143">
        <v>890</v>
      </c>
      <c r="D143" t="s">
        <v>248</v>
      </c>
    </row>
  </sheetData>
  <sheetProtection sheet="1" objects="1" scenarios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CG143"/>
  <sheetViews>
    <sheetView zoomScale="70" zoomScaleNormal="70" workbookViewId="0"/>
  </sheetViews>
  <sheetFormatPr defaultRowHeight="12.75" x14ac:dyDescent="0.2"/>
  <sheetData>
    <row r="1" spans="1:85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5" x14ac:dyDescent="0.2">
      <c r="A2" t="s">
        <v>3727</v>
      </c>
    </row>
    <row r="3" spans="1:85" x14ac:dyDescent="0.2">
      <c r="A3" t="s">
        <v>3769</v>
      </c>
    </row>
    <row r="4" spans="1:85" x14ac:dyDescent="0.2">
      <c r="B4" t="s">
        <v>1141</v>
      </c>
    </row>
    <row r="5" spans="1:85" x14ac:dyDescent="0.2">
      <c r="B5" t="s">
        <v>66</v>
      </c>
      <c r="CA5" t="s">
        <v>230</v>
      </c>
      <c r="CB5">
        <f>0</f>
        <v>0</v>
      </c>
    </row>
    <row r="6" spans="1:85" x14ac:dyDescent="0.2">
      <c r="CA6" t="s">
        <v>1142</v>
      </c>
      <c r="CB6" t="s">
        <v>232</v>
      </c>
      <c r="CC6" t="s">
        <v>1143</v>
      </c>
      <c r="CD6" t="s">
        <v>1144</v>
      </c>
      <c r="CE6" t="s">
        <v>1145</v>
      </c>
      <c r="CF6" t="s">
        <v>1146</v>
      </c>
    </row>
    <row r="7" spans="1:85" x14ac:dyDescent="0.2">
      <c r="D7" t="s">
        <v>25</v>
      </c>
      <c r="E7" t="s">
        <v>235</v>
      </c>
      <c r="F7" t="s">
        <v>236</v>
      </c>
      <c r="G7" t="s">
        <v>293</v>
      </c>
      <c r="H7" t="s">
        <v>294</v>
      </c>
      <c r="I7" t="s">
        <v>295</v>
      </c>
      <c r="J7" t="s">
        <v>296</v>
      </c>
      <c r="BC7" t="s">
        <v>237</v>
      </c>
      <c r="CA7">
        <f>SUM(CA11:CA135)</f>
        <v>0</v>
      </c>
      <c r="CB7">
        <f>SUM(CB11:CB135)</f>
        <v>0</v>
      </c>
    </row>
    <row r="8" spans="1:85" x14ac:dyDescent="0.2">
      <c r="B8" t="s">
        <v>1147</v>
      </c>
      <c r="C8" t="s">
        <v>238</v>
      </c>
      <c r="E8" t="s">
        <v>1148</v>
      </c>
      <c r="F8" t="s">
        <v>1149</v>
      </c>
      <c r="G8" t="s">
        <v>1150</v>
      </c>
      <c r="H8" t="s">
        <v>1117</v>
      </c>
      <c r="I8" t="s">
        <v>1151</v>
      </c>
      <c r="J8" t="s">
        <v>340</v>
      </c>
      <c r="BC8" t="s">
        <v>241</v>
      </c>
    </row>
    <row r="9" spans="1:85" x14ac:dyDescent="0.2">
      <c r="C9" t="s">
        <v>242</v>
      </c>
    </row>
    <row r="10" spans="1:85" x14ac:dyDescent="0.2"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BC10" t="s">
        <v>243</v>
      </c>
    </row>
    <row r="11" spans="1:85" x14ac:dyDescent="0.2">
      <c r="B11" t="s">
        <v>1104</v>
      </c>
      <c r="C11">
        <v>100</v>
      </c>
      <c r="D11" t="s">
        <v>248</v>
      </c>
    </row>
    <row r="12" spans="1:85" x14ac:dyDescent="0.2">
      <c r="B12" t="s">
        <v>304</v>
      </c>
      <c r="C12">
        <v>101</v>
      </c>
      <c r="D12" t="s">
        <v>251</v>
      </c>
    </row>
    <row r="13" spans="1:85" x14ac:dyDescent="0.2">
      <c r="B13" t="s">
        <v>303</v>
      </c>
      <c r="C13">
        <v>102</v>
      </c>
      <c r="D13" t="s">
        <v>251</v>
      </c>
    </row>
    <row r="14" spans="1:85" x14ac:dyDescent="0.2">
      <c r="B14" t="s">
        <v>387</v>
      </c>
      <c r="C14">
        <v>103</v>
      </c>
      <c r="D14" t="s">
        <v>251</v>
      </c>
    </row>
    <row r="15" spans="1:85" x14ac:dyDescent="0.2">
      <c r="B15" t="s">
        <v>389</v>
      </c>
      <c r="C15">
        <v>104</v>
      </c>
      <c r="D15" t="s">
        <v>251</v>
      </c>
    </row>
    <row r="16" spans="1:85" x14ac:dyDescent="0.2">
      <c r="B16" t="s">
        <v>1058</v>
      </c>
      <c r="C16">
        <v>105</v>
      </c>
      <c r="D16" t="s">
        <v>251</v>
      </c>
      <c r="CG16" t="s">
        <v>1152</v>
      </c>
    </row>
    <row r="17" spans="2:81" x14ac:dyDescent="0.2">
      <c r="B17" t="s">
        <v>401</v>
      </c>
      <c r="C17">
        <v>106</v>
      </c>
      <c r="D17" t="s">
        <v>248</v>
      </c>
    </row>
    <row r="18" spans="2:81" x14ac:dyDescent="0.2">
      <c r="B18" t="s">
        <v>402</v>
      </c>
      <c r="C18">
        <v>107</v>
      </c>
      <c r="D18" t="s">
        <v>251</v>
      </c>
    </row>
    <row r="19" spans="2:81" x14ac:dyDescent="0.2">
      <c r="B19" t="s">
        <v>1060</v>
      </c>
      <c r="C19">
        <v>110</v>
      </c>
      <c r="D19" t="s">
        <v>248</v>
      </c>
      <c r="CB19">
        <f>IF(OR(E19&lt;0,F19&lt;0,G19&lt;0,H19&lt;0,I19&lt;0),1,0)</f>
        <v>0</v>
      </c>
    </row>
    <row r="20" spans="2:81" x14ac:dyDescent="0.2">
      <c r="B20" t="s">
        <v>1153</v>
      </c>
      <c r="C20">
        <v>120</v>
      </c>
      <c r="D20" t="s">
        <v>248</v>
      </c>
      <c r="CB20">
        <f>IF(OR(E20&lt;0,F20&lt;0,G20&lt;0,H20&lt;0,I20&lt;0),1,0)</f>
        <v>0</v>
      </c>
    </row>
    <row r="21" spans="2:81" x14ac:dyDescent="0.2">
      <c r="B21" t="s">
        <v>1174</v>
      </c>
      <c r="C21">
        <v>130</v>
      </c>
      <c r="D21" t="s">
        <v>248</v>
      </c>
      <c r="CB21">
        <f>IF(OR(E21&lt;0,F21&lt;0,G21&lt;0,H21&lt;0,I21&lt;0),1,0)</f>
        <v>0</v>
      </c>
    </row>
    <row r="22" spans="2:81" x14ac:dyDescent="0.2">
      <c r="B22" t="s">
        <v>1175</v>
      </c>
      <c r="C22">
        <v>140</v>
      </c>
      <c r="D22" t="s">
        <v>248</v>
      </c>
      <c r="CB22">
        <f>IF(OR(E22&lt;0,F22&lt;0,G22&lt;0,H22&lt;0,I22&lt;0),1,0)</f>
        <v>0</v>
      </c>
    </row>
    <row r="23" spans="2:81" x14ac:dyDescent="0.2">
      <c r="B23" t="s">
        <v>1064</v>
      </c>
      <c r="C23">
        <v>145</v>
      </c>
      <c r="D23" t="s">
        <v>248</v>
      </c>
    </row>
    <row r="24" spans="2:81" x14ac:dyDescent="0.2">
      <c r="B24" t="s">
        <v>1065</v>
      </c>
      <c r="C24">
        <v>150</v>
      </c>
      <c r="D24" t="s">
        <v>251</v>
      </c>
    </row>
    <row r="25" spans="2:81" x14ac:dyDescent="0.2">
      <c r="B25" t="s">
        <v>1066</v>
      </c>
      <c r="C25">
        <v>160</v>
      </c>
      <c r="D25" t="s">
        <v>251</v>
      </c>
    </row>
    <row r="26" spans="2:81" x14ac:dyDescent="0.2">
      <c r="B26" t="s">
        <v>1067</v>
      </c>
      <c r="C26">
        <v>170</v>
      </c>
      <c r="D26" t="s">
        <v>245</v>
      </c>
      <c r="CA26">
        <f>IF(OR(E26&gt;0,F26&gt;0,G26&gt;0,H26&gt;0,I26&gt;0),1,0)</f>
        <v>0</v>
      </c>
    </row>
    <row r="27" spans="2:81" x14ac:dyDescent="0.2">
      <c r="B27" t="s">
        <v>1155</v>
      </c>
      <c r="C27">
        <v>180</v>
      </c>
      <c r="D27" t="s">
        <v>248</v>
      </c>
      <c r="CB27">
        <f>IF(OR(E27&lt;0,F27&lt;0,G27&lt;0,H27&lt;0,I27&lt;0),1,0)</f>
        <v>0</v>
      </c>
    </row>
    <row r="28" spans="2:81" x14ac:dyDescent="0.2">
      <c r="B28" t="s">
        <v>1070</v>
      </c>
      <c r="C28">
        <v>190</v>
      </c>
      <c r="D28" t="s">
        <v>245</v>
      </c>
      <c r="CA28">
        <f>IF(OR(E28&gt;0,F28&gt;0,G28&gt;0,H28&gt;0,I28&gt;0),1,0)</f>
        <v>0</v>
      </c>
      <c r="CC28" t="s">
        <v>1156</v>
      </c>
    </row>
    <row r="29" spans="2:81" x14ac:dyDescent="0.2">
      <c r="B29" t="s">
        <v>1071</v>
      </c>
      <c r="C29">
        <v>200</v>
      </c>
      <c r="D29" t="s">
        <v>248</v>
      </c>
    </row>
    <row r="30" spans="2:81" x14ac:dyDescent="0.2">
      <c r="B30" t="s">
        <v>1157</v>
      </c>
      <c r="C30">
        <v>202</v>
      </c>
      <c r="D30" t="s">
        <v>251</v>
      </c>
    </row>
    <row r="31" spans="2:81" x14ac:dyDescent="0.2">
      <c r="B31" t="s">
        <v>508</v>
      </c>
      <c r="C31">
        <v>210</v>
      </c>
      <c r="D31" t="s">
        <v>245</v>
      </c>
      <c r="CA31">
        <f>IF(OR(E31&gt;0,F31&gt;0,G31&gt;0,H31&gt;0,I31&gt;0),1,0)</f>
        <v>0</v>
      </c>
    </row>
    <row r="32" spans="2:81" x14ac:dyDescent="0.2">
      <c r="B32" t="s">
        <v>1158</v>
      </c>
      <c r="C32">
        <v>215</v>
      </c>
      <c r="D32" t="s">
        <v>251</v>
      </c>
    </row>
    <row r="33" spans="2:81" x14ac:dyDescent="0.2">
      <c r="B33" t="s">
        <v>1075</v>
      </c>
      <c r="C33">
        <v>220</v>
      </c>
      <c r="D33" t="s">
        <v>245</v>
      </c>
    </row>
    <row r="34" spans="2:81" x14ac:dyDescent="0.2">
      <c r="B34" t="s">
        <v>1159</v>
      </c>
      <c r="C34">
        <v>225</v>
      </c>
      <c r="D34" t="s">
        <v>248</v>
      </c>
    </row>
    <row r="35" spans="2:81" x14ac:dyDescent="0.2">
      <c r="B35" t="s">
        <v>2993</v>
      </c>
      <c r="C35">
        <v>230</v>
      </c>
      <c r="D35" t="s">
        <v>248</v>
      </c>
    </row>
    <row r="36" spans="2:81" x14ac:dyDescent="0.2">
      <c r="B36" t="s">
        <v>304</v>
      </c>
      <c r="C36">
        <v>231</v>
      </c>
      <c r="D36" t="s">
        <v>251</v>
      </c>
    </row>
    <row r="37" spans="2:81" x14ac:dyDescent="0.2">
      <c r="B37" t="s">
        <v>303</v>
      </c>
      <c r="C37">
        <v>232</v>
      </c>
      <c r="D37" t="s">
        <v>251</v>
      </c>
    </row>
    <row r="38" spans="2:81" x14ac:dyDescent="0.2">
      <c r="B38" t="s">
        <v>387</v>
      </c>
      <c r="C38">
        <v>233</v>
      </c>
      <c r="D38" t="s">
        <v>251</v>
      </c>
    </row>
    <row r="39" spans="2:81" x14ac:dyDescent="0.2">
      <c r="B39" t="s">
        <v>1161</v>
      </c>
      <c r="C39">
        <v>234</v>
      </c>
      <c r="D39" t="s">
        <v>251</v>
      </c>
    </row>
    <row r="40" spans="2:81" x14ac:dyDescent="0.2">
      <c r="B40" t="s">
        <v>389</v>
      </c>
      <c r="C40">
        <v>235</v>
      </c>
      <c r="D40" t="s">
        <v>251</v>
      </c>
    </row>
    <row r="41" spans="2:81" x14ac:dyDescent="0.2">
      <c r="B41" t="s">
        <v>390</v>
      </c>
      <c r="C41">
        <v>236</v>
      </c>
      <c r="D41" t="s">
        <v>251</v>
      </c>
    </row>
    <row r="42" spans="2:81" x14ac:dyDescent="0.2">
      <c r="B42" t="s">
        <v>1058</v>
      </c>
      <c r="C42">
        <v>237</v>
      </c>
      <c r="D42" t="s">
        <v>248</v>
      </c>
    </row>
    <row r="43" spans="2:81" x14ac:dyDescent="0.2">
      <c r="B43" t="s">
        <v>1065</v>
      </c>
      <c r="C43">
        <v>250</v>
      </c>
      <c r="D43" t="s">
        <v>251</v>
      </c>
    </row>
    <row r="44" spans="2:81" x14ac:dyDescent="0.2">
      <c r="B44" t="s">
        <v>1066</v>
      </c>
      <c r="C44">
        <v>260</v>
      </c>
      <c r="D44" t="s">
        <v>251</v>
      </c>
    </row>
    <row r="45" spans="2:81" x14ac:dyDescent="0.2">
      <c r="B45" t="s">
        <v>1067</v>
      </c>
      <c r="C45">
        <v>270</v>
      </c>
      <c r="D45" t="s">
        <v>245</v>
      </c>
      <c r="CA45">
        <f>IF(OR(E45&gt;0,F45&gt;0,G45&gt;0,H45&gt;0,I45&gt;0),1,0)</f>
        <v>0</v>
      </c>
    </row>
    <row r="46" spans="2:81" x14ac:dyDescent="0.2">
      <c r="B46" t="s">
        <v>1155</v>
      </c>
      <c r="C46">
        <v>280</v>
      </c>
      <c r="D46" t="s">
        <v>248</v>
      </c>
      <c r="CB46">
        <f>IF(OR(E46&lt;0,F46&lt;0,G46&lt;0,H46&lt;0,I46&lt;0),1,0)</f>
        <v>0</v>
      </c>
      <c r="CC46" t="s">
        <v>1156</v>
      </c>
    </row>
    <row r="47" spans="2:81" x14ac:dyDescent="0.2">
      <c r="B47" t="s">
        <v>1081</v>
      </c>
      <c r="C47">
        <v>290</v>
      </c>
      <c r="D47" t="s">
        <v>248</v>
      </c>
      <c r="CB47">
        <f>IF(OR(E47&lt;0,F47&lt;0,G47&lt;0,H47&lt;0,I47&lt;0),1,0)</f>
        <v>0</v>
      </c>
    </row>
    <row r="48" spans="2:81" x14ac:dyDescent="0.2">
      <c r="B48" t="s">
        <v>1082</v>
      </c>
      <c r="C48">
        <v>300</v>
      </c>
      <c r="D48" t="s">
        <v>245</v>
      </c>
      <c r="CA48">
        <f>IF(OR(E48&gt;0,F48&gt;0,G48&gt;0,H48&gt;0,I48&gt;0),1,0)</f>
        <v>0</v>
      </c>
    </row>
    <row r="49" spans="2:82" x14ac:dyDescent="0.2">
      <c r="B49" t="s">
        <v>1163</v>
      </c>
      <c r="C49">
        <v>305</v>
      </c>
      <c r="D49" t="s">
        <v>251</v>
      </c>
    </row>
    <row r="50" spans="2:82" x14ac:dyDescent="0.2">
      <c r="B50" t="s">
        <v>1084</v>
      </c>
      <c r="C50">
        <v>310</v>
      </c>
      <c r="D50" t="s">
        <v>248</v>
      </c>
      <c r="CB50">
        <f>IF(OR(E50&lt;0,F50&lt;0,G50&lt;0,H50&lt;0,I50&lt;0),1,0)</f>
        <v>0</v>
      </c>
    </row>
    <row r="51" spans="2:82" x14ac:dyDescent="0.2">
      <c r="B51" t="s">
        <v>529</v>
      </c>
      <c r="C51">
        <v>315</v>
      </c>
      <c r="D51" t="s">
        <v>251</v>
      </c>
    </row>
    <row r="52" spans="2:82" x14ac:dyDescent="0.2">
      <c r="B52" t="s">
        <v>508</v>
      </c>
      <c r="C52">
        <v>320</v>
      </c>
      <c r="D52" t="s">
        <v>245</v>
      </c>
      <c r="CA52">
        <f>IF(OR(E52&gt;0,F52&gt;0,G52&gt;0,H52&gt;0,I52&gt;0),1,0)</f>
        <v>0</v>
      </c>
    </row>
    <row r="53" spans="2:82" x14ac:dyDescent="0.2">
      <c r="B53" t="s">
        <v>1158</v>
      </c>
      <c r="C53">
        <v>325</v>
      </c>
      <c r="D53" t="s">
        <v>251</v>
      </c>
    </row>
    <row r="54" spans="2:82" x14ac:dyDescent="0.2">
      <c r="B54" t="s">
        <v>1086</v>
      </c>
      <c r="C54">
        <v>330</v>
      </c>
      <c r="D54" t="s">
        <v>245</v>
      </c>
      <c r="CA54">
        <f>IF(OR(E54&gt;0,F54&gt;0,G54&gt;0,H54&gt;0,I54&gt;0),1,0)</f>
        <v>0</v>
      </c>
    </row>
    <row r="55" spans="2:82" x14ac:dyDescent="0.2">
      <c r="B55" t="s">
        <v>1164</v>
      </c>
      <c r="C55">
        <v>340</v>
      </c>
      <c r="D55" t="s">
        <v>248</v>
      </c>
    </row>
    <row r="56" spans="2:82" x14ac:dyDescent="0.2">
      <c r="B56" t="s">
        <v>1088</v>
      </c>
      <c r="C56">
        <v>350</v>
      </c>
      <c r="D56" t="s">
        <v>248</v>
      </c>
    </row>
    <row r="57" spans="2:82" x14ac:dyDescent="0.2">
      <c r="B57" t="s">
        <v>1165</v>
      </c>
      <c r="C57">
        <v>360</v>
      </c>
      <c r="D57" t="s">
        <v>248</v>
      </c>
      <c r="CB57">
        <f>IF(OR(E57&lt;0,F57&lt;0,G57&lt;0,H57&lt;0,I57&lt;0),1,0)</f>
        <v>0</v>
      </c>
    </row>
    <row r="58" spans="2:82" x14ac:dyDescent="0.2">
      <c r="B58" t="s">
        <v>1166</v>
      </c>
      <c r="C58">
        <v>370</v>
      </c>
      <c r="D58" t="s">
        <v>248</v>
      </c>
      <c r="CB58">
        <f>IF(OR(E58&lt;0,F58&lt;0,G58&lt;0,H58&lt;0,I58&lt;0),1,0)</f>
        <v>0</v>
      </c>
    </row>
    <row r="59" spans="2:82" x14ac:dyDescent="0.2">
      <c r="B59" t="s">
        <v>1167</v>
      </c>
      <c r="C59">
        <v>380</v>
      </c>
      <c r="D59" t="s">
        <v>248</v>
      </c>
      <c r="CB59">
        <f>IF(OR(E59&lt;0,F59&lt;0,G59&lt;0,H59&lt;0,I59&lt;0),1,0)</f>
        <v>0</v>
      </c>
      <c r="CD59" t="s">
        <v>1144</v>
      </c>
    </row>
    <row r="60" spans="2:82" x14ac:dyDescent="0.2">
      <c r="B60" t="s">
        <v>1096</v>
      </c>
      <c r="C60">
        <v>382</v>
      </c>
      <c r="D60" t="s">
        <v>248</v>
      </c>
    </row>
    <row r="61" spans="2:82" x14ac:dyDescent="0.2">
      <c r="B61" t="s">
        <v>1097</v>
      </c>
      <c r="C61">
        <v>384</v>
      </c>
      <c r="D61" t="s">
        <v>248</v>
      </c>
      <c r="CB61">
        <f>IF(OR(E61&lt;0,F61&lt;0,G61&lt;0,H61&lt;0,I61&lt;0),1,0)</f>
        <v>0</v>
      </c>
    </row>
    <row r="62" spans="2:82" x14ac:dyDescent="0.2">
      <c r="B62" t="s">
        <v>1168</v>
      </c>
      <c r="C62">
        <v>386</v>
      </c>
      <c r="D62" t="s">
        <v>248</v>
      </c>
      <c r="CB62">
        <f>IF(OR(E62&lt;0,F62&lt;0,G62&lt;0,H62&lt;0,I62&lt;0),1,0)</f>
        <v>0</v>
      </c>
    </row>
    <row r="63" spans="2:82" x14ac:dyDescent="0.2">
      <c r="B63" t="s">
        <v>1092</v>
      </c>
      <c r="C63">
        <v>390</v>
      </c>
      <c r="D63" t="s">
        <v>248</v>
      </c>
      <c r="CD63">
        <f>IF(OR(E56-E63&lt;&gt;0,F56-F63&lt;&gt;0,G56-G63&lt;&gt;0,H56-H63&lt;&gt;0,I56-I63&lt;&gt;0),1,0)</f>
        <v>0</v>
      </c>
    </row>
    <row r="67" spans="2:80" x14ac:dyDescent="0.2">
      <c r="D67" t="s">
        <v>25</v>
      </c>
      <c r="E67" t="s">
        <v>235</v>
      </c>
      <c r="F67" t="s">
        <v>236</v>
      </c>
      <c r="G67" t="s">
        <v>293</v>
      </c>
      <c r="H67" t="s">
        <v>294</v>
      </c>
      <c r="I67" t="s">
        <v>295</v>
      </c>
      <c r="J67" t="s">
        <v>296</v>
      </c>
    </row>
    <row r="68" spans="2:80" x14ac:dyDescent="0.2">
      <c r="C68" t="s">
        <v>238</v>
      </c>
      <c r="E68" t="s">
        <v>1148</v>
      </c>
      <c r="F68" t="s">
        <v>1149</v>
      </c>
      <c r="G68" t="s">
        <v>1150</v>
      </c>
      <c r="H68" t="s">
        <v>1117</v>
      </c>
      <c r="I68" t="s">
        <v>1151</v>
      </c>
      <c r="J68" t="s">
        <v>340</v>
      </c>
    </row>
    <row r="69" spans="2:80" x14ac:dyDescent="0.2">
      <c r="B69" t="s">
        <v>1169</v>
      </c>
      <c r="C69" t="s">
        <v>242</v>
      </c>
    </row>
    <row r="70" spans="2:80" x14ac:dyDescent="0.2">
      <c r="E70" t="s">
        <v>243</v>
      </c>
      <c r="F70" t="s">
        <v>243</v>
      </c>
      <c r="G70" t="s">
        <v>243</v>
      </c>
      <c r="H70" t="s">
        <v>243</v>
      </c>
      <c r="I70" t="s">
        <v>243</v>
      </c>
      <c r="J70" t="s">
        <v>243</v>
      </c>
    </row>
    <row r="71" spans="2:80" x14ac:dyDescent="0.2">
      <c r="B71" t="s">
        <v>1033</v>
      </c>
      <c r="C71">
        <v>400</v>
      </c>
      <c r="D71" t="s">
        <v>248</v>
      </c>
    </row>
    <row r="72" spans="2:80" x14ac:dyDescent="0.2">
      <c r="B72" t="s">
        <v>304</v>
      </c>
      <c r="C72">
        <v>406</v>
      </c>
      <c r="D72" t="s">
        <v>251</v>
      </c>
    </row>
    <row r="73" spans="2:80" x14ac:dyDescent="0.2">
      <c r="B73" t="s">
        <v>303</v>
      </c>
      <c r="C73">
        <v>412</v>
      </c>
      <c r="D73" t="s">
        <v>251</v>
      </c>
    </row>
    <row r="74" spans="2:80" x14ac:dyDescent="0.2">
      <c r="B74" t="s">
        <v>387</v>
      </c>
      <c r="C74">
        <v>418</v>
      </c>
      <c r="D74" t="s">
        <v>251</v>
      </c>
    </row>
    <row r="75" spans="2:80" x14ac:dyDescent="0.2">
      <c r="B75" t="s">
        <v>1170</v>
      </c>
      <c r="C75">
        <v>424</v>
      </c>
      <c r="D75" t="s">
        <v>251</v>
      </c>
    </row>
    <row r="76" spans="2:80" x14ac:dyDescent="0.2">
      <c r="B76" t="s">
        <v>389</v>
      </c>
      <c r="C76">
        <v>430</v>
      </c>
      <c r="D76" t="s">
        <v>251</v>
      </c>
    </row>
    <row r="77" spans="2:80" x14ac:dyDescent="0.2">
      <c r="B77" t="s">
        <v>1079</v>
      </c>
      <c r="C77">
        <v>434</v>
      </c>
    </row>
    <row r="78" spans="2:80" x14ac:dyDescent="0.2">
      <c r="B78" t="s">
        <v>391</v>
      </c>
      <c r="C78">
        <v>436</v>
      </c>
      <c r="D78" t="s">
        <v>248</v>
      </c>
    </row>
    <row r="79" spans="2:80" x14ac:dyDescent="0.2">
      <c r="B79" t="s">
        <v>1171</v>
      </c>
      <c r="C79">
        <v>438</v>
      </c>
      <c r="D79" t="s">
        <v>248</v>
      </c>
      <c r="CB79">
        <f>IF(OR(E79&lt;0,F79&lt;0,G79&lt;0,H79&lt;0,I79&lt;0),1,0)</f>
        <v>0</v>
      </c>
    </row>
    <row r="80" spans="2:80" x14ac:dyDescent="0.2">
      <c r="B80" t="s">
        <v>1106</v>
      </c>
      <c r="C80">
        <v>440</v>
      </c>
      <c r="D80" t="s">
        <v>248</v>
      </c>
    </row>
    <row r="84" spans="2:10" x14ac:dyDescent="0.2">
      <c r="D84" t="s">
        <v>25</v>
      </c>
      <c r="E84" t="s">
        <v>235</v>
      </c>
      <c r="F84" t="s">
        <v>236</v>
      </c>
      <c r="G84" t="s">
        <v>293</v>
      </c>
      <c r="H84" t="s">
        <v>294</v>
      </c>
      <c r="I84" t="s">
        <v>295</v>
      </c>
      <c r="J84" t="s">
        <v>296</v>
      </c>
    </row>
    <row r="85" spans="2:10" x14ac:dyDescent="0.2">
      <c r="B85" t="s">
        <v>1172</v>
      </c>
      <c r="C85" t="s">
        <v>238</v>
      </c>
      <c r="E85" t="s">
        <v>1148</v>
      </c>
      <c r="F85" t="s">
        <v>1149</v>
      </c>
      <c r="G85" t="s">
        <v>1150</v>
      </c>
      <c r="H85" t="s">
        <v>1117</v>
      </c>
      <c r="I85" t="s">
        <v>1151</v>
      </c>
      <c r="J85" t="s">
        <v>340</v>
      </c>
    </row>
    <row r="86" spans="2:10" x14ac:dyDescent="0.2">
      <c r="C86" t="s">
        <v>242</v>
      </c>
    </row>
    <row r="87" spans="2:10" x14ac:dyDescent="0.2">
      <c r="E87" t="s">
        <v>243</v>
      </c>
      <c r="F87" t="s">
        <v>243</v>
      </c>
      <c r="G87" t="s">
        <v>243</v>
      </c>
      <c r="H87" t="s">
        <v>243</v>
      </c>
      <c r="I87" t="s">
        <v>243</v>
      </c>
      <c r="J87" t="s">
        <v>243</v>
      </c>
    </row>
    <row r="88" spans="2:10" x14ac:dyDescent="0.2">
      <c r="B88" t="s">
        <v>1173</v>
      </c>
      <c r="C88">
        <v>450</v>
      </c>
      <c r="D88" t="s">
        <v>248</v>
      </c>
    </row>
    <row r="89" spans="2:10" x14ac:dyDescent="0.2">
      <c r="B89" t="s">
        <v>304</v>
      </c>
      <c r="C89">
        <v>460</v>
      </c>
      <c r="D89" t="s">
        <v>251</v>
      </c>
    </row>
    <row r="90" spans="2:10" x14ac:dyDescent="0.2">
      <c r="B90" t="s">
        <v>303</v>
      </c>
      <c r="C90">
        <v>470</v>
      </c>
      <c r="D90" t="s">
        <v>251</v>
      </c>
    </row>
    <row r="91" spans="2:10" x14ac:dyDescent="0.2">
      <c r="B91" t="s">
        <v>387</v>
      </c>
      <c r="C91">
        <v>480</v>
      </c>
      <c r="D91" t="s">
        <v>251</v>
      </c>
    </row>
    <row r="92" spans="2:10" x14ac:dyDescent="0.2">
      <c r="B92" t="s">
        <v>2994</v>
      </c>
      <c r="C92">
        <v>490</v>
      </c>
      <c r="D92" t="s">
        <v>251</v>
      </c>
    </row>
    <row r="93" spans="2:10" x14ac:dyDescent="0.2">
      <c r="B93" t="s">
        <v>389</v>
      </c>
      <c r="C93">
        <v>500</v>
      </c>
      <c r="D93" t="s">
        <v>251</v>
      </c>
    </row>
    <row r="94" spans="2:10" x14ac:dyDescent="0.2">
      <c r="B94" t="s">
        <v>1079</v>
      </c>
      <c r="C94">
        <v>510</v>
      </c>
    </row>
    <row r="95" spans="2:10" x14ac:dyDescent="0.2">
      <c r="B95" t="s">
        <v>1058</v>
      </c>
      <c r="C95">
        <v>520</v>
      </c>
      <c r="D95" t="s">
        <v>248</v>
      </c>
    </row>
    <row r="96" spans="2:10" x14ac:dyDescent="0.2">
      <c r="B96" t="s">
        <v>1060</v>
      </c>
      <c r="C96">
        <v>530</v>
      </c>
      <c r="D96" t="s">
        <v>248</v>
      </c>
    </row>
    <row r="97" spans="2:4" x14ac:dyDescent="0.2">
      <c r="B97" t="s">
        <v>1153</v>
      </c>
      <c r="C97">
        <v>540</v>
      </c>
      <c r="D97" t="s">
        <v>248</v>
      </c>
    </row>
    <row r="98" spans="2:4" x14ac:dyDescent="0.2">
      <c r="B98" t="s">
        <v>1174</v>
      </c>
      <c r="C98">
        <v>550</v>
      </c>
      <c r="D98" t="s">
        <v>248</v>
      </c>
    </row>
    <row r="99" spans="2:4" x14ac:dyDescent="0.2">
      <c r="B99" t="s">
        <v>1175</v>
      </c>
      <c r="C99">
        <v>560</v>
      </c>
      <c r="D99" t="s">
        <v>248</v>
      </c>
    </row>
    <row r="100" spans="2:4" x14ac:dyDescent="0.2">
      <c r="B100" t="s">
        <v>1065</v>
      </c>
      <c r="C100">
        <v>570</v>
      </c>
      <c r="D100" t="s">
        <v>251</v>
      </c>
    </row>
    <row r="101" spans="2:4" x14ac:dyDescent="0.2">
      <c r="B101" t="s">
        <v>1066</v>
      </c>
      <c r="C101">
        <v>580</v>
      </c>
      <c r="D101" t="s">
        <v>251</v>
      </c>
    </row>
    <row r="102" spans="2:4" x14ac:dyDescent="0.2">
      <c r="B102" t="s">
        <v>1067</v>
      </c>
      <c r="C102">
        <v>590</v>
      </c>
      <c r="D102" t="s">
        <v>245</v>
      </c>
    </row>
    <row r="103" spans="2:4" x14ac:dyDescent="0.2">
      <c r="B103" t="s">
        <v>1155</v>
      </c>
      <c r="C103">
        <v>600</v>
      </c>
      <c r="D103" t="s">
        <v>248</v>
      </c>
    </row>
    <row r="104" spans="2:4" x14ac:dyDescent="0.2">
      <c r="B104" t="s">
        <v>1070</v>
      </c>
      <c r="C104">
        <v>610</v>
      </c>
      <c r="D104" t="s">
        <v>245</v>
      </c>
    </row>
    <row r="105" spans="2:4" x14ac:dyDescent="0.2">
      <c r="B105" t="s">
        <v>1071</v>
      </c>
      <c r="C105">
        <v>620</v>
      </c>
      <c r="D105" t="s">
        <v>248</v>
      </c>
    </row>
    <row r="107" spans="2:4" x14ac:dyDescent="0.2">
      <c r="B107" t="s">
        <v>508</v>
      </c>
      <c r="C107">
        <v>630</v>
      </c>
      <c r="D107" t="s">
        <v>245</v>
      </c>
    </row>
    <row r="108" spans="2:4" x14ac:dyDescent="0.2">
      <c r="B108" t="s">
        <v>2990</v>
      </c>
      <c r="C108">
        <v>640</v>
      </c>
      <c r="D108" t="s">
        <v>251</v>
      </c>
    </row>
    <row r="110" spans="2:4" x14ac:dyDescent="0.2">
      <c r="B110" t="s">
        <v>1176</v>
      </c>
      <c r="C110">
        <v>650</v>
      </c>
      <c r="D110" t="s">
        <v>248</v>
      </c>
    </row>
    <row r="111" spans="2:4" x14ac:dyDescent="0.2">
      <c r="B111" t="s">
        <v>1177</v>
      </c>
      <c r="C111">
        <v>660</v>
      </c>
      <c r="D111" t="s">
        <v>248</v>
      </c>
    </row>
    <row r="112" spans="2:4" x14ac:dyDescent="0.2">
      <c r="B112" t="s">
        <v>304</v>
      </c>
      <c r="C112">
        <v>670</v>
      </c>
      <c r="D112" t="s">
        <v>251</v>
      </c>
    </row>
    <row r="113" spans="2:4" x14ac:dyDescent="0.2">
      <c r="B113" t="s">
        <v>303</v>
      </c>
      <c r="C113">
        <v>680</v>
      </c>
      <c r="D113" t="s">
        <v>251</v>
      </c>
    </row>
    <row r="114" spans="2:4" x14ac:dyDescent="0.2">
      <c r="B114" t="s">
        <v>387</v>
      </c>
      <c r="C114">
        <v>690</v>
      </c>
      <c r="D114" t="s">
        <v>251</v>
      </c>
    </row>
    <row r="115" spans="2:4" x14ac:dyDescent="0.2">
      <c r="B115" t="s">
        <v>1178</v>
      </c>
      <c r="C115">
        <v>700</v>
      </c>
      <c r="D115" t="s">
        <v>251</v>
      </c>
    </row>
    <row r="116" spans="2:4" x14ac:dyDescent="0.2">
      <c r="B116" t="s">
        <v>389</v>
      </c>
      <c r="C116">
        <v>710</v>
      </c>
      <c r="D116" t="s">
        <v>251</v>
      </c>
    </row>
    <row r="117" spans="2:4" x14ac:dyDescent="0.2">
      <c r="B117" t="s">
        <v>1079</v>
      </c>
      <c r="C117">
        <v>720</v>
      </c>
      <c r="D117" t="s">
        <v>251</v>
      </c>
    </row>
    <row r="118" spans="2:4" x14ac:dyDescent="0.2">
      <c r="B118" t="s">
        <v>1162</v>
      </c>
      <c r="C118">
        <v>730</v>
      </c>
      <c r="D118" t="s">
        <v>248</v>
      </c>
    </row>
    <row r="119" spans="2:4" x14ac:dyDescent="0.2">
      <c r="B119" t="s">
        <v>1065</v>
      </c>
      <c r="C119">
        <v>740</v>
      </c>
      <c r="D119" t="s">
        <v>251</v>
      </c>
    </row>
    <row r="120" spans="2:4" x14ac:dyDescent="0.2">
      <c r="B120" t="s">
        <v>1066</v>
      </c>
      <c r="C120">
        <v>750</v>
      </c>
      <c r="D120" t="s">
        <v>251</v>
      </c>
    </row>
    <row r="121" spans="2:4" x14ac:dyDescent="0.2">
      <c r="B121" t="s">
        <v>1067</v>
      </c>
      <c r="C121">
        <v>760</v>
      </c>
      <c r="D121" t="s">
        <v>245</v>
      </c>
    </row>
    <row r="122" spans="2:4" x14ac:dyDescent="0.2">
      <c r="B122" t="s">
        <v>1155</v>
      </c>
      <c r="C122">
        <v>770</v>
      </c>
      <c r="D122" t="s">
        <v>248</v>
      </c>
    </row>
    <row r="123" spans="2:4" x14ac:dyDescent="0.2">
      <c r="B123" t="s">
        <v>1081</v>
      </c>
      <c r="C123">
        <v>780</v>
      </c>
      <c r="D123" t="s">
        <v>248</v>
      </c>
    </row>
    <row r="124" spans="2:4" x14ac:dyDescent="0.2">
      <c r="B124" t="s">
        <v>1082</v>
      </c>
      <c r="C124">
        <v>790</v>
      </c>
      <c r="D124" t="s">
        <v>245</v>
      </c>
    </row>
    <row r="125" spans="2:4" x14ac:dyDescent="0.2">
      <c r="B125" t="s">
        <v>1084</v>
      </c>
      <c r="C125">
        <v>800</v>
      </c>
      <c r="D125" t="s">
        <v>248</v>
      </c>
    </row>
    <row r="127" spans="2:4" x14ac:dyDescent="0.2">
      <c r="B127" t="s">
        <v>508</v>
      </c>
      <c r="C127">
        <v>810</v>
      </c>
      <c r="D127" t="s">
        <v>245</v>
      </c>
    </row>
    <row r="128" spans="2:4" x14ac:dyDescent="0.2">
      <c r="B128" t="s">
        <v>2990</v>
      </c>
      <c r="C128">
        <v>820</v>
      </c>
      <c r="D128" t="s">
        <v>251</v>
      </c>
    </row>
    <row r="130" spans="2:10" x14ac:dyDescent="0.2">
      <c r="B130" t="s">
        <v>1179</v>
      </c>
      <c r="C130">
        <v>830</v>
      </c>
      <c r="D130" t="s">
        <v>248</v>
      </c>
    </row>
    <row r="131" spans="2:10" x14ac:dyDescent="0.2">
      <c r="B131" t="s">
        <v>1137</v>
      </c>
      <c r="C131">
        <v>840</v>
      </c>
      <c r="D131" t="s">
        <v>248</v>
      </c>
    </row>
    <row r="132" spans="2:10" x14ac:dyDescent="0.2">
      <c r="B132" t="s">
        <v>1089</v>
      </c>
      <c r="C132">
        <v>850</v>
      </c>
      <c r="D132" t="s">
        <v>248</v>
      </c>
    </row>
    <row r="133" spans="2:10" x14ac:dyDescent="0.2">
      <c r="B133" t="s">
        <v>1090</v>
      </c>
      <c r="C133">
        <v>860</v>
      </c>
      <c r="D133" t="s">
        <v>248</v>
      </c>
    </row>
    <row r="134" spans="2:10" x14ac:dyDescent="0.2">
      <c r="B134" t="s">
        <v>1091</v>
      </c>
      <c r="C134">
        <v>870</v>
      </c>
      <c r="D134" t="s">
        <v>248</v>
      </c>
    </row>
    <row r="135" spans="2:10" x14ac:dyDescent="0.2">
      <c r="B135" t="s">
        <v>1180</v>
      </c>
      <c r="C135">
        <v>880</v>
      </c>
      <c r="D135" t="s">
        <v>248</v>
      </c>
    </row>
    <row r="139" spans="2:10" x14ac:dyDescent="0.2">
      <c r="D139" t="s">
        <v>25</v>
      </c>
      <c r="E139" t="s">
        <v>235</v>
      </c>
      <c r="F139" t="s">
        <v>236</v>
      </c>
      <c r="G139" t="s">
        <v>293</v>
      </c>
      <c r="H139" t="s">
        <v>294</v>
      </c>
      <c r="I139" t="s">
        <v>295</v>
      </c>
      <c r="J139" t="s">
        <v>296</v>
      </c>
    </row>
    <row r="140" spans="2:10" x14ac:dyDescent="0.2">
      <c r="B140" t="s">
        <v>1147</v>
      </c>
      <c r="C140" t="s">
        <v>238</v>
      </c>
      <c r="E140" t="s">
        <v>1148</v>
      </c>
      <c r="F140" t="s">
        <v>1149</v>
      </c>
      <c r="G140" t="s">
        <v>1150</v>
      </c>
      <c r="H140" t="s">
        <v>1117</v>
      </c>
      <c r="I140" t="s">
        <v>1151</v>
      </c>
      <c r="J140" t="s">
        <v>340</v>
      </c>
    </row>
    <row r="141" spans="2:10" x14ac:dyDescent="0.2">
      <c r="C141" t="s">
        <v>242</v>
      </c>
    </row>
    <row r="142" spans="2:10" x14ac:dyDescent="0.2">
      <c r="E142" t="s">
        <v>243</v>
      </c>
      <c r="F142" t="s">
        <v>243</v>
      </c>
      <c r="G142" t="s">
        <v>243</v>
      </c>
      <c r="H142" t="s">
        <v>243</v>
      </c>
      <c r="I142" t="s">
        <v>243</v>
      </c>
      <c r="J142" t="s">
        <v>243</v>
      </c>
    </row>
    <row r="143" spans="2:10" x14ac:dyDescent="0.2">
      <c r="B143" t="s">
        <v>1181</v>
      </c>
      <c r="C143">
        <v>890</v>
      </c>
      <c r="D143" t="s">
        <v>248</v>
      </c>
    </row>
  </sheetData>
  <sheetProtection sheet="1" objects="1" scenarios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CI265"/>
  <sheetViews>
    <sheetView zoomScale="70" zoomScaleNormal="70" workbookViewId="0"/>
  </sheetViews>
  <sheetFormatPr defaultRowHeight="12.75" x14ac:dyDescent="0.2"/>
  <sheetData>
    <row r="1" spans="1:87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7" x14ac:dyDescent="0.2">
      <c r="A2" t="s">
        <v>3727</v>
      </c>
    </row>
    <row r="3" spans="1:87" x14ac:dyDescent="0.2">
      <c r="A3" t="s">
        <v>3770</v>
      </c>
    </row>
    <row r="4" spans="1:87" x14ac:dyDescent="0.2">
      <c r="B4" t="s">
        <v>1228</v>
      </c>
    </row>
    <row r="5" spans="1:87" x14ac:dyDescent="0.2">
      <c r="B5" t="s">
        <v>66</v>
      </c>
      <c r="CA5" t="s">
        <v>230</v>
      </c>
      <c r="CB5">
        <f>0</f>
        <v>0</v>
      </c>
    </row>
    <row r="6" spans="1:87" x14ac:dyDescent="0.2">
      <c r="CA6" t="s">
        <v>231</v>
      </c>
      <c r="CB6" t="s">
        <v>232</v>
      </c>
      <c r="CC6" t="s">
        <v>1230</v>
      </c>
      <c r="CD6" t="s">
        <v>1231</v>
      </c>
      <c r="CE6" t="s">
        <v>1232</v>
      </c>
      <c r="CI6" t="s">
        <v>1233</v>
      </c>
    </row>
    <row r="7" spans="1:87" x14ac:dyDescent="0.2">
      <c r="D7" t="s">
        <v>25</v>
      </c>
      <c r="E7" t="s">
        <v>235</v>
      </c>
      <c r="F7" t="s">
        <v>236</v>
      </c>
      <c r="BC7" t="s">
        <v>237</v>
      </c>
      <c r="CA7">
        <f>SUM(CA8:CA266)</f>
        <v>0</v>
      </c>
      <c r="CB7">
        <f>SUM(CB8:CB266)</f>
        <v>0</v>
      </c>
    </row>
    <row r="8" spans="1:87" x14ac:dyDescent="0.2">
      <c r="B8" t="s">
        <v>130</v>
      </c>
      <c r="C8" t="s">
        <v>238</v>
      </c>
      <c r="E8" t="s">
        <v>799</v>
      </c>
      <c r="F8" t="s">
        <v>240</v>
      </c>
      <c r="BC8" t="s">
        <v>241</v>
      </c>
    </row>
    <row r="9" spans="1:87" x14ac:dyDescent="0.2">
      <c r="C9" t="s">
        <v>242</v>
      </c>
      <c r="E9" t="s">
        <v>243</v>
      </c>
      <c r="F9" t="s">
        <v>243</v>
      </c>
      <c r="BC9" t="s">
        <v>243</v>
      </c>
    </row>
    <row r="10" spans="1:87" x14ac:dyDescent="0.2">
      <c r="B10" t="s">
        <v>1234</v>
      </c>
    </row>
    <row r="11" spans="1:87" x14ac:dyDescent="0.2">
      <c r="B11" t="s">
        <v>1033</v>
      </c>
      <c r="C11">
        <v>100</v>
      </c>
      <c r="D11" t="s">
        <v>248</v>
      </c>
      <c r="E11">
        <f>F30</f>
        <v>0</v>
      </c>
    </row>
    <row r="12" spans="1:87" x14ac:dyDescent="0.2">
      <c r="B12" t="s">
        <v>304</v>
      </c>
      <c r="C12">
        <v>101</v>
      </c>
      <c r="D12" t="s">
        <v>251</v>
      </c>
    </row>
    <row r="13" spans="1:87" x14ac:dyDescent="0.2">
      <c r="B13" t="s">
        <v>303</v>
      </c>
      <c r="C13">
        <v>102</v>
      </c>
      <c r="D13" t="s">
        <v>251</v>
      </c>
    </row>
    <row r="14" spans="1:87" x14ac:dyDescent="0.2">
      <c r="B14" t="s">
        <v>387</v>
      </c>
      <c r="C14">
        <v>103</v>
      </c>
      <c r="D14" t="s">
        <v>251</v>
      </c>
    </row>
    <row r="15" spans="1:87" x14ac:dyDescent="0.2">
      <c r="B15" t="s">
        <v>389</v>
      </c>
      <c r="C15">
        <v>104</v>
      </c>
      <c r="D15" t="s">
        <v>251</v>
      </c>
    </row>
    <row r="16" spans="1:87" x14ac:dyDescent="0.2">
      <c r="B16" t="s">
        <v>391</v>
      </c>
      <c r="C16">
        <v>105</v>
      </c>
      <c r="D16" t="s">
        <v>251</v>
      </c>
      <c r="E16">
        <f>SUM(E11:E15)</f>
        <v>0</v>
      </c>
      <c r="CB16">
        <f>IF(E16&lt;0,1,0)</f>
        <v>0</v>
      </c>
    </row>
    <row r="17" spans="2:87" x14ac:dyDescent="0.2">
      <c r="B17" t="s">
        <v>401</v>
      </c>
      <c r="C17">
        <v>106</v>
      </c>
      <c r="D17" t="s">
        <v>248</v>
      </c>
      <c r="CB17">
        <f>IF(E17&lt;0,1,0)</f>
        <v>0</v>
      </c>
    </row>
    <row r="18" spans="2:87" x14ac:dyDescent="0.2">
      <c r="B18" t="s">
        <v>402</v>
      </c>
      <c r="C18">
        <v>107</v>
      </c>
      <c r="D18" t="s">
        <v>251</v>
      </c>
    </row>
    <row r="19" spans="2:87" x14ac:dyDescent="0.2">
      <c r="B19" t="s">
        <v>1235</v>
      </c>
      <c r="C19">
        <v>110</v>
      </c>
      <c r="D19" t="s">
        <v>248</v>
      </c>
      <c r="BC19">
        <f>E19</f>
        <v>0</v>
      </c>
    </row>
    <row r="20" spans="2:87" x14ac:dyDescent="0.2">
      <c r="B20" t="s">
        <v>1236</v>
      </c>
      <c r="C20">
        <v>120</v>
      </c>
      <c r="D20" t="s">
        <v>248</v>
      </c>
      <c r="BC20">
        <f>E20</f>
        <v>0</v>
      </c>
      <c r="CB20">
        <f>IF(E20&lt;0,1,0)</f>
        <v>0</v>
      </c>
      <c r="CC20">
        <f>SUM(E23+E24+E26)</f>
        <v>0</v>
      </c>
    </row>
    <row r="21" spans="2:87" x14ac:dyDescent="0.2">
      <c r="B21" t="s">
        <v>1237</v>
      </c>
      <c r="C21">
        <v>130</v>
      </c>
      <c r="D21" t="s">
        <v>245</v>
      </c>
      <c r="BC21">
        <f>E21</f>
        <v>0</v>
      </c>
      <c r="CA21">
        <f>IF(E21&gt;0,1,0)</f>
        <v>0</v>
      </c>
    </row>
    <row r="22" spans="2:87" x14ac:dyDescent="0.2">
      <c r="B22" t="s">
        <v>1238</v>
      </c>
      <c r="C22">
        <v>140</v>
      </c>
      <c r="D22" t="s">
        <v>245</v>
      </c>
      <c r="CA22">
        <f>IF(E22&gt;0,1,0)</f>
        <v>0</v>
      </c>
    </row>
    <row r="23" spans="2:87" x14ac:dyDescent="0.2">
      <c r="B23" t="s">
        <v>1239</v>
      </c>
      <c r="C23">
        <v>150</v>
      </c>
      <c r="D23" t="s">
        <v>245</v>
      </c>
      <c r="CA23">
        <f>IF(E23&gt;0,1,0)</f>
        <v>0</v>
      </c>
      <c r="CI23">
        <f>E23+E24</f>
        <v>0</v>
      </c>
    </row>
    <row r="24" spans="2:87" x14ac:dyDescent="0.2">
      <c r="B24" t="s">
        <v>1240</v>
      </c>
      <c r="C24">
        <v>155</v>
      </c>
      <c r="D24" t="s">
        <v>248</v>
      </c>
    </row>
    <row r="25" spans="2:87" x14ac:dyDescent="0.2">
      <c r="B25" t="s">
        <v>1241</v>
      </c>
      <c r="C25">
        <v>157</v>
      </c>
      <c r="D25" t="s">
        <v>245</v>
      </c>
      <c r="E25">
        <f>SUM(E23:E24)</f>
        <v>0</v>
      </c>
      <c r="F25">
        <f>SUM(F23:F24)</f>
        <v>0</v>
      </c>
    </row>
    <row r="26" spans="2:87" x14ac:dyDescent="0.2">
      <c r="B26" t="s">
        <v>1242</v>
      </c>
      <c r="C26">
        <v>160</v>
      </c>
      <c r="D26" t="s">
        <v>248</v>
      </c>
    </row>
    <row r="27" spans="2:87" x14ac:dyDescent="0.2">
      <c r="B27" t="s">
        <v>508</v>
      </c>
      <c r="C27">
        <v>170</v>
      </c>
      <c r="D27" t="s">
        <v>251</v>
      </c>
    </row>
    <row r="28" spans="2:87" x14ac:dyDescent="0.2">
      <c r="B28" t="s">
        <v>1074</v>
      </c>
      <c r="C28">
        <v>175</v>
      </c>
    </row>
    <row r="29" spans="2:87" x14ac:dyDescent="0.2">
      <c r="B29" t="s">
        <v>1243</v>
      </c>
      <c r="C29">
        <v>180</v>
      </c>
      <c r="D29" t="s">
        <v>251</v>
      </c>
    </row>
    <row r="30" spans="2:87" x14ac:dyDescent="0.2">
      <c r="B30" t="s">
        <v>419</v>
      </c>
      <c r="C30">
        <v>190</v>
      </c>
      <c r="D30" t="s">
        <v>248</v>
      </c>
      <c r="E30">
        <f>SUM(E16:E29)-E25</f>
        <v>0</v>
      </c>
    </row>
    <row r="33" spans="2:85" x14ac:dyDescent="0.2">
      <c r="D33" t="s">
        <v>25</v>
      </c>
      <c r="E33" t="s">
        <v>235</v>
      </c>
      <c r="F33" t="s">
        <v>236</v>
      </c>
    </row>
    <row r="34" spans="2:85" x14ac:dyDescent="0.2">
      <c r="B34" t="s">
        <v>131</v>
      </c>
      <c r="C34" t="s">
        <v>238</v>
      </c>
      <c r="E34" t="s">
        <v>239</v>
      </c>
      <c r="F34" t="s">
        <v>240</v>
      </c>
    </row>
    <row r="35" spans="2:85" x14ac:dyDescent="0.2">
      <c r="C35" t="s">
        <v>242</v>
      </c>
      <c r="E35" t="s">
        <v>243</v>
      </c>
      <c r="F35" t="s">
        <v>243</v>
      </c>
    </row>
    <row r="36" spans="2:85" x14ac:dyDescent="0.2">
      <c r="B36" t="s">
        <v>1039</v>
      </c>
      <c r="C36">
        <v>200</v>
      </c>
      <c r="D36" t="s">
        <v>248</v>
      </c>
      <c r="CB36">
        <f>IF(E36&lt;0,1,0)</f>
        <v>0</v>
      </c>
    </row>
    <row r="37" spans="2:85" x14ac:dyDescent="0.2">
      <c r="B37" t="s">
        <v>311</v>
      </c>
      <c r="C37">
        <v>210</v>
      </c>
      <c r="D37" t="s">
        <v>248</v>
      </c>
      <c r="CB37">
        <f>IF(E37&lt;0,1,0)</f>
        <v>0</v>
      </c>
    </row>
    <row r="38" spans="2:85" x14ac:dyDescent="0.2">
      <c r="B38" t="s">
        <v>340</v>
      </c>
      <c r="C38">
        <v>220</v>
      </c>
      <c r="D38" t="s">
        <v>248</v>
      </c>
      <c r="E38">
        <f>SUM(E36:E37)</f>
        <v>0</v>
      </c>
    </row>
    <row r="42" spans="2:85" x14ac:dyDescent="0.2">
      <c r="D42" t="s">
        <v>25</v>
      </c>
      <c r="E42" t="s">
        <v>235</v>
      </c>
      <c r="F42" t="s">
        <v>236</v>
      </c>
      <c r="G42" t="s">
        <v>293</v>
      </c>
      <c r="H42" t="s">
        <v>294</v>
      </c>
    </row>
    <row r="43" spans="2:85" x14ac:dyDescent="0.2">
      <c r="E43" t="s">
        <v>510</v>
      </c>
      <c r="F43" t="s">
        <v>510</v>
      </c>
      <c r="G43" t="s">
        <v>522</v>
      </c>
      <c r="H43" t="s">
        <v>522</v>
      </c>
    </row>
    <row r="44" spans="2:85" x14ac:dyDescent="0.2">
      <c r="F44" t="s">
        <v>1247</v>
      </c>
      <c r="H44" t="s">
        <v>1247</v>
      </c>
    </row>
    <row r="45" spans="2:85" x14ac:dyDescent="0.2">
      <c r="E45" t="s">
        <v>1248</v>
      </c>
      <c r="F45" t="s">
        <v>1248</v>
      </c>
      <c r="G45" t="s">
        <v>1248</v>
      </c>
      <c r="H45" t="s">
        <v>1248</v>
      </c>
    </row>
    <row r="46" spans="2:85" x14ac:dyDescent="0.2">
      <c r="B46" t="s">
        <v>132</v>
      </c>
      <c r="C46" t="s">
        <v>238</v>
      </c>
    </row>
    <row r="47" spans="2:85" x14ac:dyDescent="0.2">
      <c r="C47" t="s">
        <v>242</v>
      </c>
      <c r="E47" t="s">
        <v>243</v>
      </c>
      <c r="F47" t="s">
        <v>243</v>
      </c>
      <c r="G47" t="s">
        <v>243</v>
      </c>
      <c r="H47" t="s">
        <v>243</v>
      </c>
      <c r="CC47" t="s">
        <v>1231</v>
      </c>
      <c r="CD47" t="s">
        <v>1249</v>
      </c>
      <c r="CE47" t="s">
        <v>1250</v>
      </c>
      <c r="CF47" t="s">
        <v>1249</v>
      </c>
      <c r="CG47" t="s">
        <v>1250</v>
      </c>
    </row>
    <row r="48" spans="2:85" x14ac:dyDescent="0.2">
      <c r="B48" t="s">
        <v>1251</v>
      </c>
      <c r="C48">
        <v>230</v>
      </c>
      <c r="D48" t="s">
        <v>248</v>
      </c>
      <c r="E48">
        <f>SUM(G69+H69+I69+J69+K69+L69+O69+P69)-E50-E52</f>
        <v>0</v>
      </c>
      <c r="F48">
        <f>SUM(G70+H70+I70+J70+K70+L70+O70+P70)-F50-F52</f>
        <v>0</v>
      </c>
      <c r="G48">
        <f>SUM(G74+H74+I74+J74+K74+L74+O74+P74)-G50-G52</f>
        <v>0</v>
      </c>
      <c r="H48">
        <f>SUM(G75+H75+I75+J75+K75+L75+O75+P75)-H50-H52</f>
        <v>0</v>
      </c>
      <c r="CB48">
        <f t="shared" ref="CB48:CB53" si="0">IF(OR(E48&lt;0,F48&lt;0,G48&lt;0,H48&lt;0),1,0)</f>
        <v>0</v>
      </c>
      <c r="CC48" t="s">
        <v>1252</v>
      </c>
      <c r="CD48">
        <f>SUM(E48+E52+F48+F52)</f>
        <v>0</v>
      </c>
      <c r="CE48">
        <f>SUM(G48+H48+G52+H52)</f>
        <v>0</v>
      </c>
    </row>
    <row r="49" spans="2:83" x14ac:dyDescent="0.2">
      <c r="B49" t="s">
        <v>1253</v>
      </c>
      <c r="C49">
        <v>240</v>
      </c>
      <c r="D49" t="s">
        <v>248</v>
      </c>
      <c r="E49">
        <f>Q69</f>
        <v>0</v>
      </c>
      <c r="F49">
        <f>Q70</f>
        <v>0</v>
      </c>
      <c r="G49">
        <f>Q74</f>
        <v>0</v>
      </c>
      <c r="H49">
        <f>Q75</f>
        <v>0</v>
      </c>
      <c r="CB49">
        <f t="shared" si="0"/>
        <v>0</v>
      </c>
      <c r="CC49" t="s">
        <v>1254</v>
      </c>
      <c r="CD49">
        <f>SUM(E49+F49)</f>
        <v>0</v>
      </c>
      <c r="CE49">
        <f>SUM(G49+H49)</f>
        <v>0</v>
      </c>
    </row>
    <row r="50" spans="2:83" x14ac:dyDescent="0.2">
      <c r="B50" t="s">
        <v>1255</v>
      </c>
      <c r="C50">
        <v>245</v>
      </c>
      <c r="D50" t="s">
        <v>248</v>
      </c>
      <c r="E50">
        <f>T69</f>
        <v>0</v>
      </c>
      <c r="F50">
        <f>T70</f>
        <v>0</v>
      </c>
      <c r="G50">
        <f>T74</f>
        <v>0</v>
      </c>
      <c r="H50">
        <f>T75</f>
        <v>0</v>
      </c>
      <c r="CB50">
        <f t="shared" si="0"/>
        <v>0</v>
      </c>
      <c r="CC50" t="s">
        <v>1256</v>
      </c>
      <c r="CD50">
        <f>SUM(E51+F51)</f>
        <v>0</v>
      </c>
      <c r="CE50">
        <f>SUM(G51+H51)</f>
        <v>0</v>
      </c>
    </row>
    <row r="51" spans="2:83" x14ac:dyDescent="0.2">
      <c r="B51" t="s">
        <v>1262</v>
      </c>
      <c r="C51">
        <v>250</v>
      </c>
      <c r="D51" t="s">
        <v>248</v>
      </c>
      <c r="E51">
        <f>SUM(M69+N69)</f>
        <v>0</v>
      </c>
      <c r="F51">
        <f>SUM(M70+N70)</f>
        <v>0</v>
      </c>
      <c r="G51">
        <f>SUM(M74+N74)</f>
        <v>0</v>
      </c>
      <c r="H51">
        <f>SUM(M75+N75)</f>
        <v>0</v>
      </c>
      <c r="CB51">
        <f t="shared" si="0"/>
        <v>0</v>
      </c>
      <c r="CC51" t="s">
        <v>1258</v>
      </c>
      <c r="CD51">
        <f>SUM(E50+F50)</f>
        <v>0</v>
      </c>
      <c r="CE51">
        <f>SUM(G50+H50)</f>
        <v>0</v>
      </c>
    </row>
    <row r="52" spans="2:83" x14ac:dyDescent="0.2">
      <c r="B52" t="s">
        <v>1259</v>
      </c>
      <c r="C52">
        <v>260</v>
      </c>
      <c r="D52" t="s">
        <v>248</v>
      </c>
      <c r="E52">
        <f>S69</f>
        <v>0</v>
      </c>
      <c r="F52">
        <f>S70</f>
        <v>0</v>
      </c>
      <c r="G52">
        <f>S74</f>
        <v>0</v>
      </c>
      <c r="H52">
        <f>S75</f>
        <v>0</v>
      </c>
      <c r="CB52">
        <f t="shared" si="0"/>
        <v>0</v>
      </c>
    </row>
    <row r="53" spans="2:83" x14ac:dyDescent="0.2">
      <c r="B53" t="s">
        <v>1260</v>
      </c>
      <c r="C53">
        <v>270</v>
      </c>
      <c r="D53" t="s">
        <v>248</v>
      </c>
      <c r="CB53">
        <f t="shared" si="0"/>
        <v>0</v>
      </c>
    </row>
    <row r="54" spans="2:83" x14ac:dyDescent="0.2">
      <c r="B54" t="s">
        <v>1261</v>
      </c>
      <c r="C54">
        <v>280</v>
      </c>
      <c r="D54" t="s">
        <v>248</v>
      </c>
      <c r="E54">
        <f>SUM(E48:E53)</f>
        <v>0</v>
      </c>
      <c r="F54">
        <f>SUM(F48:F53)</f>
        <v>0</v>
      </c>
      <c r="G54">
        <f>SUM(G48:G53)</f>
        <v>0</v>
      </c>
      <c r="H54">
        <f>SUM(H48:H53)</f>
        <v>0</v>
      </c>
    </row>
    <row r="55" spans="2:83" x14ac:dyDescent="0.2">
      <c r="B55" t="s">
        <v>1251</v>
      </c>
      <c r="C55">
        <v>290</v>
      </c>
      <c r="D55" t="s">
        <v>248</v>
      </c>
    </row>
    <row r="56" spans="2:83" x14ac:dyDescent="0.2">
      <c r="B56" t="s">
        <v>1253</v>
      </c>
      <c r="C56">
        <v>300</v>
      </c>
      <c r="D56" t="s">
        <v>248</v>
      </c>
    </row>
    <row r="57" spans="2:83" x14ac:dyDescent="0.2">
      <c r="B57" t="s">
        <v>2995</v>
      </c>
      <c r="C57">
        <v>305</v>
      </c>
      <c r="D57" t="s">
        <v>248</v>
      </c>
    </row>
    <row r="58" spans="2:83" x14ac:dyDescent="0.2">
      <c r="B58" t="s">
        <v>1262</v>
      </c>
      <c r="C58">
        <v>310</v>
      </c>
      <c r="D58" t="s">
        <v>248</v>
      </c>
    </row>
    <row r="59" spans="2:83" x14ac:dyDescent="0.2">
      <c r="B59" t="s">
        <v>1259</v>
      </c>
      <c r="C59">
        <v>320</v>
      </c>
      <c r="D59" t="s">
        <v>248</v>
      </c>
    </row>
    <row r="60" spans="2:83" x14ac:dyDescent="0.2">
      <c r="B60" t="s">
        <v>1260</v>
      </c>
      <c r="C60">
        <v>330</v>
      </c>
      <c r="D60" t="s">
        <v>248</v>
      </c>
    </row>
    <row r="61" spans="2:83" x14ac:dyDescent="0.2">
      <c r="B61" t="s">
        <v>1263</v>
      </c>
      <c r="C61">
        <v>340</v>
      </c>
      <c r="D61" t="s">
        <v>248</v>
      </c>
    </row>
    <row r="65" spans="2:86" x14ac:dyDescent="0.2">
      <c r="D65" t="s">
        <v>25</v>
      </c>
      <c r="E65" t="s">
        <v>235</v>
      </c>
      <c r="F65" t="s">
        <v>236</v>
      </c>
      <c r="G65" t="s">
        <v>293</v>
      </c>
      <c r="H65" t="s">
        <v>294</v>
      </c>
      <c r="I65" t="s">
        <v>295</v>
      </c>
      <c r="J65" t="s">
        <v>296</v>
      </c>
      <c r="K65" t="s">
        <v>342</v>
      </c>
      <c r="L65" t="s">
        <v>297</v>
      </c>
      <c r="M65" t="s">
        <v>298</v>
      </c>
      <c r="N65" t="s">
        <v>299</v>
      </c>
      <c r="O65" t="s">
        <v>360</v>
      </c>
      <c r="P65" t="s">
        <v>361</v>
      </c>
      <c r="Q65" t="s">
        <v>362</v>
      </c>
      <c r="S65" t="s">
        <v>577</v>
      </c>
      <c r="T65" t="s">
        <v>578</v>
      </c>
      <c r="U65" t="s">
        <v>579</v>
      </c>
    </row>
    <row r="66" spans="2:86" x14ac:dyDescent="0.2">
      <c r="B66" t="s">
        <v>1264</v>
      </c>
      <c r="C66" t="s">
        <v>238</v>
      </c>
      <c r="G66" t="s">
        <v>1005</v>
      </c>
      <c r="H66" t="s">
        <v>1006</v>
      </c>
      <c r="I66" t="s">
        <v>1007</v>
      </c>
      <c r="J66" t="s">
        <v>590</v>
      </c>
      <c r="K66" t="s">
        <v>1008</v>
      </c>
      <c r="L66" t="s">
        <v>1265</v>
      </c>
      <c r="M66" t="s">
        <v>1266</v>
      </c>
      <c r="N66" t="s">
        <v>1267</v>
      </c>
      <c r="O66" t="s">
        <v>599</v>
      </c>
      <c r="P66" t="s">
        <v>1268</v>
      </c>
      <c r="Q66" t="s">
        <v>1269</v>
      </c>
      <c r="S66" t="s">
        <v>1270</v>
      </c>
      <c r="T66" t="s">
        <v>1271</v>
      </c>
      <c r="U66" t="s">
        <v>1272</v>
      </c>
    </row>
    <row r="67" spans="2:86" x14ac:dyDescent="0.2">
      <c r="C67" t="s">
        <v>242</v>
      </c>
      <c r="I67" t="s">
        <v>243</v>
      </c>
      <c r="J67" t="s">
        <v>243</v>
      </c>
      <c r="K67" t="s">
        <v>243</v>
      </c>
      <c r="L67" t="s">
        <v>243</v>
      </c>
      <c r="M67" t="s">
        <v>243</v>
      </c>
      <c r="N67" t="s">
        <v>243</v>
      </c>
      <c r="O67" t="s">
        <v>243</v>
      </c>
      <c r="P67" t="s">
        <v>243</v>
      </c>
      <c r="Q67" t="s">
        <v>243</v>
      </c>
      <c r="S67" t="s">
        <v>243</v>
      </c>
      <c r="T67" t="s">
        <v>243</v>
      </c>
      <c r="U67" t="s">
        <v>243</v>
      </c>
    </row>
    <row r="68" spans="2:86" x14ac:dyDescent="0.2">
      <c r="B68" t="s">
        <v>1273</v>
      </c>
    </row>
    <row r="69" spans="2:86" x14ac:dyDescent="0.2">
      <c r="B69" t="s">
        <v>1274</v>
      </c>
      <c r="C69">
        <v>400</v>
      </c>
      <c r="D69" t="s">
        <v>248</v>
      </c>
      <c r="U69">
        <f>K69-S69-T69</f>
        <v>0</v>
      </c>
      <c r="CH69" t="s">
        <v>510</v>
      </c>
    </row>
    <row r="70" spans="2:86" x14ac:dyDescent="0.2">
      <c r="B70" t="s">
        <v>1275</v>
      </c>
      <c r="C70">
        <v>410</v>
      </c>
      <c r="D70" t="s">
        <v>248</v>
      </c>
      <c r="U70">
        <f>K70-S70-T70</f>
        <v>0</v>
      </c>
    </row>
    <row r="71" spans="2:86" x14ac:dyDescent="0.2">
      <c r="B71" t="s">
        <v>1276</v>
      </c>
      <c r="C71">
        <v>420</v>
      </c>
      <c r="D71" t="s">
        <v>248</v>
      </c>
      <c r="G71">
        <f t="shared" ref="G71:Q71" si="1">SUM(G69:G70)</f>
        <v>0</v>
      </c>
      <c r="H71">
        <f t="shared" si="1"/>
        <v>0</v>
      </c>
      <c r="I71">
        <f t="shared" si="1"/>
        <v>0</v>
      </c>
      <c r="J71">
        <f t="shared" si="1"/>
        <v>0</v>
      </c>
      <c r="K71">
        <f t="shared" si="1"/>
        <v>0</v>
      </c>
      <c r="L71">
        <f t="shared" si="1"/>
        <v>0</v>
      </c>
      <c r="M71">
        <f t="shared" si="1"/>
        <v>0</v>
      </c>
      <c r="N71">
        <f t="shared" si="1"/>
        <v>0</v>
      </c>
      <c r="O71">
        <f t="shared" si="1"/>
        <v>0</v>
      </c>
      <c r="P71">
        <f t="shared" si="1"/>
        <v>0</v>
      </c>
      <c r="Q71">
        <f t="shared" si="1"/>
        <v>0</v>
      </c>
      <c r="S71">
        <f>SUM(S69:S70)</f>
        <v>0</v>
      </c>
      <c r="T71">
        <f>SUM(T69:T70)</f>
        <v>0</v>
      </c>
      <c r="U71">
        <f>SUM(U69:U70)</f>
        <v>0</v>
      </c>
      <c r="CH71">
        <f>IF(OR(G71-G72&lt;&gt;0,H71-H72&lt;&gt;0,I71-I72&lt;&gt;0,J71-J72&lt;&gt;0,L71-L72&lt;&gt;0,M71-M72&lt;&gt;0,N71-N72&lt;&gt;0,O71-O72&lt;&gt;0,P71-P72&lt;&gt;0,Q71-Q72&lt;&gt;0,S71-S72&lt;&gt;0,T71-T72&lt;&gt;0,U71-U72&lt;&gt;0),1,0)</f>
        <v>0</v>
      </c>
    </row>
    <row r="72" spans="2:86" x14ac:dyDescent="0.2">
      <c r="B72" t="s">
        <v>1277</v>
      </c>
      <c r="C72">
        <v>430</v>
      </c>
      <c r="D72" t="s">
        <v>248</v>
      </c>
    </row>
    <row r="73" spans="2:86" x14ac:dyDescent="0.2">
      <c r="B73" t="s">
        <v>1278</v>
      </c>
    </row>
    <row r="74" spans="2:86" x14ac:dyDescent="0.2">
      <c r="B74" t="s">
        <v>1279</v>
      </c>
      <c r="C74">
        <v>440</v>
      </c>
      <c r="D74" t="s">
        <v>248</v>
      </c>
      <c r="U74">
        <f>K74-S74-T74</f>
        <v>0</v>
      </c>
      <c r="CH74" t="s">
        <v>522</v>
      </c>
    </row>
    <row r="75" spans="2:86" x14ac:dyDescent="0.2">
      <c r="B75" t="s">
        <v>1280</v>
      </c>
      <c r="C75">
        <v>450</v>
      </c>
      <c r="D75" t="s">
        <v>248</v>
      </c>
      <c r="U75">
        <f>K75-S75-T75</f>
        <v>0</v>
      </c>
    </row>
    <row r="76" spans="2:86" x14ac:dyDescent="0.2">
      <c r="B76" t="s">
        <v>1281</v>
      </c>
      <c r="C76">
        <v>460</v>
      </c>
      <c r="D76" t="s">
        <v>248</v>
      </c>
      <c r="G76">
        <f t="shared" ref="G76:Q76" si="2">SUM(G74:G75)</f>
        <v>0</v>
      </c>
      <c r="H76">
        <f t="shared" si="2"/>
        <v>0</v>
      </c>
      <c r="I76">
        <f t="shared" si="2"/>
        <v>0</v>
      </c>
      <c r="J76">
        <f t="shared" si="2"/>
        <v>0</v>
      </c>
      <c r="K76">
        <f t="shared" si="2"/>
        <v>0</v>
      </c>
      <c r="L76">
        <f t="shared" si="2"/>
        <v>0</v>
      </c>
      <c r="M76">
        <f t="shared" si="2"/>
        <v>0</v>
      </c>
      <c r="N76">
        <f t="shared" si="2"/>
        <v>0</v>
      </c>
      <c r="O76">
        <f t="shared" si="2"/>
        <v>0</v>
      </c>
      <c r="P76">
        <f t="shared" si="2"/>
        <v>0</v>
      </c>
      <c r="Q76">
        <f t="shared" si="2"/>
        <v>0</v>
      </c>
      <c r="S76">
        <f>SUM(S74:S75)</f>
        <v>0</v>
      </c>
      <c r="T76">
        <f>SUM(T74:T75)</f>
        <v>0</v>
      </c>
      <c r="U76">
        <f>SUM(U74:U75)</f>
        <v>0</v>
      </c>
      <c r="CH76">
        <f>IF(OR(G76-G77&lt;&gt;0,H76-H77&lt;&gt;0,I76-I77&lt;&gt;0,J76-J77&lt;&gt;0,L76-L77&lt;&gt;0,M76-M77&lt;&gt;0,N76-N77&lt;&gt;0,O76-O77&lt;&gt;0,P76-P77&lt;&gt;0,Q76-Q77&lt;&gt;0,S76-S77&lt;&gt;0,T76-T77&lt;&gt;0,U76-U77&lt;&gt;0),1,0)</f>
        <v>0</v>
      </c>
    </row>
    <row r="77" spans="2:86" x14ac:dyDescent="0.2">
      <c r="B77" t="s">
        <v>1282</v>
      </c>
      <c r="C77">
        <v>470</v>
      </c>
      <c r="D77" t="s">
        <v>248</v>
      </c>
    </row>
    <row r="81" spans="2:14" x14ac:dyDescent="0.2">
      <c r="D81" t="s">
        <v>25</v>
      </c>
      <c r="E81" t="s">
        <v>235</v>
      </c>
      <c r="F81" t="s">
        <v>236</v>
      </c>
    </row>
    <row r="82" spans="2:14" x14ac:dyDescent="0.2">
      <c r="B82" t="s">
        <v>1283</v>
      </c>
      <c r="C82" t="s">
        <v>238</v>
      </c>
      <c r="E82" t="s">
        <v>799</v>
      </c>
      <c r="F82" t="s">
        <v>240</v>
      </c>
    </row>
    <row r="83" spans="2:14" x14ac:dyDescent="0.2">
      <c r="C83" t="s">
        <v>242</v>
      </c>
      <c r="E83" t="s">
        <v>243</v>
      </c>
      <c r="F83" t="s">
        <v>243</v>
      </c>
    </row>
    <row r="84" spans="2:14" x14ac:dyDescent="0.2">
      <c r="B84" t="s">
        <v>1284</v>
      </c>
      <c r="C84">
        <v>600</v>
      </c>
      <c r="D84" t="s">
        <v>248</v>
      </c>
    </row>
    <row r="85" spans="2:14" x14ac:dyDescent="0.2">
      <c r="B85" t="s">
        <v>1285</v>
      </c>
      <c r="C85">
        <v>610</v>
      </c>
      <c r="D85" t="s">
        <v>245</v>
      </c>
    </row>
    <row r="89" spans="2:14" x14ac:dyDescent="0.2">
      <c r="D89" t="s">
        <v>25</v>
      </c>
      <c r="E89" t="s">
        <v>235</v>
      </c>
      <c r="F89" t="s">
        <v>236</v>
      </c>
      <c r="G89" t="s">
        <v>293</v>
      </c>
      <c r="H89" t="s">
        <v>294</v>
      </c>
      <c r="I89" t="s">
        <v>295</v>
      </c>
      <c r="J89" t="s">
        <v>296</v>
      </c>
      <c r="K89" t="s">
        <v>342</v>
      </c>
      <c r="L89" t="s">
        <v>297</v>
      </c>
      <c r="M89" t="s">
        <v>298</v>
      </c>
      <c r="N89" t="s">
        <v>299</v>
      </c>
    </row>
    <row r="90" spans="2:14" x14ac:dyDescent="0.2">
      <c r="B90" t="s">
        <v>133</v>
      </c>
      <c r="C90" t="s">
        <v>238</v>
      </c>
      <c r="E90" t="s">
        <v>1286</v>
      </c>
      <c r="F90" t="s">
        <v>1287</v>
      </c>
      <c r="G90" t="s">
        <v>1288</v>
      </c>
      <c r="H90" t="s">
        <v>1289</v>
      </c>
      <c r="I90" t="s">
        <v>1290</v>
      </c>
      <c r="J90" t="s">
        <v>352</v>
      </c>
      <c r="K90" t="s">
        <v>1291</v>
      </c>
      <c r="L90" t="s">
        <v>340</v>
      </c>
      <c r="M90" t="s">
        <v>1292</v>
      </c>
      <c r="N90" t="s">
        <v>1293</v>
      </c>
    </row>
    <row r="91" spans="2:14" x14ac:dyDescent="0.2">
      <c r="C91" t="s">
        <v>242</v>
      </c>
      <c r="E91" t="s">
        <v>243</v>
      </c>
      <c r="F91" t="s">
        <v>243</v>
      </c>
      <c r="G91" t="s">
        <v>243</v>
      </c>
      <c r="H91" t="s">
        <v>243</v>
      </c>
      <c r="I91" t="s">
        <v>243</v>
      </c>
      <c r="J91" t="s">
        <v>243</v>
      </c>
      <c r="K91" t="s">
        <v>243</v>
      </c>
      <c r="L91" t="s">
        <v>243</v>
      </c>
      <c r="M91" t="s">
        <v>243</v>
      </c>
      <c r="N91" t="s">
        <v>243</v>
      </c>
    </row>
    <row r="92" spans="2:14" x14ac:dyDescent="0.2">
      <c r="B92" t="s">
        <v>1033</v>
      </c>
      <c r="C92">
        <v>620</v>
      </c>
      <c r="D92" t="s">
        <v>248</v>
      </c>
      <c r="K92">
        <f>SUM(H92:J92)</f>
        <v>0</v>
      </c>
    </row>
    <row r="93" spans="2:14" x14ac:dyDescent="0.2">
      <c r="B93" t="s">
        <v>304</v>
      </c>
      <c r="C93">
        <v>630</v>
      </c>
      <c r="D93" t="s">
        <v>251</v>
      </c>
    </row>
    <row r="94" spans="2:14" x14ac:dyDescent="0.2">
      <c r="B94" t="s">
        <v>303</v>
      </c>
      <c r="C94">
        <v>640</v>
      </c>
      <c r="D94" t="s">
        <v>251</v>
      </c>
    </row>
    <row r="95" spans="2:14" x14ac:dyDescent="0.2">
      <c r="B95" t="s">
        <v>387</v>
      </c>
      <c r="C95">
        <v>650</v>
      </c>
      <c r="D95" t="s">
        <v>251</v>
      </c>
    </row>
    <row r="96" spans="2:14" x14ac:dyDescent="0.2">
      <c r="B96" t="s">
        <v>389</v>
      </c>
      <c r="C96">
        <v>660</v>
      </c>
      <c r="D96" t="s">
        <v>251</v>
      </c>
      <c r="K96">
        <f t="shared" ref="K96:K106" si="3">SUM(H96:J96)</f>
        <v>0</v>
      </c>
      <c r="L96">
        <f t="shared" ref="L96:L106" si="4">SUM(E96:J96)</f>
        <v>0</v>
      </c>
    </row>
    <row r="97" spans="2:87" x14ac:dyDescent="0.2">
      <c r="B97" t="s">
        <v>391</v>
      </c>
      <c r="C97">
        <v>670</v>
      </c>
      <c r="D97" t="s">
        <v>251</v>
      </c>
      <c r="E97">
        <f t="shared" ref="E97:J97" si="5">SUM(E92:E96)</f>
        <v>0</v>
      </c>
      <c r="F97">
        <f t="shared" si="5"/>
        <v>0</v>
      </c>
      <c r="G97">
        <f t="shared" si="5"/>
        <v>0</v>
      </c>
      <c r="H97">
        <f t="shared" si="5"/>
        <v>0</v>
      </c>
      <c r="I97">
        <f t="shared" si="5"/>
        <v>0</v>
      </c>
      <c r="J97">
        <f t="shared" si="5"/>
        <v>0</v>
      </c>
      <c r="K97">
        <f t="shared" si="3"/>
        <v>0</v>
      </c>
      <c r="L97">
        <f t="shared" si="4"/>
        <v>0</v>
      </c>
      <c r="M97">
        <f>SUM(M92:M96)</f>
        <v>0</v>
      </c>
    </row>
    <row r="98" spans="2:87" x14ac:dyDescent="0.2">
      <c r="B98" t="s">
        <v>401</v>
      </c>
      <c r="C98">
        <v>680</v>
      </c>
      <c r="D98" t="s">
        <v>251</v>
      </c>
      <c r="K98">
        <f t="shared" si="3"/>
        <v>0</v>
      </c>
      <c r="L98">
        <f t="shared" si="4"/>
        <v>0</v>
      </c>
    </row>
    <row r="99" spans="2:87" x14ac:dyDescent="0.2">
      <c r="B99" t="s">
        <v>402</v>
      </c>
      <c r="C99">
        <v>690</v>
      </c>
      <c r="D99" t="s">
        <v>251</v>
      </c>
      <c r="K99">
        <f t="shared" si="3"/>
        <v>0</v>
      </c>
      <c r="L99">
        <f t="shared" si="4"/>
        <v>0</v>
      </c>
    </row>
    <row r="100" spans="2:87" x14ac:dyDescent="0.2">
      <c r="B100" t="s">
        <v>292</v>
      </c>
      <c r="C100">
        <v>700</v>
      </c>
      <c r="D100" t="s">
        <v>248</v>
      </c>
      <c r="K100">
        <f t="shared" si="3"/>
        <v>0</v>
      </c>
      <c r="L100">
        <f t="shared" si="4"/>
        <v>0</v>
      </c>
      <c r="CB100">
        <f>IF(OR(E100&lt;0,F100&lt;0,G100&lt;0,H100&lt;0,I100&lt;0,J100&lt;0,M100&lt;0),1,0)</f>
        <v>0</v>
      </c>
      <c r="CD100" t="s">
        <v>1294</v>
      </c>
    </row>
    <row r="101" spans="2:87" x14ac:dyDescent="0.2">
      <c r="B101" t="s">
        <v>1295</v>
      </c>
      <c r="C101">
        <v>710</v>
      </c>
      <c r="D101" t="s">
        <v>245</v>
      </c>
      <c r="K101">
        <f t="shared" si="3"/>
        <v>0</v>
      </c>
      <c r="L101">
        <f t="shared" si="4"/>
        <v>0</v>
      </c>
      <c r="CA101">
        <f>IF(OR(E101&gt;0,F101&gt;0,G101&gt;0,H101&gt;0,I101&gt;0,J101&gt;0,L101&gt;0,M101&gt;0,N101&gt;0),1,0)</f>
        <v>0</v>
      </c>
      <c r="CD101">
        <f>L101*-1</f>
        <v>0</v>
      </c>
    </row>
    <row r="102" spans="2:87" x14ac:dyDescent="0.2">
      <c r="B102" t="s">
        <v>1296</v>
      </c>
      <c r="C102">
        <v>720</v>
      </c>
      <c r="D102" t="s">
        <v>245</v>
      </c>
      <c r="K102">
        <f t="shared" si="3"/>
        <v>0</v>
      </c>
      <c r="L102">
        <f t="shared" si="4"/>
        <v>0</v>
      </c>
      <c r="CA102">
        <f>IF(OR(E102&gt;0,F102&gt;0,G102&gt;0,H102&gt;0,I102&gt;0,J102&gt;0,L102&gt;0,M102&gt;0,N102&gt;0),1,0)</f>
        <v>0</v>
      </c>
      <c r="CI102">
        <f>SUM(L102+L103)</f>
        <v>0</v>
      </c>
    </row>
    <row r="103" spans="2:87" x14ac:dyDescent="0.2">
      <c r="B103" t="s">
        <v>1297</v>
      </c>
      <c r="C103">
        <v>730</v>
      </c>
      <c r="D103" t="s">
        <v>248</v>
      </c>
      <c r="K103">
        <f t="shared" si="3"/>
        <v>0</v>
      </c>
      <c r="L103">
        <f t="shared" si="4"/>
        <v>0</v>
      </c>
      <c r="CB103">
        <f>IF(OR(E103&lt;0,F103&lt;0,G103&lt;0,H103&lt;0,I103&lt;0,J103&lt;0,M103&lt;0),1,0)</f>
        <v>0</v>
      </c>
    </row>
    <row r="104" spans="2:87" x14ac:dyDescent="0.2">
      <c r="B104" t="s">
        <v>1298</v>
      </c>
      <c r="C104">
        <v>735</v>
      </c>
      <c r="D104" t="s">
        <v>251</v>
      </c>
      <c r="E104">
        <f t="shared" ref="E104:J104" si="6">SUM(E102:E103)</f>
        <v>0</v>
      </c>
      <c r="F104">
        <f t="shared" si="6"/>
        <v>0</v>
      </c>
      <c r="G104">
        <f t="shared" si="6"/>
        <v>0</v>
      </c>
      <c r="H104">
        <f t="shared" si="6"/>
        <v>0</v>
      </c>
      <c r="I104">
        <f t="shared" si="6"/>
        <v>0</v>
      </c>
      <c r="J104">
        <f t="shared" si="6"/>
        <v>0</v>
      </c>
      <c r="K104">
        <f t="shared" si="3"/>
        <v>0</v>
      </c>
      <c r="L104">
        <f t="shared" si="4"/>
        <v>0</v>
      </c>
      <c r="M104">
        <f>SUM(M102:M103)</f>
        <v>0</v>
      </c>
    </row>
    <row r="105" spans="2:87" x14ac:dyDescent="0.2">
      <c r="B105" t="s">
        <v>1299</v>
      </c>
      <c r="C105">
        <v>742</v>
      </c>
      <c r="D105" t="s">
        <v>245</v>
      </c>
      <c r="K105">
        <f t="shared" si="3"/>
        <v>0</v>
      </c>
      <c r="L105">
        <f t="shared" si="4"/>
        <v>0</v>
      </c>
      <c r="CA105">
        <f>IF(OR(E105&gt;0,F105&gt;0,G105&gt;0,H105&gt;0,I105&gt;0,J105&gt;0,L105&gt;0,M105&gt;0,N105&gt;0),1,0)</f>
        <v>0</v>
      </c>
    </row>
    <row r="106" spans="2:87" x14ac:dyDescent="0.2">
      <c r="B106" t="s">
        <v>1074</v>
      </c>
      <c r="C106">
        <v>745</v>
      </c>
      <c r="D106" t="s">
        <v>251</v>
      </c>
      <c r="K106">
        <f t="shared" si="3"/>
        <v>0</v>
      </c>
      <c r="L106">
        <f t="shared" si="4"/>
        <v>0</v>
      </c>
    </row>
    <row r="107" spans="2:87" x14ac:dyDescent="0.2">
      <c r="B107" t="s">
        <v>419</v>
      </c>
      <c r="C107">
        <v>750</v>
      </c>
      <c r="D107" t="s">
        <v>248</v>
      </c>
      <c r="E107">
        <f t="shared" ref="E107:N107" si="7">SUM(E97:E106)-E104</f>
        <v>0</v>
      </c>
      <c r="F107">
        <f t="shared" si="7"/>
        <v>0</v>
      </c>
      <c r="G107">
        <f t="shared" si="7"/>
        <v>0</v>
      </c>
      <c r="H107">
        <f t="shared" si="7"/>
        <v>0</v>
      </c>
      <c r="I107">
        <f t="shared" si="7"/>
        <v>0</v>
      </c>
      <c r="J107">
        <f t="shared" si="7"/>
        <v>0</v>
      </c>
      <c r="K107">
        <f t="shared" si="7"/>
        <v>0</v>
      </c>
      <c r="L107">
        <f t="shared" si="7"/>
        <v>0</v>
      </c>
      <c r="M107">
        <f t="shared" si="7"/>
        <v>0</v>
      </c>
      <c r="N107">
        <f t="shared" si="7"/>
        <v>0</v>
      </c>
    </row>
    <row r="226" spans="2:82" x14ac:dyDescent="0.2">
      <c r="D226" t="s">
        <v>25</v>
      </c>
      <c r="E226" t="s">
        <v>235</v>
      </c>
      <c r="F226" t="s">
        <v>236</v>
      </c>
      <c r="G226" t="s">
        <v>293</v>
      </c>
      <c r="H226" t="s">
        <v>294</v>
      </c>
      <c r="I226" t="s">
        <v>295</v>
      </c>
      <c r="J226" t="s">
        <v>296</v>
      </c>
      <c r="K226" t="s">
        <v>342</v>
      </c>
      <c r="L226" t="s">
        <v>297</v>
      </c>
      <c r="M226" t="s">
        <v>298</v>
      </c>
      <c r="N226" t="s">
        <v>299</v>
      </c>
      <c r="O226" t="s">
        <v>360</v>
      </c>
      <c r="BC226" t="s">
        <v>237</v>
      </c>
    </row>
    <row r="227" spans="2:82" x14ac:dyDescent="0.2">
      <c r="B227" t="s">
        <v>1300</v>
      </c>
      <c r="C227" t="s">
        <v>238</v>
      </c>
      <c r="E227" t="s">
        <v>1040</v>
      </c>
      <c r="F227" t="s">
        <v>1120</v>
      </c>
      <c r="G227" t="s">
        <v>1042</v>
      </c>
      <c r="H227" t="s">
        <v>1301</v>
      </c>
      <c r="I227" t="s">
        <v>1302</v>
      </c>
      <c r="J227" t="s">
        <v>1303</v>
      </c>
      <c r="K227" t="s">
        <v>1123</v>
      </c>
      <c r="L227" t="s">
        <v>1124</v>
      </c>
      <c r="M227" t="s">
        <v>311</v>
      </c>
      <c r="N227" t="s">
        <v>192</v>
      </c>
      <c r="O227" t="s">
        <v>340</v>
      </c>
      <c r="BC227" t="s">
        <v>241</v>
      </c>
    </row>
    <row r="228" spans="2:82" x14ac:dyDescent="0.2">
      <c r="C228" t="s">
        <v>242</v>
      </c>
      <c r="E228" t="s">
        <v>243</v>
      </c>
      <c r="F228" t="s">
        <v>243</v>
      </c>
      <c r="G228" t="s">
        <v>243</v>
      </c>
      <c r="H228" t="s">
        <v>243</v>
      </c>
      <c r="I228" t="s">
        <v>243</v>
      </c>
      <c r="J228" t="s">
        <v>243</v>
      </c>
      <c r="K228" t="s">
        <v>243</v>
      </c>
      <c r="L228" t="s">
        <v>243</v>
      </c>
      <c r="M228" t="s">
        <v>243</v>
      </c>
      <c r="N228" t="s">
        <v>243</v>
      </c>
      <c r="O228" t="s">
        <v>243</v>
      </c>
      <c r="BC228" t="s">
        <v>243</v>
      </c>
    </row>
    <row r="229" spans="2:82" x14ac:dyDescent="0.2">
      <c r="B229" t="s">
        <v>1033</v>
      </c>
      <c r="C229">
        <v>800</v>
      </c>
      <c r="D229" t="s">
        <v>248</v>
      </c>
      <c r="E229">
        <f t="shared" ref="E229:M229" si="8">E264</f>
        <v>0</v>
      </c>
      <c r="F229">
        <f t="shared" si="8"/>
        <v>0</v>
      </c>
      <c r="G229">
        <f t="shared" si="8"/>
        <v>0</v>
      </c>
      <c r="H229">
        <f t="shared" si="8"/>
        <v>0</v>
      </c>
      <c r="I229">
        <f t="shared" si="8"/>
        <v>0</v>
      </c>
      <c r="J229">
        <f t="shared" si="8"/>
        <v>0</v>
      </c>
      <c r="K229">
        <f t="shared" si="8"/>
        <v>0</v>
      </c>
      <c r="L229">
        <f t="shared" si="8"/>
        <v>0</v>
      </c>
      <c r="M229">
        <f t="shared" si="8"/>
        <v>0</v>
      </c>
      <c r="O229">
        <f>SUM(E229:N229)</f>
        <v>0</v>
      </c>
      <c r="BC229">
        <f>O229</f>
        <v>0</v>
      </c>
      <c r="CD229" t="s">
        <v>1062</v>
      </c>
    </row>
    <row r="230" spans="2:82" x14ac:dyDescent="0.2">
      <c r="B230" t="s">
        <v>304</v>
      </c>
      <c r="C230">
        <v>810</v>
      </c>
      <c r="D230" t="s">
        <v>251</v>
      </c>
      <c r="CD230">
        <f>SUM(O237+O242)</f>
        <v>0</v>
      </c>
    </row>
    <row r="231" spans="2:82" x14ac:dyDescent="0.2">
      <c r="B231" t="s">
        <v>303</v>
      </c>
      <c r="C231">
        <v>820</v>
      </c>
      <c r="D231" t="s">
        <v>248</v>
      </c>
    </row>
    <row r="232" spans="2:82" x14ac:dyDescent="0.2">
      <c r="B232" t="s">
        <v>387</v>
      </c>
      <c r="C232">
        <v>830</v>
      </c>
      <c r="D232" t="s">
        <v>251</v>
      </c>
    </row>
    <row r="233" spans="2:82" x14ac:dyDescent="0.2">
      <c r="B233" t="s">
        <v>389</v>
      </c>
      <c r="C233">
        <v>840</v>
      </c>
      <c r="D233" t="s">
        <v>251</v>
      </c>
      <c r="O233">
        <f t="shared" ref="O233:O244" si="9">SUM(E233:N233)</f>
        <v>0</v>
      </c>
      <c r="BC233">
        <f t="shared" ref="BC233:BC240" si="10">O233</f>
        <v>0</v>
      </c>
    </row>
    <row r="234" spans="2:82" x14ac:dyDescent="0.2">
      <c r="B234" t="s">
        <v>391</v>
      </c>
      <c r="C234">
        <v>850</v>
      </c>
      <c r="D234" t="s">
        <v>251</v>
      </c>
      <c r="E234">
        <f t="shared" ref="E234:N234" si="11">SUM(E229:E233)</f>
        <v>0</v>
      </c>
      <c r="F234">
        <f t="shared" si="11"/>
        <v>0</v>
      </c>
      <c r="G234">
        <f t="shared" si="11"/>
        <v>0</v>
      </c>
      <c r="H234">
        <f t="shared" si="11"/>
        <v>0</v>
      </c>
      <c r="I234">
        <f t="shared" si="11"/>
        <v>0</v>
      </c>
      <c r="J234">
        <f t="shared" si="11"/>
        <v>0</v>
      </c>
      <c r="K234">
        <f t="shared" si="11"/>
        <v>0</v>
      </c>
      <c r="L234">
        <f t="shared" si="11"/>
        <v>0</v>
      </c>
      <c r="M234">
        <f t="shared" si="11"/>
        <v>0</v>
      </c>
      <c r="N234">
        <f t="shared" si="11"/>
        <v>0</v>
      </c>
      <c r="O234">
        <f t="shared" si="9"/>
        <v>0</v>
      </c>
      <c r="BC234">
        <f t="shared" si="10"/>
        <v>0</v>
      </c>
    </row>
    <row r="235" spans="2:82" x14ac:dyDescent="0.2">
      <c r="B235" t="s">
        <v>401</v>
      </c>
      <c r="C235">
        <v>860</v>
      </c>
      <c r="D235" t="s">
        <v>251</v>
      </c>
      <c r="O235">
        <f t="shared" si="9"/>
        <v>0</v>
      </c>
      <c r="BC235">
        <f t="shared" si="10"/>
        <v>0</v>
      </c>
    </row>
    <row r="236" spans="2:82" x14ac:dyDescent="0.2">
      <c r="B236" t="s">
        <v>402</v>
      </c>
      <c r="C236">
        <v>870</v>
      </c>
      <c r="D236" t="s">
        <v>248</v>
      </c>
      <c r="O236">
        <f t="shared" si="9"/>
        <v>0</v>
      </c>
      <c r="BC236">
        <f t="shared" si="10"/>
        <v>0</v>
      </c>
    </row>
    <row r="237" spans="2:82" x14ac:dyDescent="0.2">
      <c r="B237" t="s">
        <v>1304</v>
      </c>
      <c r="C237">
        <v>880</v>
      </c>
      <c r="D237" t="s">
        <v>248</v>
      </c>
      <c r="O237">
        <f t="shared" si="9"/>
        <v>0</v>
      </c>
      <c r="BC237">
        <f t="shared" si="10"/>
        <v>0</v>
      </c>
    </row>
    <row r="238" spans="2:82" x14ac:dyDescent="0.2">
      <c r="B238" t="s">
        <v>1305</v>
      </c>
      <c r="C238">
        <v>890</v>
      </c>
      <c r="D238" t="s">
        <v>245</v>
      </c>
      <c r="O238">
        <f t="shared" si="9"/>
        <v>0</v>
      </c>
      <c r="BC238">
        <f t="shared" si="10"/>
        <v>0</v>
      </c>
      <c r="CA238">
        <f>IF(OR(E238&gt;0,F238&gt;0,G238&gt;0,H238&gt;0,I238&gt;0,J238&gt;0,K238&gt;0,L238&gt;0,M238&gt;0),1,0)</f>
        <v>0</v>
      </c>
    </row>
    <row r="239" spans="2:82" x14ac:dyDescent="0.2">
      <c r="B239" t="s">
        <v>1306</v>
      </c>
      <c r="C239">
        <v>900</v>
      </c>
      <c r="D239" t="s">
        <v>245</v>
      </c>
      <c r="O239">
        <f t="shared" si="9"/>
        <v>0</v>
      </c>
      <c r="BC239">
        <f t="shared" si="10"/>
        <v>0</v>
      </c>
      <c r="CA239">
        <f>IF(OR(E239&gt;0,F239&gt;0,G239&gt;0,H239&gt;0,I239&gt;0,J239&gt;0,K239&gt;0,L239&gt;0,M239&gt;0),1,0)</f>
        <v>0</v>
      </c>
    </row>
    <row r="240" spans="2:82" x14ac:dyDescent="0.2">
      <c r="B240" t="s">
        <v>1307</v>
      </c>
      <c r="C240">
        <v>910</v>
      </c>
      <c r="D240" t="s">
        <v>248</v>
      </c>
      <c r="O240">
        <f t="shared" si="9"/>
        <v>0</v>
      </c>
      <c r="BC240">
        <f t="shared" si="10"/>
        <v>0</v>
      </c>
    </row>
    <row r="241" spans="2:79" x14ac:dyDescent="0.2">
      <c r="B241" t="s">
        <v>1308</v>
      </c>
      <c r="C241">
        <v>915</v>
      </c>
      <c r="D241" t="s">
        <v>251</v>
      </c>
      <c r="E241">
        <f t="shared" ref="E241:N241" si="12">SUM(E239:E240)</f>
        <v>0</v>
      </c>
      <c r="F241">
        <f t="shared" si="12"/>
        <v>0</v>
      </c>
      <c r="G241">
        <f t="shared" si="12"/>
        <v>0</v>
      </c>
      <c r="H241">
        <f t="shared" si="12"/>
        <v>0</v>
      </c>
      <c r="I241">
        <f t="shared" si="12"/>
        <v>0</v>
      </c>
      <c r="J241">
        <f t="shared" si="12"/>
        <v>0</v>
      </c>
      <c r="K241">
        <f t="shared" si="12"/>
        <v>0</v>
      </c>
      <c r="L241">
        <f t="shared" si="12"/>
        <v>0</v>
      </c>
      <c r="M241">
        <f t="shared" si="12"/>
        <v>0</v>
      </c>
      <c r="N241">
        <f t="shared" si="12"/>
        <v>0</v>
      </c>
      <c r="O241">
        <f t="shared" si="9"/>
        <v>0</v>
      </c>
      <c r="BC241">
        <f>SUM(BC239:BC240)</f>
        <v>0</v>
      </c>
    </row>
    <row r="242" spans="2:79" x14ac:dyDescent="0.2">
      <c r="B242" t="s">
        <v>1309</v>
      </c>
      <c r="C242">
        <v>920</v>
      </c>
      <c r="D242" t="s">
        <v>245</v>
      </c>
      <c r="O242">
        <f t="shared" si="9"/>
        <v>0</v>
      </c>
      <c r="BC242">
        <f>O242</f>
        <v>0</v>
      </c>
      <c r="CA242">
        <f>IF(OR(E242&gt;0,F242&gt;0,G242&gt;0,H242&gt;0,I242&gt;0,J242&gt;0,K242&gt;0,L242&gt;0,M242&gt;0),1,0)</f>
        <v>0</v>
      </c>
    </row>
    <row r="243" spans="2:79" x14ac:dyDescent="0.2">
      <c r="B243" t="s">
        <v>1310</v>
      </c>
      <c r="C243">
        <v>930</v>
      </c>
      <c r="D243" t="s">
        <v>245</v>
      </c>
      <c r="O243">
        <f t="shared" si="9"/>
        <v>0</v>
      </c>
      <c r="BC243">
        <f>O243</f>
        <v>0</v>
      </c>
      <c r="CA243">
        <f>IF(OR(E243&gt;0,F243&gt;0,G243&gt;0,H243&gt;0,I243&gt;0,J243&gt;0,K243&gt;0,L243&gt;0,M243&gt;0),1,0)</f>
        <v>0</v>
      </c>
    </row>
    <row r="244" spans="2:79" x14ac:dyDescent="0.2">
      <c r="B244" t="s">
        <v>1074</v>
      </c>
      <c r="C244">
        <v>940</v>
      </c>
      <c r="D244" t="s">
        <v>251</v>
      </c>
      <c r="O244">
        <f t="shared" si="9"/>
        <v>0</v>
      </c>
      <c r="BC244">
        <f>O244</f>
        <v>0</v>
      </c>
    </row>
    <row r="245" spans="2:79" x14ac:dyDescent="0.2">
      <c r="B245" t="s">
        <v>1068</v>
      </c>
      <c r="C245">
        <v>945</v>
      </c>
      <c r="D245" t="s">
        <v>251</v>
      </c>
    </row>
    <row r="246" spans="2:79" x14ac:dyDescent="0.2">
      <c r="B246" t="s">
        <v>1311</v>
      </c>
      <c r="C246">
        <v>950</v>
      </c>
      <c r="D246" t="s">
        <v>248</v>
      </c>
      <c r="E246">
        <f t="shared" ref="E246:N246" si="13">SUM(E234:E245)-E241</f>
        <v>0</v>
      </c>
      <c r="F246">
        <f t="shared" si="13"/>
        <v>0</v>
      </c>
      <c r="G246">
        <f t="shared" si="13"/>
        <v>0</v>
      </c>
      <c r="H246">
        <f t="shared" si="13"/>
        <v>0</v>
      </c>
      <c r="I246">
        <f t="shared" si="13"/>
        <v>0</v>
      </c>
      <c r="J246">
        <f t="shared" si="13"/>
        <v>0</v>
      </c>
      <c r="K246">
        <f t="shared" si="13"/>
        <v>0</v>
      </c>
      <c r="L246">
        <f t="shared" si="13"/>
        <v>0</v>
      </c>
      <c r="M246">
        <f t="shared" si="13"/>
        <v>0</v>
      </c>
      <c r="N246">
        <f t="shared" si="13"/>
        <v>0</v>
      </c>
      <c r="O246">
        <f>SUM(E246:N246)</f>
        <v>0</v>
      </c>
      <c r="BC246">
        <f>SUM(BC234:BC245)-BC241</f>
        <v>0</v>
      </c>
    </row>
    <row r="247" spans="2:79" x14ac:dyDescent="0.2">
      <c r="B247" t="s">
        <v>1312</v>
      </c>
      <c r="C247">
        <v>960</v>
      </c>
      <c r="D247" t="s">
        <v>245</v>
      </c>
      <c r="O247">
        <f>SUM(E247:N247)</f>
        <v>0</v>
      </c>
      <c r="BC247">
        <f>O247</f>
        <v>0</v>
      </c>
      <c r="CA247">
        <f>IF(OR(E247&gt;0,F247&gt;0,G247&gt;0,H247&gt;0,I247&gt;0,J247&gt;0,K247&gt;0,L247&gt;0,M247&gt;0),1,0)</f>
        <v>0</v>
      </c>
    </row>
    <row r="248" spans="2:79" x14ac:dyDescent="0.2">
      <c r="B248" t="s">
        <v>1313</v>
      </c>
      <c r="C248">
        <v>970</v>
      </c>
      <c r="D248" t="s">
        <v>248</v>
      </c>
    </row>
    <row r="249" spans="2:79" x14ac:dyDescent="0.2">
      <c r="B249" t="s">
        <v>304</v>
      </c>
      <c r="C249">
        <v>980</v>
      </c>
      <c r="D249" t="s">
        <v>251</v>
      </c>
    </row>
    <row r="250" spans="2:79" x14ac:dyDescent="0.2">
      <c r="B250" t="s">
        <v>303</v>
      </c>
      <c r="C250">
        <v>990</v>
      </c>
      <c r="D250" t="s">
        <v>248</v>
      </c>
    </row>
    <row r="251" spans="2:79" x14ac:dyDescent="0.2">
      <c r="B251" t="s">
        <v>387</v>
      </c>
      <c r="C251">
        <v>1000</v>
      </c>
      <c r="D251" t="s">
        <v>251</v>
      </c>
    </row>
    <row r="252" spans="2:79" x14ac:dyDescent="0.2">
      <c r="B252" t="s">
        <v>1170</v>
      </c>
      <c r="C252">
        <v>1010</v>
      </c>
      <c r="D252" t="s">
        <v>248</v>
      </c>
    </row>
    <row r="253" spans="2:79" x14ac:dyDescent="0.2">
      <c r="B253" t="s">
        <v>389</v>
      </c>
      <c r="C253">
        <v>1020</v>
      </c>
      <c r="D253" t="s">
        <v>251</v>
      </c>
    </row>
    <row r="254" spans="2:79" x14ac:dyDescent="0.2">
      <c r="B254" t="s">
        <v>390</v>
      </c>
      <c r="C254">
        <v>1030</v>
      </c>
      <c r="D254" t="s">
        <v>251</v>
      </c>
    </row>
    <row r="255" spans="2:79" x14ac:dyDescent="0.2">
      <c r="B255" t="s">
        <v>391</v>
      </c>
      <c r="C255">
        <v>1040</v>
      </c>
      <c r="D255" t="s">
        <v>248</v>
      </c>
    </row>
    <row r="256" spans="2:79" x14ac:dyDescent="0.2">
      <c r="B256" t="s">
        <v>1304</v>
      </c>
      <c r="C256">
        <v>1050</v>
      </c>
      <c r="D256" t="s">
        <v>248</v>
      </c>
    </row>
    <row r="257" spans="2:4" x14ac:dyDescent="0.2">
      <c r="B257" t="s">
        <v>1305</v>
      </c>
      <c r="C257">
        <v>1060</v>
      </c>
      <c r="D257" t="s">
        <v>245</v>
      </c>
    </row>
    <row r="258" spans="2:4" x14ac:dyDescent="0.2">
      <c r="B258" t="s">
        <v>1306</v>
      </c>
      <c r="C258">
        <v>1070</v>
      </c>
      <c r="D258" t="s">
        <v>245</v>
      </c>
    </row>
    <row r="259" spans="2:4" x14ac:dyDescent="0.2">
      <c r="B259" t="s">
        <v>1307</v>
      </c>
      <c r="C259">
        <v>1080</v>
      </c>
      <c r="D259" t="s">
        <v>248</v>
      </c>
    </row>
    <row r="260" spans="2:4" x14ac:dyDescent="0.2">
      <c r="B260" t="s">
        <v>1309</v>
      </c>
      <c r="C260">
        <v>1090</v>
      </c>
      <c r="D260" t="s">
        <v>245</v>
      </c>
    </row>
    <row r="261" spans="2:4" x14ac:dyDescent="0.2">
      <c r="B261" t="s">
        <v>1310</v>
      </c>
      <c r="C261">
        <v>1100</v>
      </c>
      <c r="D261" t="s">
        <v>245</v>
      </c>
    </row>
    <row r="262" spans="2:4" x14ac:dyDescent="0.2">
      <c r="B262" t="s">
        <v>2990</v>
      </c>
      <c r="C262">
        <v>1110</v>
      </c>
      <c r="D262" t="s">
        <v>251</v>
      </c>
    </row>
    <row r="263" spans="2:4" x14ac:dyDescent="0.2">
      <c r="B263" t="s">
        <v>1068</v>
      </c>
      <c r="C263">
        <v>1120</v>
      </c>
      <c r="D263" t="s">
        <v>251</v>
      </c>
    </row>
    <row r="264" spans="2:4" x14ac:dyDescent="0.2">
      <c r="B264" t="s">
        <v>1263</v>
      </c>
      <c r="C264">
        <v>1130</v>
      </c>
      <c r="D264" t="s">
        <v>248</v>
      </c>
    </row>
    <row r="265" spans="2:4" x14ac:dyDescent="0.2">
      <c r="B265" t="s">
        <v>2996</v>
      </c>
      <c r="C265">
        <v>1140</v>
      </c>
      <c r="D265" t="s">
        <v>245</v>
      </c>
    </row>
  </sheetData>
  <sheetProtection sheet="1" objects="1" scenarios="1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CI265"/>
  <sheetViews>
    <sheetView zoomScale="70" zoomScaleNormal="70" workbookViewId="0"/>
  </sheetViews>
  <sheetFormatPr defaultRowHeight="12.75" x14ac:dyDescent="0.2"/>
  <sheetData>
    <row r="1" spans="1:87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7" x14ac:dyDescent="0.2">
      <c r="A2" t="s">
        <v>3727</v>
      </c>
    </row>
    <row r="3" spans="1:87" x14ac:dyDescent="0.2">
      <c r="A3" t="s">
        <v>3771</v>
      </c>
    </row>
    <row r="4" spans="1:87" x14ac:dyDescent="0.2">
      <c r="B4" t="s">
        <v>1228</v>
      </c>
    </row>
    <row r="5" spans="1:87" x14ac:dyDescent="0.2">
      <c r="B5" t="s">
        <v>66</v>
      </c>
      <c r="CA5" t="s">
        <v>230</v>
      </c>
      <c r="CB5">
        <f>0</f>
        <v>0</v>
      </c>
    </row>
    <row r="6" spans="1:87" x14ac:dyDescent="0.2">
      <c r="CA6" t="s">
        <v>231</v>
      </c>
      <c r="CB6" t="s">
        <v>232</v>
      </c>
      <c r="CC6" t="s">
        <v>1230</v>
      </c>
      <c r="CD6" t="s">
        <v>1231</v>
      </c>
      <c r="CE6" t="s">
        <v>1232</v>
      </c>
      <c r="CI6" t="s">
        <v>1233</v>
      </c>
    </row>
    <row r="7" spans="1:87" x14ac:dyDescent="0.2">
      <c r="D7" t="s">
        <v>25</v>
      </c>
      <c r="E7" t="s">
        <v>235</v>
      </c>
      <c r="F7" t="s">
        <v>236</v>
      </c>
      <c r="BC7" t="s">
        <v>237</v>
      </c>
      <c r="CA7">
        <f>SUM(CA8:CA266)</f>
        <v>0</v>
      </c>
      <c r="CB7">
        <f>SUM(CB8:CB266)</f>
        <v>0</v>
      </c>
    </row>
    <row r="8" spans="1:87" x14ac:dyDescent="0.2">
      <c r="B8" t="s">
        <v>130</v>
      </c>
      <c r="C8" t="s">
        <v>238</v>
      </c>
      <c r="E8" t="s">
        <v>799</v>
      </c>
      <c r="F8" t="s">
        <v>240</v>
      </c>
      <c r="BC8" t="s">
        <v>241</v>
      </c>
    </row>
    <row r="9" spans="1:87" x14ac:dyDescent="0.2">
      <c r="C9" t="s">
        <v>242</v>
      </c>
      <c r="E9" t="s">
        <v>243</v>
      </c>
      <c r="F9" t="s">
        <v>243</v>
      </c>
      <c r="BC9" t="s">
        <v>243</v>
      </c>
    </row>
    <row r="10" spans="1:87" x14ac:dyDescent="0.2">
      <c r="B10" t="s">
        <v>1234</v>
      </c>
    </row>
    <row r="11" spans="1:87" x14ac:dyDescent="0.2">
      <c r="B11" t="s">
        <v>1033</v>
      </c>
      <c r="C11">
        <v>100</v>
      </c>
      <c r="D11" t="s">
        <v>248</v>
      </c>
    </row>
    <row r="12" spans="1:87" x14ac:dyDescent="0.2">
      <c r="B12" t="s">
        <v>304</v>
      </c>
      <c r="C12">
        <v>101</v>
      </c>
      <c r="D12" t="s">
        <v>251</v>
      </c>
    </row>
    <row r="13" spans="1:87" x14ac:dyDescent="0.2">
      <c r="B13" t="s">
        <v>303</v>
      </c>
      <c r="C13">
        <v>102</v>
      </c>
      <c r="D13" t="s">
        <v>251</v>
      </c>
    </row>
    <row r="14" spans="1:87" x14ac:dyDescent="0.2">
      <c r="B14" t="s">
        <v>387</v>
      </c>
      <c r="C14">
        <v>103</v>
      </c>
      <c r="D14" t="s">
        <v>251</v>
      </c>
    </row>
    <row r="15" spans="1:87" x14ac:dyDescent="0.2">
      <c r="B15" t="s">
        <v>389</v>
      </c>
      <c r="C15">
        <v>104</v>
      </c>
      <c r="D15" t="s">
        <v>251</v>
      </c>
    </row>
    <row r="16" spans="1:87" x14ac:dyDescent="0.2">
      <c r="B16" t="s">
        <v>391</v>
      </c>
      <c r="C16">
        <v>105</v>
      </c>
      <c r="D16" t="s">
        <v>251</v>
      </c>
      <c r="CB16">
        <f>IF(E16&lt;0,1,0)</f>
        <v>0</v>
      </c>
    </row>
    <row r="17" spans="2:80" x14ac:dyDescent="0.2">
      <c r="B17" t="s">
        <v>401</v>
      </c>
      <c r="C17">
        <v>106</v>
      </c>
      <c r="D17" t="s">
        <v>248</v>
      </c>
      <c r="CB17">
        <f>IF(E17&lt;0,1,0)</f>
        <v>0</v>
      </c>
    </row>
    <row r="18" spans="2:80" x14ac:dyDescent="0.2">
      <c r="B18" t="s">
        <v>402</v>
      </c>
      <c r="C18">
        <v>107</v>
      </c>
      <c r="D18" t="s">
        <v>251</v>
      </c>
    </row>
    <row r="19" spans="2:80" x14ac:dyDescent="0.2">
      <c r="B19" t="s">
        <v>1235</v>
      </c>
      <c r="C19">
        <v>110</v>
      </c>
      <c r="D19" t="s">
        <v>248</v>
      </c>
    </row>
    <row r="20" spans="2:80" x14ac:dyDescent="0.2">
      <c r="B20" t="s">
        <v>1236</v>
      </c>
      <c r="C20">
        <v>120</v>
      </c>
      <c r="D20" t="s">
        <v>248</v>
      </c>
      <c r="CB20">
        <f>IF(E20&lt;0,1,0)</f>
        <v>0</v>
      </c>
    </row>
    <row r="21" spans="2:80" x14ac:dyDescent="0.2">
      <c r="B21" t="s">
        <v>1237</v>
      </c>
      <c r="C21">
        <v>130</v>
      </c>
      <c r="D21" t="s">
        <v>245</v>
      </c>
      <c r="CA21">
        <f>IF(E21&gt;0,1,0)</f>
        <v>0</v>
      </c>
    </row>
    <row r="22" spans="2:80" x14ac:dyDescent="0.2">
      <c r="B22" t="s">
        <v>1238</v>
      </c>
      <c r="C22">
        <v>140</v>
      </c>
      <c r="D22" t="s">
        <v>245</v>
      </c>
      <c r="CA22">
        <f>IF(E22&gt;0,1,0)</f>
        <v>0</v>
      </c>
    </row>
    <row r="23" spans="2:80" x14ac:dyDescent="0.2">
      <c r="B23" t="s">
        <v>1239</v>
      </c>
      <c r="C23">
        <v>150</v>
      </c>
      <c r="D23" t="s">
        <v>245</v>
      </c>
      <c r="CA23">
        <f>IF(E23&gt;0,1,0)</f>
        <v>0</v>
      </c>
    </row>
    <row r="24" spans="2:80" x14ac:dyDescent="0.2">
      <c r="B24" t="s">
        <v>1240</v>
      </c>
      <c r="C24">
        <v>155</v>
      </c>
      <c r="D24" t="s">
        <v>248</v>
      </c>
    </row>
    <row r="25" spans="2:80" x14ac:dyDescent="0.2">
      <c r="B25" t="s">
        <v>1241</v>
      </c>
      <c r="C25">
        <v>157</v>
      </c>
      <c r="D25" t="s">
        <v>245</v>
      </c>
    </row>
    <row r="26" spans="2:80" x14ac:dyDescent="0.2">
      <c r="B26" t="s">
        <v>1242</v>
      </c>
      <c r="C26">
        <v>160</v>
      </c>
      <c r="D26" t="s">
        <v>248</v>
      </c>
    </row>
    <row r="27" spans="2:80" x14ac:dyDescent="0.2">
      <c r="B27" t="s">
        <v>508</v>
      </c>
      <c r="C27">
        <v>170</v>
      </c>
      <c r="D27" t="s">
        <v>251</v>
      </c>
    </row>
    <row r="28" spans="2:80" x14ac:dyDescent="0.2">
      <c r="B28" t="s">
        <v>1074</v>
      </c>
      <c r="C28">
        <v>175</v>
      </c>
    </row>
    <row r="29" spans="2:80" x14ac:dyDescent="0.2">
      <c r="B29" t="s">
        <v>1243</v>
      </c>
      <c r="C29">
        <v>180</v>
      </c>
      <c r="D29" t="s">
        <v>251</v>
      </c>
    </row>
    <row r="30" spans="2:80" x14ac:dyDescent="0.2">
      <c r="B30" t="s">
        <v>419</v>
      </c>
      <c r="C30">
        <v>190</v>
      </c>
      <c r="D30" t="s">
        <v>248</v>
      </c>
    </row>
    <row r="33" spans="2:85" x14ac:dyDescent="0.2">
      <c r="D33" t="s">
        <v>25</v>
      </c>
      <c r="E33" t="s">
        <v>235</v>
      </c>
      <c r="F33" t="s">
        <v>236</v>
      </c>
    </row>
    <row r="34" spans="2:85" x14ac:dyDescent="0.2">
      <c r="B34" t="s">
        <v>131</v>
      </c>
      <c r="C34" t="s">
        <v>238</v>
      </c>
      <c r="E34" t="s">
        <v>239</v>
      </c>
      <c r="F34" t="s">
        <v>240</v>
      </c>
    </row>
    <row r="35" spans="2:85" x14ac:dyDescent="0.2">
      <c r="C35" t="s">
        <v>242</v>
      </c>
      <c r="E35" t="s">
        <v>243</v>
      </c>
      <c r="F35" t="s">
        <v>243</v>
      </c>
    </row>
    <row r="36" spans="2:85" x14ac:dyDescent="0.2">
      <c r="B36" t="s">
        <v>1039</v>
      </c>
      <c r="C36">
        <v>200</v>
      </c>
      <c r="D36" t="s">
        <v>248</v>
      </c>
      <c r="CB36">
        <f>IF(E36&lt;0,1,0)</f>
        <v>0</v>
      </c>
    </row>
    <row r="37" spans="2:85" x14ac:dyDescent="0.2">
      <c r="B37" t="s">
        <v>311</v>
      </c>
      <c r="C37">
        <v>210</v>
      </c>
      <c r="D37" t="s">
        <v>248</v>
      </c>
      <c r="CB37">
        <f>IF(E37&lt;0,1,0)</f>
        <v>0</v>
      </c>
    </row>
    <row r="38" spans="2:85" x14ac:dyDescent="0.2">
      <c r="B38" t="s">
        <v>340</v>
      </c>
      <c r="C38">
        <v>220</v>
      </c>
      <c r="D38" t="s">
        <v>248</v>
      </c>
    </row>
    <row r="42" spans="2:85" x14ac:dyDescent="0.2">
      <c r="D42" t="s">
        <v>25</v>
      </c>
      <c r="E42" t="s">
        <v>235</v>
      </c>
      <c r="F42" t="s">
        <v>236</v>
      </c>
      <c r="G42" t="s">
        <v>293</v>
      </c>
      <c r="H42" t="s">
        <v>294</v>
      </c>
    </row>
    <row r="43" spans="2:85" x14ac:dyDescent="0.2">
      <c r="E43" t="s">
        <v>510</v>
      </c>
      <c r="F43" t="s">
        <v>510</v>
      </c>
      <c r="G43" t="s">
        <v>522</v>
      </c>
      <c r="H43" t="s">
        <v>522</v>
      </c>
    </row>
    <row r="44" spans="2:85" x14ac:dyDescent="0.2">
      <c r="F44" t="s">
        <v>1247</v>
      </c>
      <c r="H44" t="s">
        <v>1247</v>
      </c>
    </row>
    <row r="45" spans="2:85" x14ac:dyDescent="0.2">
      <c r="E45" t="s">
        <v>1248</v>
      </c>
      <c r="F45" t="s">
        <v>1248</v>
      </c>
      <c r="G45" t="s">
        <v>1248</v>
      </c>
      <c r="H45" t="s">
        <v>1248</v>
      </c>
    </row>
    <row r="46" spans="2:85" x14ac:dyDescent="0.2">
      <c r="B46" t="s">
        <v>132</v>
      </c>
      <c r="C46" t="s">
        <v>238</v>
      </c>
    </row>
    <row r="47" spans="2:85" x14ac:dyDescent="0.2">
      <c r="C47" t="s">
        <v>242</v>
      </c>
      <c r="E47" t="s">
        <v>243</v>
      </c>
      <c r="F47" t="s">
        <v>243</v>
      </c>
      <c r="G47" t="s">
        <v>243</v>
      </c>
      <c r="H47" t="s">
        <v>243</v>
      </c>
      <c r="CC47" t="s">
        <v>1231</v>
      </c>
      <c r="CD47" t="s">
        <v>1249</v>
      </c>
      <c r="CE47" t="s">
        <v>1250</v>
      </c>
      <c r="CF47" t="s">
        <v>1249</v>
      </c>
      <c r="CG47" t="s">
        <v>1250</v>
      </c>
    </row>
    <row r="48" spans="2:85" x14ac:dyDescent="0.2">
      <c r="B48" t="s">
        <v>1251</v>
      </c>
      <c r="C48">
        <v>230</v>
      </c>
      <c r="D48" t="s">
        <v>248</v>
      </c>
      <c r="CB48">
        <f t="shared" ref="CB48:CB53" si="0">IF(OR(E48&lt;0,F48&lt;0,G48&lt;0,H48&lt;0),1,0)</f>
        <v>0</v>
      </c>
      <c r="CC48" t="s">
        <v>1252</v>
      </c>
    </row>
    <row r="49" spans="2:81" x14ac:dyDescent="0.2">
      <c r="B49" t="s">
        <v>1253</v>
      </c>
      <c r="C49">
        <v>240</v>
      </c>
      <c r="D49" t="s">
        <v>248</v>
      </c>
      <c r="CB49">
        <f t="shared" si="0"/>
        <v>0</v>
      </c>
      <c r="CC49" t="s">
        <v>1254</v>
      </c>
    </row>
    <row r="50" spans="2:81" x14ac:dyDescent="0.2">
      <c r="B50" t="s">
        <v>1255</v>
      </c>
      <c r="C50">
        <v>245</v>
      </c>
      <c r="D50" t="s">
        <v>248</v>
      </c>
      <c r="CB50">
        <f t="shared" si="0"/>
        <v>0</v>
      </c>
      <c r="CC50" t="s">
        <v>1256</v>
      </c>
    </row>
    <row r="51" spans="2:81" x14ac:dyDescent="0.2">
      <c r="B51" t="s">
        <v>1262</v>
      </c>
      <c r="C51">
        <v>250</v>
      </c>
      <c r="D51" t="s">
        <v>248</v>
      </c>
      <c r="CB51">
        <f t="shared" si="0"/>
        <v>0</v>
      </c>
      <c r="CC51" t="s">
        <v>1258</v>
      </c>
    </row>
    <row r="52" spans="2:81" x14ac:dyDescent="0.2">
      <c r="B52" t="s">
        <v>1259</v>
      </c>
      <c r="C52">
        <v>260</v>
      </c>
      <c r="D52" t="s">
        <v>248</v>
      </c>
      <c r="CB52">
        <f t="shared" si="0"/>
        <v>0</v>
      </c>
    </row>
    <row r="53" spans="2:81" x14ac:dyDescent="0.2">
      <c r="B53" t="s">
        <v>1260</v>
      </c>
      <c r="C53">
        <v>270</v>
      </c>
      <c r="D53" t="s">
        <v>248</v>
      </c>
      <c r="CB53">
        <f t="shared" si="0"/>
        <v>0</v>
      </c>
    </row>
    <row r="54" spans="2:81" x14ac:dyDescent="0.2">
      <c r="B54" t="s">
        <v>1261</v>
      </c>
      <c r="C54">
        <v>280</v>
      </c>
      <c r="D54" t="s">
        <v>248</v>
      </c>
    </row>
    <row r="55" spans="2:81" x14ac:dyDescent="0.2">
      <c r="B55" t="s">
        <v>1251</v>
      </c>
      <c r="C55">
        <v>290</v>
      </c>
      <c r="D55" t="s">
        <v>248</v>
      </c>
    </row>
    <row r="56" spans="2:81" x14ac:dyDescent="0.2">
      <c r="B56" t="s">
        <v>1253</v>
      </c>
      <c r="C56">
        <v>300</v>
      </c>
      <c r="D56" t="s">
        <v>248</v>
      </c>
    </row>
    <row r="57" spans="2:81" x14ac:dyDescent="0.2">
      <c r="B57" t="s">
        <v>2995</v>
      </c>
      <c r="C57">
        <v>305</v>
      </c>
      <c r="D57" t="s">
        <v>248</v>
      </c>
    </row>
    <row r="58" spans="2:81" x14ac:dyDescent="0.2">
      <c r="B58" t="s">
        <v>1262</v>
      </c>
      <c r="C58">
        <v>310</v>
      </c>
      <c r="D58" t="s">
        <v>248</v>
      </c>
    </row>
    <row r="59" spans="2:81" x14ac:dyDescent="0.2">
      <c r="B59" t="s">
        <v>1259</v>
      </c>
      <c r="C59">
        <v>320</v>
      </c>
      <c r="D59" t="s">
        <v>248</v>
      </c>
    </row>
    <row r="60" spans="2:81" x14ac:dyDescent="0.2">
      <c r="B60" t="s">
        <v>1260</v>
      </c>
      <c r="C60">
        <v>330</v>
      </c>
      <c r="D60" t="s">
        <v>248</v>
      </c>
    </row>
    <row r="61" spans="2:81" x14ac:dyDescent="0.2">
      <c r="B61" t="s">
        <v>1263</v>
      </c>
      <c r="C61">
        <v>340</v>
      </c>
      <c r="D61" t="s">
        <v>248</v>
      </c>
    </row>
    <row r="65" spans="2:86" x14ac:dyDescent="0.2">
      <c r="D65" t="s">
        <v>25</v>
      </c>
      <c r="E65" t="s">
        <v>235</v>
      </c>
      <c r="F65" t="s">
        <v>236</v>
      </c>
      <c r="G65" t="s">
        <v>293</v>
      </c>
      <c r="H65" t="s">
        <v>294</v>
      </c>
      <c r="I65" t="s">
        <v>295</v>
      </c>
      <c r="J65" t="s">
        <v>296</v>
      </c>
      <c r="K65" t="s">
        <v>342</v>
      </c>
      <c r="L65" t="s">
        <v>297</v>
      </c>
      <c r="M65" t="s">
        <v>298</v>
      </c>
      <c r="N65" t="s">
        <v>299</v>
      </c>
      <c r="O65" t="s">
        <v>360</v>
      </c>
      <c r="P65" t="s">
        <v>361</v>
      </c>
      <c r="Q65" t="s">
        <v>362</v>
      </c>
      <c r="S65" t="s">
        <v>577</v>
      </c>
      <c r="T65" t="s">
        <v>578</v>
      </c>
      <c r="U65" t="s">
        <v>579</v>
      </c>
    </row>
    <row r="66" spans="2:86" x14ac:dyDescent="0.2">
      <c r="B66" t="s">
        <v>1264</v>
      </c>
      <c r="C66" t="s">
        <v>238</v>
      </c>
      <c r="G66" t="s">
        <v>1005</v>
      </c>
      <c r="H66" t="s">
        <v>1006</v>
      </c>
      <c r="I66" t="s">
        <v>1007</v>
      </c>
      <c r="J66" t="s">
        <v>590</v>
      </c>
      <c r="K66" t="s">
        <v>1008</v>
      </c>
      <c r="L66" t="s">
        <v>1265</v>
      </c>
      <c r="M66" t="s">
        <v>1266</v>
      </c>
      <c r="N66" t="s">
        <v>1267</v>
      </c>
      <c r="O66" t="s">
        <v>599</v>
      </c>
      <c r="P66" t="s">
        <v>1268</v>
      </c>
      <c r="Q66" t="s">
        <v>1269</v>
      </c>
      <c r="S66" t="s">
        <v>1270</v>
      </c>
      <c r="T66" t="s">
        <v>1271</v>
      </c>
      <c r="U66" t="s">
        <v>1272</v>
      </c>
    </row>
    <row r="67" spans="2:86" x14ac:dyDescent="0.2">
      <c r="C67" t="s">
        <v>242</v>
      </c>
      <c r="I67" t="s">
        <v>243</v>
      </c>
      <c r="J67" t="s">
        <v>243</v>
      </c>
      <c r="K67" t="s">
        <v>243</v>
      </c>
      <c r="L67" t="s">
        <v>243</v>
      </c>
      <c r="M67" t="s">
        <v>243</v>
      </c>
      <c r="N67" t="s">
        <v>243</v>
      </c>
      <c r="O67" t="s">
        <v>243</v>
      </c>
      <c r="P67" t="s">
        <v>243</v>
      </c>
      <c r="Q67" t="s">
        <v>243</v>
      </c>
      <c r="S67" t="s">
        <v>243</v>
      </c>
      <c r="T67" t="s">
        <v>243</v>
      </c>
      <c r="U67" t="s">
        <v>243</v>
      </c>
    </row>
    <row r="68" spans="2:86" x14ac:dyDescent="0.2">
      <c r="B68" t="s">
        <v>1273</v>
      </c>
    </row>
    <row r="69" spans="2:86" x14ac:dyDescent="0.2">
      <c r="B69" t="s">
        <v>1274</v>
      </c>
      <c r="C69">
        <v>400</v>
      </c>
      <c r="D69" t="s">
        <v>248</v>
      </c>
      <c r="CH69" t="s">
        <v>510</v>
      </c>
    </row>
    <row r="70" spans="2:86" x14ac:dyDescent="0.2">
      <c r="B70" t="s">
        <v>1275</v>
      </c>
      <c r="C70">
        <v>410</v>
      </c>
      <c r="D70" t="s">
        <v>248</v>
      </c>
    </row>
    <row r="71" spans="2:86" x14ac:dyDescent="0.2">
      <c r="B71" t="s">
        <v>1276</v>
      </c>
      <c r="C71">
        <v>420</v>
      </c>
      <c r="D71" t="s">
        <v>248</v>
      </c>
      <c r="CH71">
        <f>IF(OR(G71-G72&lt;&gt;0,H71-H72&lt;&gt;0,I71-I72&lt;&gt;0,J71-J72&lt;&gt;0,L71-L72&lt;&gt;0,M71-M72&lt;&gt;0,N71-N72&lt;&gt;0,O71-O72&lt;&gt;0,P71-P72&lt;&gt;0,Q71-Q72&lt;&gt;0,S71-S72&lt;&gt;0,T71-T72&lt;&gt;0,U71-U72&lt;&gt;0),1,0)</f>
        <v>0</v>
      </c>
    </row>
    <row r="72" spans="2:86" x14ac:dyDescent="0.2">
      <c r="B72" t="s">
        <v>1277</v>
      </c>
      <c r="C72">
        <v>430</v>
      </c>
      <c r="D72" t="s">
        <v>248</v>
      </c>
    </row>
    <row r="73" spans="2:86" x14ac:dyDescent="0.2">
      <c r="B73" t="s">
        <v>1278</v>
      </c>
    </row>
    <row r="74" spans="2:86" x14ac:dyDescent="0.2">
      <c r="B74" t="s">
        <v>1279</v>
      </c>
      <c r="C74">
        <v>440</v>
      </c>
      <c r="D74" t="s">
        <v>248</v>
      </c>
      <c r="CH74" t="s">
        <v>522</v>
      </c>
    </row>
    <row r="75" spans="2:86" x14ac:dyDescent="0.2">
      <c r="B75" t="s">
        <v>1280</v>
      </c>
      <c r="C75">
        <v>450</v>
      </c>
      <c r="D75" t="s">
        <v>248</v>
      </c>
    </row>
    <row r="76" spans="2:86" x14ac:dyDescent="0.2">
      <c r="B76" t="s">
        <v>1281</v>
      </c>
      <c r="C76">
        <v>460</v>
      </c>
      <c r="D76" t="s">
        <v>248</v>
      </c>
      <c r="CH76">
        <f>IF(OR(G76-G77&lt;&gt;0,H76-H77&lt;&gt;0,I76-I77&lt;&gt;0,J76-J77&lt;&gt;0,L76-L77&lt;&gt;0,M76-M77&lt;&gt;0,N76-N77&lt;&gt;0,O76-O77&lt;&gt;0,P76-P77&lt;&gt;0,Q76-Q77&lt;&gt;0,S76-S77&lt;&gt;0,T76-T77&lt;&gt;0,U76-U77&lt;&gt;0),1,0)</f>
        <v>0</v>
      </c>
    </row>
    <row r="77" spans="2:86" x14ac:dyDescent="0.2">
      <c r="B77" t="s">
        <v>1282</v>
      </c>
      <c r="C77">
        <v>470</v>
      </c>
      <c r="D77" t="s">
        <v>248</v>
      </c>
    </row>
    <row r="81" spans="2:14" x14ac:dyDescent="0.2">
      <c r="D81" t="s">
        <v>25</v>
      </c>
      <c r="E81" t="s">
        <v>235</v>
      </c>
      <c r="F81" t="s">
        <v>236</v>
      </c>
    </row>
    <row r="82" spans="2:14" x14ac:dyDescent="0.2">
      <c r="B82" t="s">
        <v>1283</v>
      </c>
      <c r="C82" t="s">
        <v>238</v>
      </c>
      <c r="E82" t="s">
        <v>799</v>
      </c>
      <c r="F82" t="s">
        <v>240</v>
      </c>
    </row>
    <row r="83" spans="2:14" x14ac:dyDescent="0.2">
      <c r="C83" t="s">
        <v>242</v>
      </c>
      <c r="E83" t="s">
        <v>243</v>
      </c>
      <c r="F83" t="s">
        <v>243</v>
      </c>
    </row>
    <row r="84" spans="2:14" x14ac:dyDescent="0.2">
      <c r="B84" t="s">
        <v>1284</v>
      </c>
      <c r="C84">
        <v>600</v>
      </c>
      <c r="D84" t="s">
        <v>248</v>
      </c>
    </row>
    <row r="85" spans="2:14" x14ac:dyDescent="0.2">
      <c r="B85" t="s">
        <v>1285</v>
      </c>
      <c r="C85">
        <v>610</v>
      </c>
      <c r="D85" t="s">
        <v>245</v>
      </c>
    </row>
    <row r="89" spans="2:14" x14ac:dyDescent="0.2">
      <c r="D89" t="s">
        <v>25</v>
      </c>
      <c r="E89" t="s">
        <v>235</v>
      </c>
      <c r="F89" t="s">
        <v>236</v>
      </c>
      <c r="G89" t="s">
        <v>293</v>
      </c>
      <c r="H89" t="s">
        <v>294</v>
      </c>
      <c r="I89" t="s">
        <v>295</v>
      </c>
      <c r="J89" t="s">
        <v>296</v>
      </c>
      <c r="K89" t="s">
        <v>342</v>
      </c>
      <c r="L89" t="s">
        <v>297</v>
      </c>
      <c r="M89" t="s">
        <v>298</v>
      </c>
      <c r="N89" t="s">
        <v>299</v>
      </c>
    </row>
    <row r="90" spans="2:14" x14ac:dyDescent="0.2">
      <c r="B90" t="s">
        <v>133</v>
      </c>
      <c r="C90" t="s">
        <v>238</v>
      </c>
      <c r="E90" t="s">
        <v>1286</v>
      </c>
      <c r="F90" t="s">
        <v>1287</v>
      </c>
      <c r="G90" t="s">
        <v>1288</v>
      </c>
      <c r="H90" t="s">
        <v>1289</v>
      </c>
      <c r="I90" t="s">
        <v>1290</v>
      </c>
      <c r="J90" t="s">
        <v>352</v>
      </c>
      <c r="K90" t="s">
        <v>1291</v>
      </c>
      <c r="L90" t="s">
        <v>340</v>
      </c>
      <c r="M90" t="s">
        <v>1292</v>
      </c>
      <c r="N90" t="s">
        <v>1293</v>
      </c>
    </row>
    <row r="91" spans="2:14" x14ac:dyDescent="0.2">
      <c r="C91" t="s">
        <v>242</v>
      </c>
      <c r="E91" t="s">
        <v>243</v>
      </c>
      <c r="F91" t="s">
        <v>243</v>
      </c>
      <c r="G91" t="s">
        <v>243</v>
      </c>
      <c r="H91" t="s">
        <v>243</v>
      </c>
      <c r="I91" t="s">
        <v>243</v>
      </c>
      <c r="J91" t="s">
        <v>243</v>
      </c>
      <c r="K91" t="s">
        <v>243</v>
      </c>
      <c r="L91" t="s">
        <v>243</v>
      </c>
      <c r="M91" t="s">
        <v>243</v>
      </c>
      <c r="N91" t="s">
        <v>243</v>
      </c>
    </row>
    <row r="92" spans="2:14" x14ac:dyDescent="0.2">
      <c r="B92" t="s">
        <v>1033</v>
      </c>
      <c r="C92">
        <v>620</v>
      </c>
      <c r="D92" t="s">
        <v>248</v>
      </c>
    </row>
    <row r="93" spans="2:14" x14ac:dyDescent="0.2">
      <c r="B93" t="s">
        <v>304</v>
      </c>
      <c r="C93">
        <v>630</v>
      </c>
      <c r="D93" t="s">
        <v>251</v>
      </c>
    </row>
    <row r="94" spans="2:14" x14ac:dyDescent="0.2">
      <c r="B94" t="s">
        <v>303</v>
      </c>
      <c r="C94">
        <v>640</v>
      </c>
      <c r="D94" t="s">
        <v>251</v>
      </c>
    </row>
    <row r="95" spans="2:14" x14ac:dyDescent="0.2">
      <c r="B95" t="s">
        <v>387</v>
      </c>
      <c r="C95">
        <v>650</v>
      </c>
      <c r="D95" t="s">
        <v>251</v>
      </c>
    </row>
    <row r="96" spans="2:14" x14ac:dyDescent="0.2">
      <c r="B96" t="s">
        <v>389</v>
      </c>
      <c r="C96">
        <v>660</v>
      </c>
      <c r="D96" t="s">
        <v>251</v>
      </c>
    </row>
    <row r="97" spans="2:82" x14ac:dyDescent="0.2">
      <c r="B97" t="s">
        <v>391</v>
      </c>
      <c r="C97">
        <v>670</v>
      </c>
      <c r="D97" t="s">
        <v>251</v>
      </c>
    </row>
    <row r="98" spans="2:82" x14ac:dyDescent="0.2">
      <c r="B98" t="s">
        <v>401</v>
      </c>
      <c r="C98">
        <v>680</v>
      </c>
      <c r="D98" t="s">
        <v>251</v>
      </c>
    </row>
    <row r="99" spans="2:82" x14ac:dyDescent="0.2">
      <c r="B99" t="s">
        <v>402</v>
      </c>
      <c r="C99">
        <v>690</v>
      </c>
      <c r="D99" t="s">
        <v>251</v>
      </c>
    </row>
    <row r="100" spans="2:82" x14ac:dyDescent="0.2">
      <c r="B100" t="s">
        <v>292</v>
      </c>
      <c r="C100">
        <v>700</v>
      </c>
      <c r="D100" t="s">
        <v>248</v>
      </c>
      <c r="CB100">
        <f>IF(OR(E100&lt;0,F100&lt;0,G100&lt;0,H100&lt;0,I100&lt;0,J100&lt;0,M100&lt;0),1,0)</f>
        <v>0</v>
      </c>
      <c r="CD100" t="s">
        <v>1294</v>
      </c>
    </row>
    <row r="101" spans="2:82" x14ac:dyDescent="0.2">
      <c r="B101" t="s">
        <v>1295</v>
      </c>
      <c r="C101">
        <v>710</v>
      </c>
      <c r="D101" t="s">
        <v>245</v>
      </c>
      <c r="CA101">
        <f>IF(OR(E101&gt;0,F101&gt;0,G101&gt;0,H101&gt;0,I101&gt;0,J101&gt;0,L101&gt;0,M101&gt;0,N101&gt;0),1,0)</f>
        <v>0</v>
      </c>
    </row>
    <row r="102" spans="2:82" x14ac:dyDescent="0.2">
      <c r="B102" t="s">
        <v>1296</v>
      </c>
      <c r="C102">
        <v>720</v>
      </c>
      <c r="D102" t="s">
        <v>245</v>
      </c>
      <c r="CA102">
        <f>IF(OR(E102&gt;0,F102&gt;0,G102&gt;0,H102&gt;0,I102&gt;0,J102&gt;0,L102&gt;0,M102&gt;0,N102&gt;0),1,0)</f>
        <v>0</v>
      </c>
    </row>
    <row r="103" spans="2:82" x14ac:dyDescent="0.2">
      <c r="B103" t="s">
        <v>1297</v>
      </c>
      <c r="C103">
        <v>730</v>
      </c>
      <c r="D103" t="s">
        <v>248</v>
      </c>
      <c r="CB103">
        <f>IF(OR(E103&lt;0,F103&lt;0,G103&lt;0,H103&lt;0,I103&lt;0,J103&lt;0,M103&lt;0),1,0)</f>
        <v>0</v>
      </c>
    </row>
    <row r="104" spans="2:82" x14ac:dyDescent="0.2">
      <c r="B104" t="s">
        <v>1298</v>
      </c>
      <c r="C104">
        <v>735</v>
      </c>
      <c r="D104" t="s">
        <v>251</v>
      </c>
    </row>
    <row r="105" spans="2:82" x14ac:dyDescent="0.2">
      <c r="B105" t="s">
        <v>1299</v>
      </c>
      <c r="C105">
        <v>742</v>
      </c>
      <c r="D105" t="s">
        <v>245</v>
      </c>
      <c r="CA105">
        <f>IF(OR(E105&gt;0,F105&gt;0,G105&gt;0,H105&gt;0,I105&gt;0,J105&gt;0,L105&gt;0,M105&gt;0,N105&gt;0),1,0)</f>
        <v>0</v>
      </c>
    </row>
    <row r="106" spans="2:82" x14ac:dyDescent="0.2">
      <c r="B106" t="s">
        <v>1074</v>
      </c>
      <c r="C106">
        <v>745</v>
      </c>
      <c r="D106" t="s">
        <v>251</v>
      </c>
    </row>
    <row r="107" spans="2:82" x14ac:dyDescent="0.2">
      <c r="B107" t="s">
        <v>419</v>
      </c>
      <c r="C107">
        <v>750</v>
      </c>
      <c r="D107" t="s">
        <v>248</v>
      </c>
    </row>
    <row r="226" spans="2:82" x14ac:dyDescent="0.2">
      <c r="D226" t="s">
        <v>25</v>
      </c>
      <c r="E226" t="s">
        <v>235</v>
      </c>
      <c r="F226" t="s">
        <v>236</v>
      </c>
      <c r="G226" t="s">
        <v>293</v>
      </c>
      <c r="H226" t="s">
        <v>294</v>
      </c>
      <c r="I226" t="s">
        <v>295</v>
      </c>
      <c r="J226" t="s">
        <v>296</v>
      </c>
      <c r="K226" t="s">
        <v>342</v>
      </c>
      <c r="L226" t="s">
        <v>297</v>
      </c>
      <c r="M226" t="s">
        <v>298</v>
      </c>
      <c r="N226" t="s">
        <v>299</v>
      </c>
      <c r="O226" t="s">
        <v>360</v>
      </c>
      <c r="BC226" t="s">
        <v>237</v>
      </c>
    </row>
    <row r="227" spans="2:82" x14ac:dyDescent="0.2">
      <c r="B227" t="s">
        <v>1300</v>
      </c>
      <c r="C227" t="s">
        <v>238</v>
      </c>
      <c r="E227" t="s">
        <v>1040</v>
      </c>
      <c r="F227" t="s">
        <v>1120</v>
      </c>
      <c r="G227" t="s">
        <v>1042</v>
      </c>
      <c r="H227" t="s">
        <v>1301</v>
      </c>
      <c r="I227" t="s">
        <v>1302</v>
      </c>
      <c r="J227" t="s">
        <v>1303</v>
      </c>
      <c r="K227" t="s">
        <v>1123</v>
      </c>
      <c r="L227" t="s">
        <v>1124</v>
      </c>
      <c r="M227" t="s">
        <v>311</v>
      </c>
      <c r="N227" t="s">
        <v>192</v>
      </c>
      <c r="O227" t="s">
        <v>340</v>
      </c>
      <c r="BC227" t="s">
        <v>241</v>
      </c>
    </row>
    <row r="228" spans="2:82" x14ac:dyDescent="0.2">
      <c r="C228" t="s">
        <v>242</v>
      </c>
      <c r="E228" t="s">
        <v>243</v>
      </c>
      <c r="F228" t="s">
        <v>243</v>
      </c>
      <c r="G228" t="s">
        <v>243</v>
      </c>
      <c r="H228" t="s">
        <v>243</v>
      </c>
      <c r="I228" t="s">
        <v>243</v>
      </c>
      <c r="J228" t="s">
        <v>243</v>
      </c>
      <c r="K228" t="s">
        <v>243</v>
      </c>
      <c r="L228" t="s">
        <v>243</v>
      </c>
      <c r="M228" t="s">
        <v>243</v>
      </c>
      <c r="N228" t="s">
        <v>243</v>
      </c>
      <c r="O228" t="s">
        <v>243</v>
      </c>
      <c r="BC228" t="s">
        <v>243</v>
      </c>
    </row>
    <row r="229" spans="2:82" x14ac:dyDescent="0.2">
      <c r="B229" t="s">
        <v>1033</v>
      </c>
      <c r="C229">
        <v>800</v>
      </c>
      <c r="D229" t="s">
        <v>248</v>
      </c>
      <c r="CD229" t="s">
        <v>1062</v>
      </c>
    </row>
    <row r="230" spans="2:82" x14ac:dyDescent="0.2">
      <c r="B230" t="s">
        <v>304</v>
      </c>
      <c r="C230">
        <v>810</v>
      </c>
      <c r="D230" t="s">
        <v>251</v>
      </c>
      <c r="CD230">
        <f>SUM(O237+O242)</f>
        <v>0</v>
      </c>
    </row>
    <row r="231" spans="2:82" x14ac:dyDescent="0.2">
      <c r="B231" t="s">
        <v>303</v>
      </c>
      <c r="C231">
        <v>820</v>
      </c>
      <c r="D231" t="s">
        <v>248</v>
      </c>
    </row>
    <row r="232" spans="2:82" x14ac:dyDescent="0.2">
      <c r="B232" t="s">
        <v>387</v>
      </c>
      <c r="C232">
        <v>830</v>
      </c>
      <c r="D232" t="s">
        <v>251</v>
      </c>
    </row>
    <row r="233" spans="2:82" x14ac:dyDescent="0.2">
      <c r="B233" t="s">
        <v>389</v>
      </c>
      <c r="C233">
        <v>840</v>
      </c>
      <c r="D233" t="s">
        <v>251</v>
      </c>
    </row>
    <row r="234" spans="2:82" x14ac:dyDescent="0.2">
      <c r="B234" t="s">
        <v>391</v>
      </c>
      <c r="C234">
        <v>850</v>
      </c>
      <c r="D234" t="s">
        <v>251</v>
      </c>
    </row>
    <row r="235" spans="2:82" x14ac:dyDescent="0.2">
      <c r="B235" t="s">
        <v>401</v>
      </c>
      <c r="C235">
        <v>860</v>
      </c>
      <c r="D235" t="s">
        <v>251</v>
      </c>
    </row>
    <row r="236" spans="2:82" x14ac:dyDescent="0.2">
      <c r="B236" t="s">
        <v>402</v>
      </c>
      <c r="C236">
        <v>870</v>
      </c>
      <c r="D236" t="s">
        <v>248</v>
      </c>
    </row>
    <row r="237" spans="2:82" x14ac:dyDescent="0.2">
      <c r="B237" t="s">
        <v>1304</v>
      </c>
      <c r="C237">
        <v>880</v>
      </c>
      <c r="D237" t="s">
        <v>248</v>
      </c>
    </row>
    <row r="238" spans="2:82" x14ac:dyDescent="0.2">
      <c r="B238" t="s">
        <v>1305</v>
      </c>
      <c r="C238">
        <v>890</v>
      </c>
      <c r="D238" t="s">
        <v>245</v>
      </c>
      <c r="CA238">
        <f>IF(OR(E238&gt;0,F238&gt;0,G238&gt;0,H238&gt;0,I238&gt;0,J238&gt;0,K238&gt;0,L238&gt;0,M238&gt;0),1,0)</f>
        <v>0</v>
      </c>
    </row>
    <row r="239" spans="2:82" x14ac:dyDescent="0.2">
      <c r="B239" t="s">
        <v>1306</v>
      </c>
      <c r="C239">
        <v>900</v>
      </c>
      <c r="D239" t="s">
        <v>245</v>
      </c>
      <c r="CA239">
        <f>IF(OR(E239&gt;0,F239&gt;0,G239&gt;0,H239&gt;0,I239&gt;0,J239&gt;0,K239&gt;0,L239&gt;0,M239&gt;0),1,0)</f>
        <v>0</v>
      </c>
    </row>
    <row r="240" spans="2:82" x14ac:dyDescent="0.2">
      <c r="B240" t="s">
        <v>1307</v>
      </c>
      <c r="C240">
        <v>910</v>
      </c>
      <c r="D240" t="s">
        <v>248</v>
      </c>
    </row>
    <row r="241" spans="2:79" x14ac:dyDescent="0.2">
      <c r="B241" t="s">
        <v>1308</v>
      </c>
      <c r="C241">
        <v>915</v>
      </c>
      <c r="D241" t="s">
        <v>251</v>
      </c>
    </row>
    <row r="242" spans="2:79" x14ac:dyDescent="0.2">
      <c r="B242" t="s">
        <v>1309</v>
      </c>
      <c r="C242">
        <v>920</v>
      </c>
      <c r="D242" t="s">
        <v>245</v>
      </c>
      <c r="CA242">
        <f>IF(OR(E242&gt;0,F242&gt;0,G242&gt;0,H242&gt;0,I242&gt;0,J242&gt;0,K242&gt;0,L242&gt;0,M242&gt;0),1,0)</f>
        <v>0</v>
      </c>
    </row>
    <row r="243" spans="2:79" x14ac:dyDescent="0.2">
      <c r="B243" t="s">
        <v>1310</v>
      </c>
      <c r="C243">
        <v>930</v>
      </c>
      <c r="D243" t="s">
        <v>245</v>
      </c>
      <c r="CA243">
        <f>IF(OR(E243&gt;0,F243&gt;0,G243&gt;0,H243&gt;0,I243&gt;0,J243&gt;0,K243&gt;0,L243&gt;0,M243&gt;0),1,0)</f>
        <v>0</v>
      </c>
    </row>
    <row r="244" spans="2:79" x14ac:dyDescent="0.2">
      <c r="B244" t="s">
        <v>1074</v>
      </c>
      <c r="C244">
        <v>940</v>
      </c>
      <c r="D244" t="s">
        <v>251</v>
      </c>
    </row>
    <row r="245" spans="2:79" x14ac:dyDescent="0.2">
      <c r="B245" t="s">
        <v>1068</v>
      </c>
      <c r="C245">
        <v>945</v>
      </c>
      <c r="D245" t="s">
        <v>251</v>
      </c>
    </row>
    <row r="246" spans="2:79" x14ac:dyDescent="0.2">
      <c r="B246" t="s">
        <v>1311</v>
      </c>
      <c r="C246">
        <v>950</v>
      </c>
      <c r="D246" t="s">
        <v>248</v>
      </c>
    </row>
    <row r="247" spans="2:79" x14ac:dyDescent="0.2">
      <c r="B247" t="s">
        <v>1312</v>
      </c>
      <c r="C247">
        <v>960</v>
      </c>
      <c r="D247" t="s">
        <v>245</v>
      </c>
      <c r="CA247">
        <f>IF(OR(E247&gt;0,F247&gt;0,G247&gt;0,H247&gt;0,I247&gt;0,J247&gt;0,K247&gt;0,L247&gt;0,M247&gt;0),1,0)</f>
        <v>0</v>
      </c>
    </row>
    <row r="248" spans="2:79" x14ac:dyDescent="0.2">
      <c r="B248" t="s">
        <v>1313</v>
      </c>
      <c r="C248">
        <v>970</v>
      </c>
      <c r="D248" t="s">
        <v>248</v>
      </c>
    </row>
    <row r="249" spans="2:79" x14ac:dyDescent="0.2">
      <c r="B249" t="s">
        <v>304</v>
      </c>
      <c r="C249">
        <v>980</v>
      </c>
      <c r="D249" t="s">
        <v>251</v>
      </c>
    </row>
    <row r="250" spans="2:79" x14ac:dyDescent="0.2">
      <c r="B250" t="s">
        <v>303</v>
      </c>
      <c r="C250">
        <v>990</v>
      </c>
      <c r="D250" t="s">
        <v>248</v>
      </c>
    </row>
    <row r="251" spans="2:79" x14ac:dyDescent="0.2">
      <c r="B251" t="s">
        <v>387</v>
      </c>
      <c r="C251">
        <v>1000</v>
      </c>
      <c r="D251" t="s">
        <v>251</v>
      </c>
    </row>
    <row r="252" spans="2:79" x14ac:dyDescent="0.2">
      <c r="B252" t="s">
        <v>1170</v>
      </c>
      <c r="C252">
        <v>1010</v>
      </c>
      <c r="D252" t="s">
        <v>248</v>
      </c>
    </row>
    <row r="253" spans="2:79" x14ac:dyDescent="0.2">
      <c r="B253" t="s">
        <v>389</v>
      </c>
      <c r="C253">
        <v>1020</v>
      </c>
      <c r="D253" t="s">
        <v>251</v>
      </c>
    </row>
    <row r="254" spans="2:79" x14ac:dyDescent="0.2">
      <c r="B254" t="s">
        <v>390</v>
      </c>
      <c r="C254">
        <v>1030</v>
      </c>
      <c r="D254" t="s">
        <v>251</v>
      </c>
    </row>
    <row r="255" spans="2:79" x14ac:dyDescent="0.2">
      <c r="B255" t="s">
        <v>391</v>
      </c>
      <c r="C255">
        <v>1040</v>
      </c>
      <c r="D255" t="s">
        <v>248</v>
      </c>
    </row>
    <row r="256" spans="2:79" x14ac:dyDescent="0.2">
      <c r="B256" t="s">
        <v>1304</v>
      </c>
      <c r="C256">
        <v>1050</v>
      </c>
      <c r="D256" t="s">
        <v>248</v>
      </c>
    </row>
    <row r="257" spans="2:4" x14ac:dyDescent="0.2">
      <c r="B257" t="s">
        <v>1305</v>
      </c>
      <c r="C257">
        <v>1060</v>
      </c>
      <c r="D257" t="s">
        <v>245</v>
      </c>
    </row>
    <row r="258" spans="2:4" x14ac:dyDescent="0.2">
      <c r="B258" t="s">
        <v>1306</v>
      </c>
      <c r="C258">
        <v>1070</v>
      </c>
      <c r="D258" t="s">
        <v>245</v>
      </c>
    </row>
    <row r="259" spans="2:4" x14ac:dyDescent="0.2">
      <c r="B259" t="s">
        <v>1307</v>
      </c>
      <c r="C259">
        <v>1080</v>
      </c>
      <c r="D259" t="s">
        <v>248</v>
      </c>
    </row>
    <row r="260" spans="2:4" x14ac:dyDescent="0.2">
      <c r="B260" t="s">
        <v>1309</v>
      </c>
      <c r="C260">
        <v>1090</v>
      </c>
      <c r="D260" t="s">
        <v>245</v>
      </c>
    </row>
    <row r="261" spans="2:4" x14ac:dyDescent="0.2">
      <c r="B261" t="s">
        <v>1310</v>
      </c>
      <c r="C261">
        <v>1100</v>
      </c>
      <c r="D261" t="s">
        <v>245</v>
      </c>
    </row>
    <row r="262" spans="2:4" x14ac:dyDescent="0.2">
      <c r="B262" t="s">
        <v>2990</v>
      </c>
      <c r="C262">
        <v>1110</v>
      </c>
      <c r="D262" t="s">
        <v>251</v>
      </c>
    </row>
    <row r="263" spans="2:4" x14ac:dyDescent="0.2">
      <c r="B263" t="s">
        <v>1068</v>
      </c>
      <c r="C263">
        <v>1120</v>
      </c>
      <c r="D263" t="s">
        <v>251</v>
      </c>
    </row>
    <row r="264" spans="2:4" x14ac:dyDescent="0.2">
      <c r="B264" t="s">
        <v>1263</v>
      </c>
      <c r="C264">
        <v>1130</v>
      </c>
      <c r="D264" t="s">
        <v>248</v>
      </c>
    </row>
    <row r="265" spans="2:4" x14ac:dyDescent="0.2">
      <c r="B265" t="s">
        <v>2996</v>
      </c>
      <c r="C265">
        <v>1140</v>
      </c>
      <c r="D265" t="s">
        <v>245</v>
      </c>
    </row>
  </sheetData>
  <sheetProtection sheet="1" objects="1" scenarios="1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CG293"/>
  <sheetViews>
    <sheetView zoomScale="70" zoomScaleNormal="70" workbookViewId="0"/>
  </sheetViews>
  <sheetFormatPr defaultRowHeight="12.75" x14ac:dyDescent="0.2"/>
  <sheetData>
    <row r="1" spans="1:85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5" x14ac:dyDescent="0.2">
      <c r="A2" t="s">
        <v>3727</v>
      </c>
    </row>
    <row r="3" spans="1:85" x14ac:dyDescent="0.2">
      <c r="A3" t="s">
        <v>3772</v>
      </c>
    </row>
    <row r="4" spans="1:85" x14ac:dyDescent="0.2">
      <c r="B4" t="s">
        <v>1315</v>
      </c>
    </row>
    <row r="5" spans="1:85" x14ac:dyDescent="0.2">
      <c r="B5" t="s">
        <v>66</v>
      </c>
      <c r="CA5" t="s">
        <v>230</v>
      </c>
      <c r="CB5">
        <f>0</f>
        <v>0</v>
      </c>
    </row>
    <row r="6" spans="1:85" x14ac:dyDescent="0.2">
      <c r="CA6" t="s">
        <v>231</v>
      </c>
      <c r="CB6" t="s">
        <v>232</v>
      </c>
      <c r="CC6" t="s">
        <v>1316</v>
      </c>
      <c r="CE6" t="s">
        <v>1317</v>
      </c>
      <c r="CF6" t="s">
        <v>1318</v>
      </c>
      <c r="CG6" t="s">
        <v>1319</v>
      </c>
    </row>
    <row r="7" spans="1:85" x14ac:dyDescent="0.2">
      <c r="CA7">
        <f>SUM(CA11:CA143)</f>
        <v>0</v>
      </c>
      <c r="CB7">
        <f>SUM(CB11:CB143)</f>
        <v>0</v>
      </c>
      <c r="CG7">
        <f>SUM(CG11:CG143)</f>
        <v>0</v>
      </c>
    </row>
    <row r="24" spans="2:85" x14ac:dyDescent="0.2">
      <c r="E24" t="s">
        <v>1320</v>
      </c>
      <c r="T24" t="s">
        <v>1321</v>
      </c>
      <c r="AC24" t="s">
        <v>1322</v>
      </c>
    </row>
    <row r="25" spans="2:85" x14ac:dyDescent="0.2">
      <c r="D25" t="s">
        <v>25</v>
      </c>
      <c r="E25" t="s">
        <v>235</v>
      </c>
      <c r="F25" t="s">
        <v>236</v>
      </c>
      <c r="G25" t="s">
        <v>293</v>
      </c>
      <c r="H25" t="s">
        <v>294</v>
      </c>
      <c r="I25" t="s">
        <v>298</v>
      </c>
      <c r="R25" t="s">
        <v>576</v>
      </c>
      <c r="S25" t="s">
        <v>577</v>
      </c>
      <c r="T25" t="s">
        <v>578</v>
      </c>
      <c r="U25" t="s">
        <v>579</v>
      </c>
      <c r="V25" t="s">
        <v>580</v>
      </c>
      <c r="AC25" t="s">
        <v>825</v>
      </c>
      <c r="AD25" t="s">
        <v>826</v>
      </c>
      <c r="AE25" t="s">
        <v>827</v>
      </c>
      <c r="AF25" t="s">
        <v>828</v>
      </c>
      <c r="AG25" t="s">
        <v>829</v>
      </c>
      <c r="AH25" t="s">
        <v>830</v>
      </c>
      <c r="AI25" t="s">
        <v>831</v>
      </c>
      <c r="AJ25" t="s">
        <v>1323</v>
      </c>
      <c r="AK25" t="s">
        <v>1324</v>
      </c>
      <c r="AL25" t="s">
        <v>1325</v>
      </c>
      <c r="AM25" t="s">
        <v>1326</v>
      </c>
      <c r="BC25" t="s">
        <v>237</v>
      </c>
    </row>
    <row r="26" spans="2:85" x14ac:dyDescent="0.2">
      <c r="B26" t="s">
        <v>1327</v>
      </c>
      <c r="C26" t="s">
        <v>238</v>
      </c>
      <c r="E26" t="s">
        <v>799</v>
      </c>
      <c r="F26" t="s">
        <v>1328</v>
      </c>
      <c r="G26" t="s">
        <v>1329</v>
      </c>
      <c r="H26" t="s">
        <v>302</v>
      </c>
      <c r="R26" t="s">
        <v>1330</v>
      </c>
      <c r="S26" t="s">
        <v>387</v>
      </c>
      <c r="T26" t="s">
        <v>303</v>
      </c>
      <c r="U26" t="s">
        <v>304</v>
      </c>
      <c r="V26" t="s">
        <v>1033</v>
      </c>
      <c r="AC26" t="s">
        <v>1005</v>
      </c>
      <c r="AD26" t="s">
        <v>1006</v>
      </c>
      <c r="AE26" t="s">
        <v>1007</v>
      </c>
      <c r="AF26" t="s">
        <v>590</v>
      </c>
      <c r="AG26" t="s">
        <v>1008</v>
      </c>
      <c r="AH26" t="s">
        <v>1265</v>
      </c>
      <c r="AI26" t="s">
        <v>1266</v>
      </c>
      <c r="AJ26" t="s">
        <v>1267</v>
      </c>
      <c r="AK26" t="s">
        <v>599</v>
      </c>
      <c r="AL26" t="s">
        <v>1268</v>
      </c>
      <c r="AM26" t="s">
        <v>1269</v>
      </c>
      <c r="BC26" t="s">
        <v>241</v>
      </c>
    </row>
    <row r="27" spans="2:85" x14ac:dyDescent="0.2">
      <c r="C27" t="s">
        <v>242</v>
      </c>
      <c r="E27" t="s">
        <v>243</v>
      </c>
      <c r="F27" t="s">
        <v>243</v>
      </c>
      <c r="G27" t="s">
        <v>243</v>
      </c>
      <c r="H27" t="s">
        <v>243</v>
      </c>
      <c r="I27" t="s">
        <v>243</v>
      </c>
      <c r="R27" t="s">
        <v>243</v>
      </c>
      <c r="S27" t="s">
        <v>243</v>
      </c>
      <c r="T27" t="s">
        <v>243</v>
      </c>
      <c r="U27" t="s">
        <v>243</v>
      </c>
      <c r="V27" t="s">
        <v>243</v>
      </c>
      <c r="AC27" t="s">
        <v>243</v>
      </c>
      <c r="AD27" t="s">
        <v>243</v>
      </c>
      <c r="AE27" t="s">
        <v>243</v>
      </c>
      <c r="AF27" t="s">
        <v>243</v>
      </c>
      <c r="AG27" t="s">
        <v>243</v>
      </c>
      <c r="AH27" t="s">
        <v>243</v>
      </c>
      <c r="AI27" t="s">
        <v>243</v>
      </c>
      <c r="AJ27" t="s">
        <v>243</v>
      </c>
      <c r="AK27" t="s">
        <v>243</v>
      </c>
      <c r="AL27" t="s">
        <v>243</v>
      </c>
      <c r="AM27" t="s">
        <v>243</v>
      </c>
      <c r="BC27" t="s">
        <v>243</v>
      </c>
    </row>
    <row r="28" spans="2:85" x14ac:dyDescent="0.2">
      <c r="B28" t="s">
        <v>1248</v>
      </c>
    </row>
    <row r="29" spans="2:85" x14ac:dyDescent="0.2">
      <c r="B29" t="s">
        <v>1331</v>
      </c>
      <c r="C29">
        <v>200</v>
      </c>
      <c r="D29" t="s">
        <v>248</v>
      </c>
      <c r="E29">
        <f>SUM(AC29:AM29)</f>
        <v>0</v>
      </c>
      <c r="F29">
        <f t="shared" ref="F29:F41" si="0">SUM(G29:V29)</f>
        <v>0</v>
      </c>
      <c r="BC29">
        <f t="shared" ref="BC29:BC41" si="1">E29</f>
        <v>0</v>
      </c>
      <c r="CB29">
        <f t="shared" ref="CB29:CB34" si="2">IF(E29&lt;0,1,0)</f>
        <v>0</v>
      </c>
      <c r="CG29">
        <f t="shared" ref="CG29:CG34" si="3">IF(SUM(AE29:AM29)&lt;=E29,0,1)</f>
        <v>0</v>
      </c>
    </row>
    <row r="30" spans="2:85" x14ac:dyDescent="0.2">
      <c r="B30" t="s">
        <v>1332</v>
      </c>
      <c r="C30">
        <v>210</v>
      </c>
      <c r="D30" t="s">
        <v>248</v>
      </c>
      <c r="E30">
        <f>SUM(E228+E231+E234)</f>
        <v>0</v>
      </c>
      <c r="F30">
        <f t="shared" si="0"/>
        <v>0</v>
      </c>
      <c r="H30">
        <f>SUM(H228+H231+H234)</f>
        <v>0</v>
      </c>
      <c r="AC30">
        <f t="shared" ref="AC30:AM30" si="4">SUM(AC228+AC231+AC234)</f>
        <v>0</v>
      </c>
      <c r="AD30">
        <f t="shared" si="4"/>
        <v>0</v>
      </c>
      <c r="AE30">
        <f t="shared" si="4"/>
        <v>0</v>
      </c>
      <c r="AF30">
        <f t="shared" si="4"/>
        <v>0</v>
      </c>
      <c r="AG30">
        <f t="shared" si="4"/>
        <v>0</v>
      </c>
      <c r="AH30">
        <f t="shared" si="4"/>
        <v>0</v>
      </c>
      <c r="AI30">
        <f t="shared" si="4"/>
        <v>0</v>
      </c>
      <c r="AJ30">
        <f t="shared" si="4"/>
        <v>0</v>
      </c>
      <c r="AK30">
        <f t="shared" si="4"/>
        <v>0</v>
      </c>
      <c r="AL30">
        <f t="shared" si="4"/>
        <v>0</v>
      </c>
      <c r="AM30">
        <f t="shared" si="4"/>
        <v>0</v>
      </c>
      <c r="BC30">
        <f t="shared" si="1"/>
        <v>0</v>
      </c>
      <c r="CB30">
        <f t="shared" si="2"/>
        <v>0</v>
      </c>
      <c r="CE30">
        <f>SUM(E29+E30+E31+E44+E45+E46)</f>
        <v>0</v>
      </c>
      <c r="CG30">
        <f t="shared" si="3"/>
        <v>0</v>
      </c>
    </row>
    <row r="31" spans="2:85" x14ac:dyDescent="0.2">
      <c r="B31" t="s">
        <v>1333</v>
      </c>
      <c r="C31">
        <v>220</v>
      </c>
      <c r="D31" t="s">
        <v>248</v>
      </c>
      <c r="E31">
        <f>SUM(E261+E264)</f>
        <v>0</v>
      </c>
      <c r="F31">
        <f t="shared" si="0"/>
        <v>0</v>
      </c>
      <c r="H31">
        <f>SUM(H261+H264)</f>
        <v>0</v>
      </c>
      <c r="AC31">
        <f t="shared" ref="AC31:AM31" si="5">SUM(AC261+AC264)</f>
        <v>0</v>
      </c>
      <c r="AD31">
        <f t="shared" si="5"/>
        <v>0</v>
      </c>
      <c r="AE31">
        <f t="shared" si="5"/>
        <v>0</v>
      </c>
      <c r="AF31">
        <f t="shared" si="5"/>
        <v>0</v>
      </c>
      <c r="AG31">
        <f t="shared" si="5"/>
        <v>0</v>
      </c>
      <c r="AH31">
        <f t="shared" si="5"/>
        <v>0</v>
      </c>
      <c r="AI31">
        <f t="shared" si="5"/>
        <v>0</v>
      </c>
      <c r="AJ31">
        <f t="shared" si="5"/>
        <v>0</v>
      </c>
      <c r="AK31">
        <f t="shared" si="5"/>
        <v>0</v>
      </c>
      <c r="AL31">
        <f t="shared" si="5"/>
        <v>0</v>
      </c>
      <c r="AM31">
        <f t="shared" si="5"/>
        <v>0</v>
      </c>
      <c r="BC31">
        <f t="shared" si="1"/>
        <v>0</v>
      </c>
      <c r="CB31">
        <f t="shared" si="2"/>
        <v>0</v>
      </c>
      <c r="CG31">
        <f t="shared" si="3"/>
        <v>0</v>
      </c>
    </row>
    <row r="32" spans="2:85" x14ac:dyDescent="0.2">
      <c r="B32" t="s">
        <v>1334</v>
      </c>
      <c r="C32">
        <v>230</v>
      </c>
      <c r="D32" t="s">
        <v>248</v>
      </c>
      <c r="F32">
        <f t="shared" si="0"/>
        <v>0</v>
      </c>
      <c r="BC32">
        <f t="shared" si="1"/>
        <v>0</v>
      </c>
      <c r="CB32">
        <f t="shared" si="2"/>
        <v>0</v>
      </c>
      <c r="CG32">
        <f t="shared" si="3"/>
        <v>0</v>
      </c>
    </row>
    <row r="33" spans="2:85" x14ac:dyDescent="0.2">
      <c r="B33" t="s">
        <v>1335</v>
      </c>
      <c r="C33">
        <v>240</v>
      </c>
      <c r="D33" t="s">
        <v>248</v>
      </c>
      <c r="E33">
        <f>SUM(E229+E232+E235)</f>
        <v>0</v>
      </c>
      <c r="F33">
        <f t="shared" si="0"/>
        <v>0</v>
      </c>
      <c r="H33">
        <f>SUM(H229+H232+H235)</f>
        <v>0</v>
      </c>
      <c r="AC33">
        <f t="shared" ref="AC33:AM33" si="6">SUM(AC229+AC232+AC235)</f>
        <v>0</v>
      </c>
      <c r="AD33">
        <f t="shared" si="6"/>
        <v>0</v>
      </c>
      <c r="AE33">
        <f t="shared" si="6"/>
        <v>0</v>
      </c>
      <c r="AF33">
        <f t="shared" si="6"/>
        <v>0</v>
      </c>
      <c r="AG33">
        <f t="shared" si="6"/>
        <v>0</v>
      </c>
      <c r="AH33">
        <f t="shared" si="6"/>
        <v>0</v>
      </c>
      <c r="AI33">
        <f t="shared" si="6"/>
        <v>0</v>
      </c>
      <c r="AJ33">
        <f t="shared" si="6"/>
        <v>0</v>
      </c>
      <c r="AK33">
        <f t="shared" si="6"/>
        <v>0</v>
      </c>
      <c r="AL33">
        <f t="shared" si="6"/>
        <v>0</v>
      </c>
      <c r="AM33">
        <f t="shared" si="6"/>
        <v>0</v>
      </c>
      <c r="BC33">
        <f t="shared" si="1"/>
        <v>0</v>
      </c>
      <c r="CB33">
        <f t="shared" si="2"/>
        <v>0</v>
      </c>
      <c r="CF33">
        <f>E30+E33+E45+E48-V30-V33-V45-V48</f>
        <v>0</v>
      </c>
      <c r="CG33">
        <f t="shared" si="3"/>
        <v>0</v>
      </c>
    </row>
    <row r="34" spans="2:85" x14ac:dyDescent="0.2">
      <c r="B34" t="s">
        <v>1336</v>
      </c>
      <c r="C34">
        <v>250</v>
      </c>
      <c r="D34" t="s">
        <v>248</v>
      </c>
      <c r="E34">
        <f>SUM(E262+E265)</f>
        <v>0</v>
      </c>
      <c r="F34">
        <f t="shared" si="0"/>
        <v>0</v>
      </c>
      <c r="H34">
        <f>SUM(H262+H265)</f>
        <v>0</v>
      </c>
      <c r="V34">
        <f>SUM(V262+V265)</f>
        <v>0</v>
      </c>
      <c r="AC34">
        <f t="shared" ref="AC34:AM34" si="7">SUM(AC262+AC265)</f>
        <v>0</v>
      </c>
      <c r="AD34">
        <f t="shared" si="7"/>
        <v>0</v>
      </c>
      <c r="AE34">
        <f t="shared" si="7"/>
        <v>0</v>
      </c>
      <c r="AF34">
        <f t="shared" si="7"/>
        <v>0</v>
      </c>
      <c r="AG34">
        <f t="shared" si="7"/>
        <v>0</v>
      </c>
      <c r="AH34">
        <f t="shared" si="7"/>
        <v>0</v>
      </c>
      <c r="AI34">
        <f t="shared" si="7"/>
        <v>0</v>
      </c>
      <c r="AJ34">
        <f t="shared" si="7"/>
        <v>0</v>
      </c>
      <c r="AK34">
        <f t="shared" si="7"/>
        <v>0</v>
      </c>
      <c r="AL34">
        <f t="shared" si="7"/>
        <v>0</v>
      </c>
      <c r="AM34">
        <f t="shared" si="7"/>
        <v>0</v>
      </c>
      <c r="BC34">
        <f t="shared" si="1"/>
        <v>0</v>
      </c>
      <c r="CB34">
        <f t="shared" si="2"/>
        <v>0</v>
      </c>
      <c r="CC34">
        <f>SUM(E35+E50)</f>
        <v>0</v>
      </c>
      <c r="CG34">
        <f t="shared" si="3"/>
        <v>0</v>
      </c>
    </row>
    <row r="35" spans="2:85" x14ac:dyDescent="0.2">
      <c r="B35" t="s">
        <v>1338</v>
      </c>
      <c r="C35">
        <v>260</v>
      </c>
      <c r="D35" t="s">
        <v>245</v>
      </c>
      <c r="F35">
        <f t="shared" si="0"/>
        <v>0</v>
      </c>
      <c r="BC35">
        <f t="shared" si="1"/>
        <v>0</v>
      </c>
      <c r="CA35">
        <f>IF(OR(E35&gt;0,AE35&gt;0,AF35&gt;0,AG35&gt;0,AH35&gt;0,AI35&gt;0,AJ35&gt;0,AK35&gt;0,AL35&gt;0,AM35&gt;0),1,0)</f>
        <v>0</v>
      </c>
      <c r="CG35">
        <f>IF(SUM(AE35:AM35)&gt;=E35,0,1)</f>
        <v>0</v>
      </c>
    </row>
    <row r="36" spans="2:85" x14ac:dyDescent="0.2">
      <c r="B36" t="s">
        <v>1339</v>
      </c>
      <c r="C36">
        <v>270</v>
      </c>
      <c r="D36" t="s">
        <v>248</v>
      </c>
      <c r="F36">
        <f t="shared" si="0"/>
        <v>0</v>
      </c>
      <c r="BC36">
        <f t="shared" si="1"/>
        <v>0</v>
      </c>
      <c r="CB36">
        <f t="shared" ref="CB36:CB41" si="8">IF(E36&lt;0,1,0)</f>
        <v>0</v>
      </c>
      <c r="CG36">
        <f>IF(SUM(AE36:AM36)&lt;=E36,0,1)</f>
        <v>0</v>
      </c>
    </row>
    <row r="37" spans="2:85" x14ac:dyDescent="0.2">
      <c r="B37" t="s">
        <v>1340</v>
      </c>
      <c r="C37">
        <v>280</v>
      </c>
      <c r="D37" t="s">
        <v>248</v>
      </c>
      <c r="F37">
        <f t="shared" si="0"/>
        <v>0</v>
      </c>
      <c r="BC37">
        <f t="shared" si="1"/>
        <v>0</v>
      </c>
      <c r="CB37">
        <f t="shared" si="8"/>
        <v>0</v>
      </c>
    </row>
    <row r="38" spans="2:85" x14ac:dyDescent="0.2">
      <c r="B38" t="s">
        <v>1341</v>
      </c>
      <c r="C38">
        <v>290</v>
      </c>
      <c r="D38" t="s">
        <v>248</v>
      </c>
      <c r="F38">
        <f t="shared" si="0"/>
        <v>0</v>
      </c>
      <c r="BC38">
        <f t="shared" si="1"/>
        <v>0</v>
      </c>
      <c r="CB38">
        <f t="shared" si="8"/>
        <v>0</v>
      </c>
      <c r="CG38">
        <f>IF(SUM(AE38:AM38)&lt;=E38,0,1)</f>
        <v>0</v>
      </c>
    </row>
    <row r="39" spans="2:85" x14ac:dyDescent="0.2">
      <c r="B39" t="s">
        <v>1342</v>
      </c>
      <c r="C39">
        <v>300</v>
      </c>
      <c r="D39" t="s">
        <v>248</v>
      </c>
      <c r="F39">
        <f t="shared" si="0"/>
        <v>0</v>
      </c>
      <c r="BC39">
        <f t="shared" si="1"/>
        <v>0</v>
      </c>
      <c r="CB39">
        <f t="shared" si="8"/>
        <v>0</v>
      </c>
      <c r="CG39">
        <f>IF(SUM(AE39:AM39)&lt;=E39,0,1)</f>
        <v>0</v>
      </c>
    </row>
    <row r="40" spans="2:85" x14ac:dyDescent="0.2">
      <c r="B40" t="s">
        <v>1343</v>
      </c>
      <c r="C40">
        <v>310</v>
      </c>
      <c r="D40" t="s">
        <v>248</v>
      </c>
      <c r="F40">
        <f t="shared" si="0"/>
        <v>0</v>
      </c>
      <c r="BC40">
        <f t="shared" si="1"/>
        <v>0</v>
      </c>
      <c r="CB40">
        <f t="shared" si="8"/>
        <v>0</v>
      </c>
      <c r="CG40">
        <f>IF(SUM(AE40:AM40)&lt;=E40,0,1)</f>
        <v>0</v>
      </c>
    </row>
    <row r="41" spans="2:85" x14ac:dyDescent="0.2">
      <c r="B41" t="s">
        <v>1344</v>
      </c>
      <c r="C41">
        <v>320</v>
      </c>
      <c r="D41" t="s">
        <v>248</v>
      </c>
      <c r="F41">
        <f t="shared" si="0"/>
        <v>0</v>
      </c>
      <c r="BC41">
        <f t="shared" si="1"/>
        <v>0</v>
      </c>
      <c r="CB41">
        <f t="shared" si="8"/>
        <v>0</v>
      </c>
      <c r="CG41">
        <f>IF(SUM(AE41:AM41)&lt;=E41,0,1)</f>
        <v>0</v>
      </c>
    </row>
    <row r="42" spans="2:85" x14ac:dyDescent="0.2">
      <c r="B42" t="s">
        <v>1345</v>
      </c>
      <c r="C42">
        <v>330</v>
      </c>
      <c r="D42" t="s">
        <v>248</v>
      </c>
      <c r="E42">
        <f>SUM(E29:E41)</f>
        <v>0</v>
      </c>
      <c r="F42">
        <f>SUM(F29:F41)</f>
        <v>0</v>
      </c>
      <c r="H42">
        <f>SUM(H29:H41)</f>
        <v>0</v>
      </c>
      <c r="AC42">
        <f t="shared" ref="AC42:AM42" si="9">SUM(AC29:AC41)</f>
        <v>0</v>
      </c>
      <c r="AD42">
        <f t="shared" si="9"/>
        <v>0</v>
      </c>
      <c r="AE42">
        <f t="shared" si="9"/>
        <v>0</v>
      </c>
      <c r="AF42">
        <f t="shared" si="9"/>
        <v>0</v>
      </c>
      <c r="AG42">
        <f t="shared" si="9"/>
        <v>0</v>
      </c>
      <c r="AH42">
        <f t="shared" si="9"/>
        <v>0</v>
      </c>
      <c r="AI42">
        <f t="shared" si="9"/>
        <v>0</v>
      </c>
      <c r="AJ42">
        <f t="shared" si="9"/>
        <v>0</v>
      </c>
      <c r="AK42">
        <f t="shared" si="9"/>
        <v>0</v>
      </c>
      <c r="AL42">
        <f t="shared" si="9"/>
        <v>0</v>
      </c>
      <c r="AM42">
        <f t="shared" si="9"/>
        <v>0</v>
      </c>
      <c r="BC42">
        <f>SUM(BC29:BC41)</f>
        <v>0</v>
      </c>
    </row>
    <row r="43" spans="2:85" x14ac:dyDescent="0.2">
      <c r="B43" t="s">
        <v>1346</v>
      </c>
    </row>
    <row r="44" spans="2:85" x14ac:dyDescent="0.2">
      <c r="B44" t="s">
        <v>1331</v>
      </c>
      <c r="C44">
        <v>340</v>
      </c>
      <c r="D44" t="s">
        <v>248</v>
      </c>
      <c r="E44">
        <f>SUM(AC44:AM44)</f>
        <v>0</v>
      </c>
      <c r="F44">
        <f t="shared" ref="F44:F56" si="10">SUM(G44:V44)</f>
        <v>0</v>
      </c>
      <c r="BC44">
        <f t="shared" ref="BC44:BC56" si="11">E44</f>
        <v>0</v>
      </c>
      <c r="CB44">
        <f t="shared" ref="CB44:CB49" si="12">IF(E44&lt;0,1,0)</f>
        <v>0</v>
      </c>
      <c r="CG44">
        <f t="shared" ref="CG44:CG49" si="13">IF(SUM(AE44:AM44)&lt;=E44,0,1)</f>
        <v>0</v>
      </c>
    </row>
    <row r="45" spans="2:85" x14ac:dyDescent="0.2">
      <c r="B45" t="s">
        <v>1332</v>
      </c>
      <c r="C45">
        <v>350</v>
      </c>
      <c r="D45" t="s">
        <v>248</v>
      </c>
      <c r="E45">
        <f>SUM(E244+E247+E250)</f>
        <v>0</v>
      </c>
      <c r="F45">
        <f t="shared" si="10"/>
        <v>0</v>
      </c>
      <c r="H45">
        <f>SUM(H244+H247+H250)</f>
        <v>0</v>
      </c>
      <c r="AC45">
        <f t="shared" ref="AC45:AM45" si="14">SUM(AC244+AC247+AC250)</f>
        <v>0</v>
      </c>
      <c r="AD45">
        <f t="shared" si="14"/>
        <v>0</v>
      </c>
      <c r="AE45">
        <f t="shared" si="14"/>
        <v>0</v>
      </c>
      <c r="AF45">
        <f t="shared" si="14"/>
        <v>0</v>
      </c>
      <c r="AG45">
        <f t="shared" si="14"/>
        <v>0</v>
      </c>
      <c r="AH45">
        <f t="shared" si="14"/>
        <v>0</v>
      </c>
      <c r="AI45">
        <f t="shared" si="14"/>
        <v>0</v>
      </c>
      <c r="AJ45">
        <f t="shared" si="14"/>
        <v>0</v>
      </c>
      <c r="AK45">
        <f t="shared" si="14"/>
        <v>0</v>
      </c>
      <c r="AL45">
        <f t="shared" si="14"/>
        <v>0</v>
      </c>
      <c r="AM45">
        <f t="shared" si="14"/>
        <v>0</v>
      </c>
      <c r="BC45">
        <f t="shared" si="11"/>
        <v>0</v>
      </c>
      <c r="CB45">
        <f t="shared" si="12"/>
        <v>0</v>
      </c>
      <c r="CG45">
        <f t="shared" si="13"/>
        <v>0</v>
      </c>
    </row>
    <row r="46" spans="2:85" x14ac:dyDescent="0.2">
      <c r="B46" t="s">
        <v>1333</v>
      </c>
      <c r="C46">
        <v>360</v>
      </c>
      <c r="D46" t="s">
        <v>248</v>
      </c>
      <c r="E46">
        <f>SUM(E268+E271)</f>
        <v>0</v>
      </c>
      <c r="F46">
        <f t="shared" si="10"/>
        <v>0</v>
      </c>
      <c r="H46">
        <f>SUM(H268+H271)</f>
        <v>0</v>
      </c>
      <c r="AC46">
        <f t="shared" ref="AC46:AM46" si="15">SUM(AC268+AC271)</f>
        <v>0</v>
      </c>
      <c r="AD46">
        <f t="shared" si="15"/>
        <v>0</v>
      </c>
      <c r="AE46">
        <f t="shared" si="15"/>
        <v>0</v>
      </c>
      <c r="AF46">
        <f t="shared" si="15"/>
        <v>0</v>
      </c>
      <c r="AG46">
        <f t="shared" si="15"/>
        <v>0</v>
      </c>
      <c r="AH46">
        <f t="shared" si="15"/>
        <v>0</v>
      </c>
      <c r="AI46">
        <f t="shared" si="15"/>
        <v>0</v>
      </c>
      <c r="AJ46">
        <f t="shared" si="15"/>
        <v>0</v>
      </c>
      <c r="AK46">
        <f t="shared" si="15"/>
        <v>0</v>
      </c>
      <c r="AL46">
        <f t="shared" si="15"/>
        <v>0</v>
      </c>
      <c r="AM46">
        <f t="shared" si="15"/>
        <v>0</v>
      </c>
      <c r="BC46">
        <f t="shared" si="11"/>
        <v>0</v>
      </c>
      <c r="CB46">
        <f t="shared" si="12"/>
        <v>0</v>
      </c>
      <c r="CG46">
        <f t="shared" si="13"/>
        <v>0</v>
      </c>
    </row>
    <row r="47" spans="2:85" x14ac:dyDescent="0.2">
      <c r="B47" t="s">
        <v>1334</v>
      </c>
      <c r="C47">
        <v>370</v>
      </c>
      <c r="D47" t="s">
        <v>248</v>
      </c>
      <c r="F47">
        <f t="shared" si="10"/>
        <v>0</v>
      </c>
      <c r="BC47">
        <f t="shared" si="11"/>
        <v>0</v>
      </c>
      <c r="CB47">
        <f t="shared" si="12"/>
        <v>0</v>
      </c>
      <c r="CG47">
        <f t="shared" si="13"/>
        <v>0</v>
      </c>
    </row>
    <row r="48" spans="2:85" x14ac:dyDescent="0.2">
      <c r="B48" t="s">
        <v>1335</v>
      </c>
      <c r="C48">
        <v>380</v>
      </c>
      <c r="D48" t="s">
        <v>248</v>
      </c>
      <c r="E48">
        <f>SUM(E245+E248+E251)</f>
        <v>0</v>
      </c>
      <c r="F48">
        <f t="shared" si="10"/>
        <v>0</v>
      </c>
      <c r="H48">
        <f>SUM(H245+H248+H251)</f>
        <v>0</v>
      </c>
      <c r="AC48">
        <f t="shared" ref="AC48:AM48" si="16">SUM(AC245+AC248+AC251)</f>
        <v>0</v>
      </c>
      <c r="AD48">
        <f t="shared" si="16"/>
        <v>0</v>
      </c>
      <c r="AE48">
        <f t="shared" si="16"/>
        <v>0</v>
      </c>
      <c r="AF48">
        <f t="shared" si="16"/>
        <v>0</v>
      </c>
      <c r="AG48">
        <f t="shared" si="16"/>
        <v>0</v>
      </c>
      <c r="AH48">
        <f t="shared" si="16"/>
        <v>0</v>
      </c>
      <c r="AI48">
        <f t="shared" si="16"/>
        <v>0</v>
      </c>
      <c r="AJ48">
        <f t="shared" si="16"/>
        <v>0</v>
      </c>
      <c r="AK48">
        <f t="shared" si="16"/>
        <v>0</v>
      </c>
      <c r="AL48">
        <f t="shared" si="16"/>
        <v>0</v>
      </c>
      <c r="AM48">
        <f t="shared" si="16"/>
        <v>0</v>
      </c>
      <c r="BC48">
        <f t="shared" si="11"/>
        <v>0</v>
      </c>
      <c r="CB48">
        <f t="shared" si="12"/>
        <v>0</v>
      </c>
      <c r="CG48">
        <f t="shared" si="13"/>
        <v>0</v>
      </c>
    </row>
    <row r="49" spans="2:85" x14ac:dyDescent="0.2">
      <c r="B49" t="s">
        <v>1336</v>
      </c>
      <c r="C49">
        <v>390</v>
      </c>
      <c r="D49" t="s">
        <v>248</v>
      </c>
      <c r="E49">
        <f>SUM(E269+E272)</f>
        <v>0</v>
      </c>
      <c r="F49">
        <f t="shared" si="10"/>
        <v>0</v>
      </c>
      <c r="H49">
        <f>SUM(H269+H272)</f>
        <v>0</v>
      </c>
      <c r="V49">
        <f>SUM(V269+V272)</f>
        <v>0</v>
      </c>
      <c r="AC49">
        <f t="shared" ref="AC49:AM49" si="17">SUM(AC269+AC272)</f>
        <v>0</v>
      </c>
      <c r="AD49">
        <f t="shared" si="17"/>
        <v>0</v>
      </c>
      <c r="AE49">
        <f t="shared" si="17"/>
        <v>0</v>
      </c>
      <c r="AF49">
        <f t="shared" si="17"/>
        <v>0</v>
      </c>
      <c r="AG49">
        <f t="shared" si="17"/>
        <v>0</v>
      </c>
      <c r="AH49">
        <f t="shared" si="17"/>
        <v>0</v>
      </c>
      <c r="AI49">
        <f t="shared" si="17"/>
        <v>0</v>
      </c>
      <c r="AJ49">
        <f t="shared" si="17"/>
        <v>0</v>
      </c>
      <c r="AK49">
        <f t="shared" si="17"/>
        <v>0</v>
      </c>
      <c r="AL49">
        <f t="shared" si="17"/>
        <v>0</v>
      </c>
      <c r="AM49">
        <f t="shared" si="17"/>
        <v>0</v>
      </c>
      <c r="BC49">
        <f t="shared" si="11"/>
        <v>0</v>
      </c>
      <c r="CB49">
        <f t="shared" si="12"/>
        <v>0</v>
      </c>
      <c r="CG49">
        <f t="shared" si="13"/>
        <v>0</v>
      </c>
    </row>
    <row r="50" spans="2:85" x14ac:dyDescent="0.2">
      <c r="B50" t="s">
        <v>1338</v>
      </c>
      <c r="C50">
        <v>400</v>
      </c>
      <c r="D50" t="s">
        <v>245</v>
      </c>
      <c r="F50">
        <f t="shared" si="10"/>
        <v>0</v>
      </c>
      <c r="BC50">
        <f t="shared" si="11"/>
        <v>0</v>
      </c>
      <c r="CA50">
        <f>IF(OR(E50&gt;0,AE50&gt;0,AF50&gt;0,AG50&gt;0,AH50&gt;0,AI50&gt;0,AJ50&gt;0,AK50&gt;0,AL50&gt;0,AM50&gt;0),1,0)</f>
        <v>0</v>
      </c>
      <c r="CG50">
        <f>IF(SUM(AE50:AM50)&gt;=E50,0,1)</f>
        <v>0</v>
      </c>
    </row>
    <row r="51" spans="2:85" x14ac:dyDescent="0.2">
      <c r="B51" t="s">
        <v>1339</v>
      </c>
      <c r="C51">
        <v>410</v>
      </c>
      <c r="D51" t="s">
        <v>248</v>
      </c>
      <c r="F51">
        <f t="shared" si="10"/>
        <v>0</v>
      </c>
      <c r="BC51">
        <f t="shared" si="11"/>
        <v>0</v>
      </c>
      <c r="CB51">
        <f>IF(E51&lt;0,1,0)</f>
        <v>0</v>
      </c>
      <c r="CG51">
        <f>IF(SUM(AE51:AM51)&lt;=E51,0,1)</f>
        <v>0</v>
      </c>
    </row>
    <row r="52" spans="2:85" x14ac:dyDescent="0.2">
      <c r="B52" t="s">
        <v>1347</v>
      </c>
      <c r="C52">
        <v>420</v>
      </c>
      <c r="D52" t="s">
        <v>251</v>
      </c>
      <c r="F52">
        <f t="shared" si="10"/>
        <v>0</v>
      </c>
      <c r="BC52">
        <f t="shared" si="11"/>
        <v>0</v>
      </c>
    </row>
    <row r="53" spans="2:85" x14ac:dyDescent="0.2">
      <c r="B53" t="s">
        <v>1341</v>
      </c>
      <c r="C53">
        <v>430</v>
      </c>
      <c r="D53" t="s">
        <v>248</v>
      </c>
      <c r="F53">
        <f t="shared" si="10"/>
        <v>0</v>
      </c>
      <c r="BC53">
        <f t="shared" si="11"/>
        <v>0</v>
      </c>
      <c r="CB53">
        <f>IF(E53&lt;0,1,0)</f>
        <v>0</v>
      </c>
      <c r="CG53">
        <f>IF(SUM(AE53:AM53)&lt;=E53,0,1)</f>
        <v>0</v>
      </c>
    </row>
    <row r="54" spans="2:85" x14ac:dyDescent="0.2">
      <c r="B54" t="s">
        <v>1342</v>
      </c>
      <c r="C54">
        <v>440</v>
      </c>
      <c r="D54" t="s">
        <v>248</v>
      </c>
      <c r="F54">
        <f t="shared" si="10"/>
        <v>0</v>
      </c>
      <c r="BC54">
        <f t="shared" si="11"/>
        <v>0</v>
      </c>
      <c r="CG54">
        <f>IF(SUM(AE54:AM54)&lt;=E54,0,1)</f>
        <v>0</v>
      </c>
    </row>
    <row r="55" spans="2:85" x14ac:dyDescent="0.2">
      <c r="B55" t="s">
        <v>1343</v>
      </c>
      <c r="C55">
        <v>450</v>
      </c>
      <c r="D55" t="s">
        <v>248</v>
      </c>
      <c r="F55">
        <f t="shared" si="10"/>
        <v>0</v>
      </c>
      <c r="BC55">
        <f t="shared" si="11"/>
        <v>0</v>
      </c>
      <c r="CB55">
        <f>IF(E55&lt;0,1,0)</f>
        <v>0</v>
      </c>
      <c r="CG55">
        <f>IF(SUM(AE55:AM55)&lt;=E55,0,1)</f>
        <v>0</v>
      </c>
    </row>
    <row r="56" spans="2:85" x14ac:dyDescent="0.2">
      <c r="B56" t="s">
        <v>1344</v>
      </c>
      <c r="C56">
        <v>460</v>
      </c>
      <c r="D56" t="s">
        <v>248</v>
      </c>
      <c r="F56">
        <f t="shared" si="10"/>
        <v>0</v>
      </c>
      <c r="BC56">
        <f t="shared" si="11"/>
        <v>0</v>
      </c>
      <c r="CB56">
        <f>IF(E56&lt;0,1,0)</f>
        <v>0</v>
      </c>
      <c r="CG56">
        <f>IF(SUM(AE56:AM56)&lt;=E56,0,1)</f>
        <v>0</v>
      </c>
    </row>
    <row r="57" spans="2:85" x14ac:dyDescent="0.2">
      <c r="B57" t="s">
        <v>1345</v>
      </c>
      <c r="C57">
        <v>470</v>
      </c>
      <c r="D57" t="s">
        <v>248</v>
      </c>
      <c r="E57">
        <f>SUM(E44:E56)</f>
        <v>0</v>
      </c>
      <c r="F57">
        <f>SUM(F44:F56)</f>
        <v>0</v>
      </c>
      <c r="H57">
        <f>SUM(H44:H56)</f>
        <v>0</v>
      </c>
      <c r="AC57">
        <f t="shared" ref="AC57:AM57" si="18">SUM(AC44:AC56)</f>
        <v>0</v>
      </c>
      <c r="AD57">
        <f t="shared" si="18"/>
        <v>0</v>
      </c>
      <c r="AE57">
        <f t="shared" si="18"/>
        <v>0</v>
      </c>
      <c r="AF57">
        <f t="shared" si="18"/>
        <v>0</v>
      </c>
      <c r="AG57">
        <f t="shared" si="18"/>
        <v>0</v>
      </c>
      <c r="AH57">
        <f t="shared" si="18"/>
        <v>0</v>
      </c>
      <c r="AI57">
        <f t="shared" si="18"/>
        <v>0</v>
      </c>
      <c r="AJ57">
        <f t="shared" si="18"/>
        <v>0</v>
      </c>
      <c r="AK57">
        <f t="shared" si="18"/>
        <v>0</v>
      </c>
      <c r="AL57">
        <f t="shared" si="18"/>
        <v>0</v>
      </c>
      <c r="AM57">
        <f t="shared" si="18"/>
        <v>0</v>
      </c>
      <c r="BC57">
        <f>SUM(BC44:BC56)</f>
        <v>0</v>
      </c>
    </row>
    <row r="58" spans="2:85" x14ac:dyDescent="0.2">
      <c r="B58" t="s">
        <v>1348</v>
      </c>
      <c r="C58">
        <v>480</v>
      </c>
      <c r="D58" t="s">
        <v>248</v>
      </c>
      <c r="E58">
        <f>SUM(E42+E57)</f>
        <v>0</v>
      </c>
      <c r="F58">
        <f>SUM(F42+F57)</f>
        <v>0</v>
      </c>
      <c r="H58">
        <f>SUM(H42+H57)</f>
        <v>0</v>
      </c>
      <c r="AC58">
        <f t="shared" ref="AC58:AM58" si="19">SUM(AC42+AC57)</f>
        <v>0</v>
      </c>
      <c r="AD58">
        <f t="shared" si="19"/>
        <v>0</v>
      </c>
      <c r="AE58">
        <f t="shared" si="19"/>
        <v>0</v>
      </c>
      <c r="AF58">
        <f t="shared" si="19"/>
        <v>0</v>
      </c>
      <c r="AG58">
        <f t="shared" si="19"/>
        <v>0</v>
      </c>
      <c r="AH58">
        <f t="shared" si="19"/>
        <v>0</v>
      </c>
      <c r="AI58">
        <f t="shared" si="19"/>
        <v>0</v>
      </c>
      <c r="AJ58">
        <f t="shared" si="19"/>
        <v>0</v>
      </c>
      <c r="AK58">
        <f t="shared" si="19"/>
        <v>0</v>
      </c>
      <c r="AL58">
        <f t="shared" si="19"/>
        <v>0</v>
      </c>
      <c r="AM58">
        <f t="shared" si="19"/>
        <v>0</v>
      </c>
      <c r="BC58">
        <f>SUM(BC42+BC57)</f>
        <v>0</v>
      </c>
    </row>
    <row r="59" spans="2:85" x14ac:dyDescent="0.2">
      <c r="B59" t="s">
        <v>1349</v>
      </c>
    </row>
    <row r="60" spans="2:85" x14ac:dyDescent="0.2">
      <c r="B60" t="s">
        <v>1350</v>
      </c>
      <c r="C60">
        <v>490</v>
      </c>
      <c r="D60" t="s">
        <v>248</v>
      </c>
      <c r="BC60">
        <f>E60</f>
        <v>0</v>
      </c>
    </row>
    <row r="61" spans="2:85" x14ac:dyDescent="0.2">
      <c r="B61" t="s">
        <v>1351</v>
      </c>
      <c r="E61" t="s">
        <v>2997</v>
      </c>
      <c r="F61" t="s">
        <v>2998</v>
      </c>
      <c r="H61" t="s">
        <v>2999</v>
      </c>
      <c r="I61" t="s">
        <v>1352</v>
      </c>
    </row>
    <row r="62" spans="2:85" x14ac:dyDescent="0.2">
      <c r="B62" t="s">
        <v>1353</v>
      </c>
      <c r="C62">
        <v>492</v>
      </c>
      <c r="D62" t="s">
        <v>251</v>
      </c>
      <c r="H62">
        <f>SUM(E62:F62)</f>
        <v>0</v>
      </c>
    </row>
    <row r="63" spans="2:85" x14ac:dyDescent="0.2">
      <c r="B63" t="s">
        <v>1354</v>
      </c>
      <c r="C63">
        <v>494</v>
      </c>
      <c r="D63" t="s">
        <v>251</v>
      </c>
      <c r="H63">
        <f>SUM(E63:F63)</f>
        <v>0</v>
      </c>
    </row>
    <row r="64" spans="2:85" x14ac:dyDescent="0.2">
      <c r="B64" t="s">
        <v>1355</v>
      </c>
      <c r="C64">
        <v>496</v>
      </c>
      <c r="D64" t="s">
        <v>251</v>
      </c>
      <c r="E64">
        <f>SUM(E62+E63)</f>
        <v>0</v>
      </c>
      <c r="F64">
        <f>SUM(F62+F63)</f>
        <v>0</v>
      </c>
      <c r="H64">
        <f>SUM(H62+H63)</f>
        <v>0</v>
      </c>
      <c r="I64">
        <f>SUM(I62+I63)</f>
        <v>0</v>
      </c>
    </row>
    <row r="71" spans="2:80" x14ac:dyDescent="0.2">
      <c r="D71" t="s">
        <v>25</v>
      </c>
      <c r="E71" t="s">
        <v>235</v>
      </c>
    </row>
    <row r="72" spans="2:80" x14ac:dyDescent="0.2">
      <c r="B72" t="s">
        <v>139</v>
      </c>
      <c r="C72" t="s">
        <v>238</v>
      </c>
      <c r="E72" t="s">
        <v>799</v>
      </c>
    </row>
    <row r="73" spans="2:80" x14ac:dyDescent="0.2">
      <c r="C73" t="s">
        <v>242</v>
      </c>
      <c r="E73" t="s">
        <v>243</v>
      </c>
    </row>
    <row r="74" spans="2:80" x14ac:dyDescent="0.2">
      <c r="B74" t="s">
        <v>1357</v>
      </c>
      <c r="C74">
        <v>500</v>
      </c>
      <c r="D74" t="s">
        <v>248</v>
      </c>
      <c r="CB74">
        <f>IF(E74&lt;0,1,0)</f>
        <v>0</v>
      </c>
    </row>
    <row r="75" spans="2:80" x14ac:dyDescent="0.2">
      <c r="B75" t="s">
        <v>1358</v>
      </c>
      <c r="C75">
        <v>510</v>
      </c>
      <c r="D75" t="s">
        <v>248</v>
      </c>
      <c r="CB75">
        <f>IF(E75&lt;0,1,0)</f>
        <v>0</v>
      </c>
    </row>
    <row r="76" spans="2:80" x14ac:dyDescent="0.2">
      <c r="B76" t="s">
        <v>1359</v>
      </c>
      <c r="C76">
        <v>520</v>
      </c>
      <c r="D76" t="s">
        <v>248</v>
      </c>
      <c r="CB76">
        <f>IF(E76&lt;0,1,0)</f>
        <v>0</v>
      </c>
    </row>
    <row r="77" spans="2:80" x14ac:dyDescent="0.2">
      <c r="B77" t="s">
        <v>358</v>
      </c>
      <c r="C77">
        <v>530</v>
      </c>
      <c r="D77" t="s">
        <v>248</v>
      </c>
      <c r="E77">
        <f>SUM(E74:E76)</f>
        <v>0</v>
      </c>
    </row>
    <row r="78" spans="2:80" x14ac:dyDescent="0.2">
      <c r="D78" t="s">
        <v>25</v>
      </c>
      <c r="E78" t="s">
        <v>235</v>
      </c>
    </row>
    <row r="79" spans="2:80" x14ac:dyDescent="0.2">
      <c r="B79" t="s">
        <v>140</v>
      </c>
      <c r="C79" t="s">
        <v>238</v>
      </c>
      <c r="E79" t="s">
        <v>239</v>
      </c>
    </row>
    <row r="80" spans="2:80" x14ac:dyDescent="0.2">
      <c r="C80" t="s">
        <v>242</v>
      </c>
      <c r="E80" t="s">
        <v>243</v>
      </c>
    </row>
    <row r="81" spans="2:80" x14ac:dyDescent="0.2">
      <c r="B81" t="s">
        <v>1033</v>
      </c>
      <c r="C81">
        <v>540</v>
      </c>
      <c r="D81" t="s">
        <v>245</v>
      </c>
    </row>
    <row r="82" spans="2:80" x14ac:dyDescent="0.2">
      <c r="B82" t="s">
        <v>1360</v>
      </c>
      <c r="C82">
        <v>550</v>
      </c>
      <c r="D82" t="s">
        <v>251</v>
      </c>
    </row>
    <row r="83" spans="2:80" x14ac:dyDescent="0.2">
      <c r="B83" t="s">
        <v>303</v>
      </c>
      <c r="C83">
        <v>560</v>
      </c>
      <c r="D83" t="s">
        <v>245</v>
      </c>
    </row>
    <row r="84" spans="2:80" x14ac:dyDescent="0.2">
      <c r="B84" t="s">
        <v>387</v>
      </c>
      <c r="C84">
        <v>570</v>
      </c>
      <c r="D84" t="s">
        <v>251</v>
      </c>
    </row>
    <row r="85" spans="2:80" x14ac:dyDescent="0.2">
      <c r="B85" t="s">
        <v>388</v>
      </c>
      <c r="C85">
        <v>580</v>
      </c>
      <c r="D85" t="s">
        <v>245</v>
      </c>
    </row>
    <row r="86" spans="2:80" x14ac:dyDescent="0.2">
      <c r="B86" t="s">
        <v>389</v>
      </c>
      <c r="C86">
        <v>590</v>
      </c>
      <c r="D86" t="s">
        <v>251</v>
      </c>
    </row>
    <row r="87" spans="2:80" x14ac:dyDescent="0.2">
      <c r="B87" t="s">
        <v>390</v>
      </c>
      <c r="C87">
        <v>600</v>
      </c>
      <c r="D87" t="s">
        <v>251</v>
      </c>
    </row>
    <row r="88" spans="2:80" x14ac:dyDescent="0.2">
      <c r="B88" t="s">
        <v>391</v>
      </c>
      <c r="C88">
        <v>610</v>
      </c>
      <c r="D88" t="s">
        <v>245</v>
      </c>
      <c r="E88">
        <f>SUM(E81+E86)</f>
        <v>0</v>
      </c>
    </row>
    <row r="89" spans="2:80" x14ac:dyDescent="0.2">
      <c r="B89" t="s">
        <v>401</v>
      </c>
      <c r="C89">
        <v>614</v>
      </c>
      <c r="D89" t="s">
        <v>251</v>
      </c>
    </row>
    <row r="90" spans="2:80" x14ac:dyDescent="0.2">
      <c r="B90" t="s">
        <v>402</v>
      </c>
      <c r="C90">
        <v>617</v>
      </c>
      <c r="D90" t="s">
        <v>251</v>
      </c>
    </row>
    <row r="91" spans="2:80" x14ac:dyDescent="0.2">
      <c r="B91" t="s">
        <v>1361</v>
      </c>
      <c r="C91">
        <v>620</v>
      </c>
      <c r="D91" t="s">
        <v>248</v>
      </c>
      <c r="CB91">
        <f>IF(E91&lt;0,1,0)</f>
        <v>0</v>
      </c>
    </row>
    <row r="92" spans="2:80" x14ac:dyDescent="0.2">
      <c r="B92" t="s">
        <v>1362</v>
      </c>
      <c r="C92">
        <v>630</v>
      </c>
      <c r="D92" t="s">
        <v>248</v>
      </c>
      <c r="CB92">
        <f>IF(E92&lt;0,1,0)</f>
        <v>0</v>
      </c>
    </row>
    <row r="93" spans="2:80" x14ac:dyDescent="0.2">
      <c r="B93" t="s">
        <v>1363</v>
      </c>
      <c r="C93">
        <v>640</v>
      </c>
      <c r="D93" t="s">
        <v>251</v>
      </c>
    </row>
    <row r="94" spans="2:80" x14ac:dyDescent="0.2">
      <c r="B94" t="s">
        <v>508</v>
      </c>
      <c r="C94">
        <v>650</v>
      </c>
      <c r="D94" t="s">
        <v>248</v>
      </c>
      <c r="CB94">
        <f>IF(E94&lt;0,1,0)</f>
        <v>0</v>
      </c>
    </row>
    <row r="95" spans="2:80" x14ac:dyDescent="0.2">
      <c r="B95" t="s">
        <v>1074</v>
      </c>
      <c r="C95">
        <v>655</v>
      </c>
      <c r="D95" t="s">
        <v>251</v>
      </c>
    </row>
    <row r="96" spans="2:80" x14ac:dyDescent="0.2">
      <c r="B96" t="s">
        <v>419</v>
      </c>
      <c r="C96">
        <v>660</v>
      </c>
      <c r="D96" t="s">
        <v>245</v>
      </c>
      <c r="E96">
        <f>SUM(E88:E95)</f>
        <v>0</v>
      </c>
    </row>
    <row r="98" spans="2:80" x14ac:dyDescent="0.2">
      <c r="B98" t="s">
        <v>1364</v>
      </c>
      <c r="E98" t="s">
        <v>243</v>
      </c>
    </row>
    <row r="99" spans="2:80" x14ac:dyDescent="0.2">
      <c r="B99" t="s">
        <v>3000</v>
      </c>
      <c r="C99">
        <v>700</v>
      </c>
      <c r="D99" t="s">
        <v>248</v>
      </c>
      <c r="CB99">
        <f t="shared" ref="CB99:CB104" si="20">IF(E99&lt;0,1,0)</f>
        <v>0</v>
      </c>
    </row>
    <row r="100" spans="2:80" x14ac:dyDescent="0.2">
      <c r="B100" t="s">
        <v>1366</v>
      </c>
      <c r="C100">
        <v>710</v>
      </c>
      <c r="D100" t="s">
        <v>248</v>
      </c>
      <c r="CB100">
        <f t="shared" si="20"/>
        <v>0</v>
      </c>
    </row>
    <row r="101" spans="2:80" x14ac:dyDescent="0.2">
      <c r="B101" t="s">
        <v>1367</v>
      </c>
      <c r="C101">
        <v>720</v>
      </c>
      <c r="D101" t="s">
        <v>248</v>
      </c>
      <c r="CB101">
        <f t="shared" si="20"/>
        <v>0</v>
      </c>
    </row>
    <row r="102" spans="2:80" x14ac:dyDescent="0.2">
      <c r="B102" t="s">
        <v>1368</v>
      </c>
      <c r="C102">
        <v>730</v>
      </c>
      <c r="D102" t="s">
        <v>248</v>
      </c>
      <c r="CB102">
        <f t="shared" si="20"/>
        <v>0</v>
      </c>
    </row>
    <row r="103" spans="2:80" x14ac:dyDescent="0.2">
      <c r="B103" t="s">
        <v>1369</v>
      </c>
      <c r="C103">
        <v>740</v>
      </c>
      <c r="D103" t="s">
        <v>248</v>
      </c>
      <c r="CB103">
        <f t="shared" si="20"/>
        <v>0</v>
      </c>
    </row>
    <row r="104" spans="2:80" x14ac:dyDescent="0.2">
      <c r="B104" t="s">
        <v>1370</v>
      </c>
      <c r="C104">
        <v>750</v>
      </c>
      <c r="D104" t="s">
        <v>248</v>
      </c>
      <c r="CB104">
        <f t="shared" si="20"/>
        <v>0</v>
      </c>
    </row>
    <row r="107" spans="2:80" x14ac:dyDescent="0.2">
      <c r="E107" t="s">
        <v>1320</v>
      </c>
      <c r="R107" t="s">
        <v>1321</v>
      </c>
      <c r="AC107" t="s">
        <v>1322</v>
      </c>
    </row>
    <row r="108" spans="2:80" x14ac:dyDescent="0.2">
      <c r="D108" t="s">
        <v>25</v>
      </c>
      <c r="E108" t="s">
        <v>235</v>
      </c>
      <c r="F108" t="s">
        <v>236</v>
      </c>
      <c r="G108" t="s">
        <v>293</v>
      </c>
      <c r="H108" t="s">
        <v>294</v>
      </c>
      <c r="I108" t="s">
        <v>298</v>
      </c>
      <c r="R108" t="s">
        <v>576</v>
      </c>
      <c r="S108" t="s">
        <v>577</v>
      </c>
      <c r="T108" t="s">
        <v>578</v>
      </c>
      <c r="U108" t="s">
        <v>579</v>
      </c>
      <c r="V108" t="s">
        <v>580</v>
      </c>
      <c r="AC108" t="s">
        <v>825</v>
      </c>
      <c r="AD108" t="s">
        <v>826</v>
      </c>
      <c r="AE108" t="s">
        <v>827</v>
      </c>
      <c r="AF108" t="s">
        <v>828</v>
      </c>
      <c r="AG108" t="s">
        <v>829</v>
      </c>
      <c r="AH108" t="s">
        <v>830</v>
      </c>
      <c r="AI108" t="s">
        <v>831</v>
      </c>
      <c r="AJ108" t="s">
        <v>1323</v>
      </c>
      <c r="AK108" t="s">
        <v>1324</v>
      </c>
      <c r="AL108" t="s">
        <v>1325</v>
      </c>
      <c r="AM108" t="s">
        <v>1326</v>
      </c>
      <c r="BC108" t="s">
        <v>237</v>
      </c>
    </row>
    <row r="109" spans="2:80" x14ac:dyDescent="0.2">
      <c r="B109" t="s">
        <v>142</v>
      </c>
      <c r="C109" t="s">
        <v>238</v>
      </c>
      <c r="E109" t="s">
        <v>799</v>
      </c>
      <c r="F109" t="s">
        <v>1328</v>
      </c>
      <c r="G109" t="s">
        <v>1329</v>
      </c>
      <c r="H109" t="s">
        <v>302</v>
      </c>
      <c r="R109" t="s">
        <v>1330</v>
      </c>
      <c r="S109" t="s">
        <v>387</v>
      </c>
      <c r="T109" t="s">
        <v>303</v>
      </c>
      <c r="U109" t="s">
        <v>304</v>
      </c>
      <c r="V109" t="s">
        <v>1033</v>
      </c>
      <c r="AC109" t="s">
        <v>1005</v>
      </c>
      <c r="AD109" t="s">
        <v>1006</v>
      </c>
      <c r="AE109" t="s">
        <v>1007</v>
      </c>
      <c r="AF109" t="s">
        <v>590</v>
      </c>
      <c r="AG109" t="s">
        <v>1008</v>
      </c>
      <c r="AH109" t="s">
        <v>1265</v>
      </c>
      <c r="AI109" t="s">
        <v>1266</v>
      </c>
      <c r="AJ109" t="s">
        <v>1267</v>
      </c>
      <c r="AK109" t="s">
        <v>599</v>
      </c>
      <c r="AL109" t="s">
        <v>1268</v>
      </c>
      <c r="AM109" t="s">
        <v>1269</v>
      </c>
      <c r="BC109" t="s">
        <v>241</v>
      </c>
    </row>
    <row r="110" spans="2:80" x14ac:dyDescent="0.2">
      <c r="C110" t="s">
        <v>242</v>
      </c>
      <c r="E110" t="s">
        <v>243</v>
      </c>
      <c r="F110" t="s">
        <v>243</v>
      </c>
      <c r="G110" t="s">
        <v>243</v>
      </c>
      <c r="H110" t="s">
        <v>243</v>
      </c>
      <c r="I110" t="s">
        <v>243</v>
      </c>
      <c r="R110" t="s">
        <v>243</v>
      </c>
      <c r="S110" t="s">
        <v>243</v>
      </c>
      <c r="T110" t="s">
        <v>243</v>
      </c>
      <c r="U110" t="s">
        <v>243</v>
      </c>
      <c r="V110" t="s">
        <v>243</v>
      </c>
      <c r="AC110" t="s">
        <v>243</v>
      </c>
      <c r="AD110" t="s">
        <v>243</v>
      </c>
      <c r="AE110" t="s">
        <v>243</v>
      </c>
      <c r="AF110" t="s">
        <v>243</v>
      </c>
      <c r="AG110" t="s">
        <v>243</v>
      </c>
      <c r="AH110" t="s">
        <v>243</v>
      </c>
      <c r="AI110" t="s">
        <v>243</v>
      </c>
      <c r="AJ110" t="s">
        <v>243</v>
      </c>
      <c r="AK110" t="s">
        <v>243</v>
      </c>
      <c r="AL110" t="s">
        <v>243</v>
      </c>
      <c r="AM110" t="s">
        <v>243</v>
      </c>
      <c r="BC110" t="s">
        <v>243</v>
      </c>
    </row>
    <row r="111" spans="2:80" x14ac:dyDescent="0.2">
      <c r="B111" t="s">
        <v>1371</v>
      </c>
      <c r="C111">
        <v>800</v>
      </c>
      <c r="D111" t="s">
        <v>248</v>
      </c>
      <c r="F111">
        <f>SUM(G111:V111)</f>
        <v>0</v>
      </c>
      <c r="BC111">
        <f>E111</f>
        <v>0</v>
      </c>
      <c r="CB111">
        <f>IF(E111&lt;0,1,0)</f>
        <v>0</v>
      </c>
    </row>
    <row r="112" spans="2:80" x14ac:dyDescent="0.2">
      <c r="B112" t="s">
        <v>1372</v>
      </c>
      <c r="C112">
        <v>810</v>
      </c>
      <c r="D112" t="s">
        <v>248</v>
      </c>
      <c r="F112">
        <f>SUM(G112:V112)</f>
        <v>0</v>
      </c>
      <c r="BC112">
        <f>E112</f>
        <v>0</v>
      </c>
      <c r="CB112">
        <f>IF(E112&lt;0,1,0)</f>
        <v>0</v>
      </c>
    </row>
    <row r="113" spans="2:55" x14ac:dyDescent="0.2">
      <c r="B113" t="s">
        <v>340</v>
      </c>
      <c r="C113">
        <v>820</v>
      </c>
      <c r="D113" t="s">
        <v>248</v>
      </c>
      <c r="E113">
        <f>SUM(E111:E112)</f>
        <v>0</v>
      </c>
      <c r="F113">
        <f>SUM(F111:F112)</f>
        <v>0</v>
      </c>
      <c r="H113">
        <f>SUM(H111:H112)</f>
        <v>0</v>
      </c>
      <c r="AC113">
        <f t="shared" ref="AC113:AM113" si="21">SUM(AC111:AC112)</f>
        <v>0</v>
      </c>
      <c r="AD113">
        <f t="shared" si="21"/>
        <v>0</v>
      </c>
      <c r="AE113">
        <f t="shared" si="21"/>
        <v>0</v>
      </c>
      <c r="AF113">
        <f t="shared" si="21"/>
        <v>0</v>
      </c>
      <c r="AG113">
        <f t="shared" si="21"/>
        <v>0</v>
      </c>
      <c r="AH113">
        <f t="shared" si="21"/>
        <v>0</v>
      </c>
      <c r="AI113">
        <f t="shared" si="21"/>
        <v>0</v>
      </c>
      <c r="AJ113">
        <f t="shared" si="21"/>
        <v>0</v>
      </c>
      <c r="AK113">
        <f t="shared" si="21"/>
        <v>0</v>
      </c>
      <c r="AL113">
        <f t="shared" si="21"/>
        <v>0</v>
      </c>
      <c r="AM113">
        <f t="shared" si="21"/>
        <v>0</v>
      </c>
      <c r="BC113">
        <f>SUM(BC111:BC112)</f>
        <v>0</v>
      </c>
    </row>
    <row r="114" spans="2:55" x14ac:dyDescent="0.2">
      <c r="B114" t="s">
        <v>1351</v>
      </c>
      <c r="E114" t="s">
        <v>2997</v>
      </c>
      <c r="F114" t="s">
        <v>2998</v>
      </c>
      <c r="H114" t="s">
        <v>2999</v>
      </c>
      <c r="I114" t="s">
        <v>1352</v>
      </c>
    </row>
    <row r="115" spans="2:55" x14ac:dyDescent="0.2">
      <c r="B115" t="s">
        <v>142</v>
      </c>
      <c r="C115">
        <v>830</v>
      </c>
      <c r="D115" t="s">
        <v>251</v>
      </c>
      <c r="H115">
        <f>SUM(E115:F115)</f>
        <v>0</v>
      </c>
    </row>
    <row r="119" spans="2:55" x14ac:dyDescent="0.2">
      <c r="D119" t="s">
        <v>25</v>
      </c>
      <c r="E119" t="s">
        <v>235</v>
      </c>
      <c r="F119" t="s">
        <v>236</v>
      </c>
      <c r="G119" t="s">
        <v>293</v>
      </c>
      <c r="H119" t="s">
        <v>294</v>
      </c>
      <c r="I119" t="s">
        <v>298</v>
      </c>
      <c r="R119" t="s">
        <v>576</v>
      </c>
      <c r="S119" t="s">
        <v>577</v>
      </c>
      <c r="T119" t="s">
        <v>578</v>
      </c>
      <c r="U119" t="s">
        <v>579</v>
      </c>
      <c r="V119" t="s">
        <v>580</v>
      </c>
      <c r="BC119" t="s">
        <v>237</v>
      </c>
    </row>
    <row r="120" spans="2:55" x14ac:dyDescent="0.2">
      <c r="B120" t="s">
        <v>143</v>
      </c>
      <c r="C120" t="s">
        <v>238</v>
      </c>
      <c r="E120" t="s">
        <v>799</v>
      </c>
      <c r="F120" t="s">
        <v>1328</v>
      </c>
      <c r="G120" t="s">
        <v>1329</v>
      </c>
      <c r="H120" t="s">
        <v>302</v>
      </c>
      <c r="R120" t="s">
        <v>1330</v>
      </c>
      <c r="S120" t="s">
        <v>387</v>
      </c>
      <c r="T120" t="s">
        <v>303</v>
      </c>
      <c r="U120" t="s">
        <v>304</v>
      </c>
      <c r="V120" t="s">
        <v>1033</v>
      </c>
      <c r="BC120" t="s">
        <v>241</v>
      </c>
    </row>
    <row r="121" spans="2:55" x14ac:dyDescent="0.2">
      <c r="C121" t="s">
        <v>242</v>
      </c>
      <c r="E121" t="s">
        <v>243</v>
      </c>
      <c r="F121" t="s">
        <v>243</v>
      </c>
      <c r="G121" t="s">
        <v>243</v>
      </c>
      <c r="H121" t="s">
        <v>243</v>
      </c>
      <c r="I121" t="s">
        <v>243</v>
      </c>
      <c r="R121" t="s">
        <v>243</v>
      </c>
      <c r="S121" t="s">
        <v>243</v>
      </c>
      <c r="T121" t="s">
        <v>243</v>
      </c>
      <c r="U121" t="s">
        <v>243</v>
      </c>
      <c r="V121" t="s">
        <v>243</v>
      </c>
      <c r="BC121" t="s">
        <v>243</v>
      </c>
    </row>
    <row r="122" spans="2:55" x14ac:dyDescent="0.2">
      <c r="B122" t="s">
        <v>1373</v>
      </c>
      <c r="C122">
        <v>850</v>
      </c>
      <c r="D122" t="s">
        <v>248</v>
      </c>
    </row>
    <row r="123" spans="2:55" x14ac:dyDescent="0.2">
      <c r="B123" t="s">
        <v>487</v>
      </c>
      <c r="C123">
        <v>854</v>
      </c>
      <c r="D123" t="s">
        <v>251</v>
      </c>
    </row>
    <row r="124" spans="2:55" x14ac:dyDescent="0.2">
      <c r="B124" t="s">
        <v>1374</v>
      </c>
      <c r="C124">
        <v>855</v>
      </c>
      <c r="D124" t="s">
        <v>251</v>
      </c>
    </row>
    <row r="125" spans="2:55" x14ac:dyDescent="0.2">
      <c r="B125" t="s">
        <v>1375</v>
      </c>
      <c r="C125">
        <v>856</v>
      </c>
      <c r="D125" t="s">
        <v>251</v>
      </c>
    </row>
    <row r="126" spans="2:55" x14ac:dyDescent="0.2">
      <c r="B126" t="s">
        <v>1376</v>
      </c>
      <c r="C126">
        <v>857</v>
      </c>
      <c r="D126" t="s">
        <v>248</v>
      </c>
      <c r="F126">
        <f>F135</f>
        <v>0</v>
      </c>
    </row>
    <row r="127" spans="2:55" x14ac:dyDescent="0.2">
      <c r="B127" t="s">
        <v>1377</v>
      </c>
      <c r="C127">
        <v>860</v>
      </c>
      <c r="D127" t="s">
        <v>251</v>
      </c>
      <c r="E127">
        <f>E135-F135</f>
        <v>0</v>
      </c>
    </row>
    <row r="128" spans="2:55" x14ac:dyDescent="0.2">
      <c r="B128" t="s">
        <v>1378</v>
      </c>
      <c r="C128">
        <v>870</v>
      </c>
      <c r="D128" t="s">
        <v>248</v>
      </c>
      <c r="E128">
        <f>E135</f>
        <v>0</v>
      </c>
    </row>
    <row r="129" spans="2:80" x14ac:dyDescent="0.2">
      <c r="B129" t="s">
        <v>1379</v>
      </c>
    </row>
    <row r="130" spans="2:80" x14ac:dyDescent="0.2">
      <c r="B130" t="s">
        <v>1380</v>
      </c>
      <c r="C130">
        <v>880</v>
      </c>
      <c r="D130" t="s">
        <v>248</v>
      </c>
      <c r="F130">
        <f>SUM(G130:V130)</f>
        <v>0</v>
      </c>
      <c r="BC130">
        <f>E130</f>
        <v>0</v>
      </c>
    </row>
    <row r="131" spans="2:80" x14ac:dyDescent="0.2">
      <c r="B131" t="s">
        <v>1381</v>
      </c>
      <c r="C131">
        <v>890</v>
      </c>
      <c r="D131" t="s">
        <v>248</v>
      </c>
      <c r="F131">
        <f>SUM(G131:V131)</f>
        <v>0</v>
      </c>
      <c r="BC131">
        <f>E131</f>
        <v>0</v>
      </c>
      <c r="CB131">
        <f>IF(E131&lt;0,1,0)</f>
        <v>0</v>
      </c>
    </row>
    <row r="132" spans="2:80" x14ac:dyDescent="0.2">
      <c r="B132" t="s">
        <v>1382</v>
      </c>
      <c r="C132">
        <v>900</v>
      </c>
      <c r="D132" t="s">
        <v>248</v>
      </c>
      <c r="F132">
        <f>SUM(G132:V132)</f>
        <v>0</v>
      </c>
      <c r="BC132">
        <f>E132</f>
        <v>0</v>
      </c>
      <c r="CB132">
        <f>IF(E132&lt;0,1,0)</f>
        <v>0</v>
      </c>
    </row>
    <row r="133" spans="2:80" x14ac:dyDescent="0.2">
      <c r="B133" t="s">
        <v>1383</v>
      </c>
      <c r="C133">
        <v>905</v>
      </c>
      <c r="D133" t="s">
        <v>248</v>
      </c>
      <c r="E133">
        <f>SUM(E131:E132)</f>
        <v>0</v>
      </c>
      <c r="F133">
        <f>SUM(F131:F132)</f>
        <v>0</v>
      </c>
      <c r="H133">
        <f>SUM(H131:H132)</f>
        <v>0</v>
      </c>
      <c r="V133">
        <f>SUM(V131:V132)</f>
        <v>0</v>
      </c>
      <c r="BC133">
        <f>SUM(BC131:BC132)</f>
        <v>0</v>
      </c>
    </row>
    <row r="134" spans="2:80" x14ac:dyDescent="0.2">
      <c r="B134" t="s">
        <v>1385</v>
      </c>
      <c r="C134">
        <v>910</v>
      </c>
      <c r="D134" t="s">
        <v>248</v>
      </c>
      <c r="F134">
        <f>SUM(G134:V134)</f>
        <v>0</v>
      </c>
      <c r="BC134">
        <f>E134</f>
        <v>0</v>
      </c>
      <c r="CB134">
        <f>IF(E134&lt;0,1,0)</f>
        <v>0</v>
      </c>
    </row>
    <row r="135" spans="2:80" x14ac:dyDescent="0.2">
      <c r="B135" t="s">
        <v>1386</v>
      </c>
      <c r="C135">
        <v>920</v>
      </c>
      <c r="D135" t="s">
        <v>248</v>
      </c>
      <c r="E135">
        <f>SUM(E133:E134)+E130</f>
        <v>0</v>
      </c>
      <c r="F135">
        <f>SUM(F133:F134)+F130</f>
        <v>0</v>
      </c>
      <c r="H135">
        <f>SUM(H133:H134)+H130</f>
        <v>0</v>
      </c>
      <c r="BC135">
        <f>SUM(BC133:BC134)+BC130</f>
        <v>0</v>
      </c>
    </row>
    <row r="136" spans="2:80" x14ac:dyDescent="0.2">
      <c r="B136" t="s">
        <v>1387</v>
      </c>
      <c r="C136">
        <v>930</v>
      </c>
      <c r="D136" t="s">
        <v>245</v>
      </c>
      <c r="F136">
        <f>SUM(G136:V136)</f>
        <v>0</v>
      </c>
      <c r="BC136">
        <f>E136</f>
        <v>0</v>
      </c>
      <c r="CA136">
        <f>IF(E136&gt;0,1,0)</f>
        <v>0</v>
      </c>
    </row>
    <row r="137" spans="2:80" x14ac:dyDescent="0.2">
      <c r="B137" t="s">
        <v>1388</v>
      </c>
      <c r="C137">
        <v>940</v>
      </c>
      <c r="D137" t="s">
        <v>245</v>
      </c>
      <c r="F137">
        <f>SUM(G137:V137)</f>
        <v>0</v>
      </c>
      <c r="BC137">
        <f>E137</f>
        <v>0</v>
      </c>
      <c r="CA137">
        <f>IF(E137&gt;0,1,0)</f>
        <v>0</v>
      </c>
    </row>
    <row r="138" spans="2:80" x14ac:dyDescent="0.2">
      <c r="B138" t="s">
        <v>1389</v>
      </c>
      <c r="C138">
        <v>950</v>
      </c>
      <c r="D138" t="s">
        <v>251</v>
      </c>
      <c r="E138">
        <f>SUM(E135:E137)</f>
        <v>0</v>
      </c>
      <c r="F138">
        <f>SUM(F135:F137)</f>
        <v>0</v>
      </c>
      <c r="H138">
        <f>SUM(H135:H137)</f>
        <v>0</v>
      </c>
      <c r="BC138">
        <f>SUM(BC135:BC137)</f>
        <v>0</v>
      </c>
    </row>
    <row r="139" spans="2:80" x14ac:dyDescent="0.2">
      <c r="B139" t="s">
        <v>3001</v>
      </c>
      <c r="C139">
        <v>952</v>
      </c>
      <c r="D139" t="s">
        <v>251</v>
      </c>
    </row>
    <row r="140" spans="2:80" x14ac:dyDescent="0.2">
      <c r="B140" t="s">
        <v>3002</v>
      </c>
      <c r="C140">
        <v>955</v>
      </c>
      <c r="D140" t="s">
        <v>251</v>
      </c>
    </row>
    <row r="141" spans="2:80" x14ac:dyDescent="0.2">
      <c r="B141" t="s">
        <v>1351</v>
      </c>
      <c r="E141" t="s">
        <v>3003</v>
      </c>
      <c r="F141" t="s">
        <v>402</v>
      </c>
      <c r="H141" t="s">
        <v>2999</v>
      </c>
      <c r="I141" t="s">
        <v>1352</v>
      </c>
    </row>
    <row r="142" spans="2:80" x14ac:dyDescent="0.2">
      <c r="B142" t="s">
        <v>1392</v>
      </c>
      <c r="C142">
        <v>970</v>
      </c>
      <c r="D142" t="s">
        <v>251</v>
      </c>
    </row>
    <row r="165" spans="2:80" x14ac:dyDescent="0.2">
      <c r="D165" t="s">
        <v>25</v>
      </c>
      <c r="E165" t="s">
        <v>235</v>
      </c>
      <c r="F165" t="s">
        <v>236</v>
      </c>
      <c r="G165" t="s">
        <v>293</v>
      </c>
      <c r="H165" t="s">
        <v>294</v>
      </c>
      <c r="R165" t="s">
        <v>576</v>
      </c>
      <c r="S165" t="s">
        <v>577</v>
      </c>
      <c r="T165" t="s">
        <v>578</v>
      </c>
      <c r="U165" t="s">
        <v>579</v>
      </c>
      <c r="V165" t="s">
        <v>580</v>
      </c>
    </row>
    <row r="166" spans="2:80" x14ac:dyDescent="0.2">
      <c r="B166" t="s">
        <v>1393</v>
      </c>
      <c r="C166" t="s">
        <v>238</v>
      </c>
      <c r="E166" t="s">
        <v>799</v>
      </c>
      <c r="F166" t="s">
        <v>1328</v>
      </c>
      <c r="G166" t="s">
        <v>1329</v>
      </c>
      <c r="H166" t="s">
        <v>302</v>
      </c>
      <c r="R166" t="s">
        <v>1330</v>
      </c>
      <c r="S166" t="s">
        <v>387</v>
      </c>
      <c r="T166" t="s">
        <v>303</v>
      </c>
      <c r="U166" t="s">
        <v>304</v>
      </c>
      <c r="V166" t="s">
        <v>1033</v>
      </c>
    </row>
    <row r="167" spans="2:80" x14ac:dyDescent="0.2">
      <c r="C167" t="s">
        <v>242</v>
      </c>
      <c r="E167" t="s">
        <v>243</v>
      </c>
      <c r="F167" t="s">
        <v>243</v>
      </c>
      <c r="G167" t="s">
        <v>243</v>
      </c>
      <c r="H167" t="s">
        <v>243</v>
      </c>
      <c r="R167" t="s">
        <v>243</v>
      </c>
      <c r="S167" t="s">
        <v>243</v>
      </c>
      <c r="T167" t="s">
        <v>243</v>
      </c>
      <c r="U167" t="s">
        <v>243</v>
      </c>
      <c r="V167" t="s">
        <v>243</v>
      </c>
    </row>
    <row r="168" spans="2:80" x14ac:dyDescent="0.2">
      <c r="B168" t="s">
        <v>1394</v>
      </c>
      <c r="C168">
        <v>1160</v>
      </c>
      <c r="D168" t="s">
        <v>248</v>
      </c>
    </row>
    <row r="173" spans="2:80" x14ac:dyDescent="0.2">
      <c r="D173" t="s">
        <v>25</v>
      </c>
      <c r="E173" t="s">
        <v>235</v>
      </c>
      <c r="BC173" t="s">
        <v>237</v>
      </c>
    </row>
    <row r="174" spans="2:80" x14ac:dyDescent="0.2">
      <c r="B174" t="s">
        <v>144</v>
      </c>
      <c r="C174" t="s">
        <v>238</v>
      </c>
      <c r="E174" t="s">
        <v>799</v>
      </c>
      <c r="BC174" t="s">
        <v>241</v>
      </c>
    </row>
    <row r="175" spans="2:80" x14ac:dyDescent="0.2">
      <c r="C175" t="s">
        <v>242</v>
      </c>
      <c r="E175" t="s">
        <v>243</v>
      </c>
      <c r="BC175" t="s">
        <v>243</v>
      </c>
    </row>
    <row r="176" spans="2:80" x14ac:dyDescent="0.2">
      <c r="B176" t="s">
        <v>1033</v>
      </c>
      <c r="C176">
        <v>1240</v>
      </c>
      <c r="D176" t="s">
        <v>248</v>
      </c>
      <c r="CB176">
        <f>IF(E176&lt;0,1,0)</f>
        <v>0</v>
      </c>
    </row>
    <row r="177" spans="2:80" x14ac:dyDescent="0.2">
      <c r="B177" t="s">
        <v>1360</v>
      </c>
      <c r="C177">
        <v>1250</v>
      </c>
      <c r="D177" t="s">
        <v>251</v>
      </c>
    </row>
    <row r="178" spans="2:80" x14ac:dyDescent="0.2">
      <c r="B178" t="s">
        <v>303</v>
      </c>
      <c r="C178">
        <v>1260</v>
      </c>
      <c r="D178" t="s">
        <v>248</v>
      </c>
      <c r="CB178">
        <f>IF(E178&lt;0,1,0)</f>
        <v>0</v>
      </c>
    </row>
    <row r="179" spans="2:80" x14ac:dyDescent="0.2">
      <c r="B179" t="s">
        <v>387</v>
      </c>
      <c r="C179">
        <v>1270</v>
      </c>
      <c r="D179" t="s">
        <v>251</v>
      </c>
    </row>
    <row r="180" spans="2:80" x14ac:dyDescent="0.2">
      <c r="B180" t="s">
        <v>389</v>
      </c>
      <c r="C180">
        <v>1280</v>
      </c>
      <c r="D180" t="s">
        <v>248</v>
      </c>
      <c r="CB180">
        <f>IF(E180&lt;0,1,0)</f>
        <v>0</v>
      </c>
    </row>
    <row r="181" spans="2:80" x14ac:dyDescent="0.2">
      <c r="B181" t="s">
        <v>391</v>
      </c>
      <c r="C181">
        <v>1290</v>
      </c>
      <c r="D181" t="s">
        <v>251</v>
      </c>
      <c r="E181">
        <f>SUM(E176:E180)</f>
        <v>0</v>
      </c>
    </row>
    <row r="182" spans="2:80" x14ac:dyDescent="0.2">
      <c r="B182" t="s">
        <v>401</v>
      </c>
      <c r="C182">
        <v>1300</v>
      </c>
      <c r="D182" t="s">
        <v>251</v>
      </c>
    </row>
    <row r="183" spans="2:80" x14ac:dyDescent="0.2">
      <c r="B183" t="s">
        <v>402</v>
      </c>
      <c r="C183">
        <v>1310</v>
      </c>
      <c r="D183" t="s">
        <v>248</v>
      </c>
      <c r="CB183">
        <f>IF(E183&lt;0,1,0)</f>
        <v>0</v>
      </c>
    </row>
    <row r="184" spans="2:80" x14ac:dyDescent="0.2">
      <c r="B184" t="s">
        <v>292</v>
      </c>
      <c r="C184">
        <v>1320</v>
      </c>
      <c r="D184" t="s">
        <v>248</v>
      </c>
      <c r="BC184">
        <f>E184</f>
        <v>0</v>
      </c>
      <c r="CB184">
        <f>IF(E184&lt;0,1,0)</f>
        <v>0</v>
      </c>
    </row>
    <row r="185" spans="2:80" x14ac:dyDescent="0.2">
      <c r="B185" t="s">
        <v>1068</v>
      </c>
      <c r="C185">
        <v>1330</v>
      </c>
      <c r="D185" t="s">
        <v>248</v>
      </c>
      <c r="CB185">
        <f>IF(E185&lt;0,1,0)</f>
        <v>0</v>
      </c>
    </row>
    <row r="186" spans="2:80" x14ac:dyDescent="0.2">
      <c r="B186" t="s">
        <v>1395</v>
      </c>
      <c r="C186">
        <v>1340</v>
      </c>
      <c r="D186" t="s">
        <v>245</v>
      </c>
      <c r="CA186">
        <f>IF(E186&gt;0,1,0)</f>
        <v>0</v>
      </c>
    </row>
    <row r="187" spans="2:80" x14ac:dyDescent="0.2">
      <c r="B187" t="s">
        <v>1396</v>
      </c>
      <c r="C187">
        <v>1350</v>
      </c>
      <c r="D187" t="s">
        <v>248</v>
      </c>
      <c r="CB187">
        <f>IF(E187&lt;0,1,0)</f>
        <v>0</v>
      </c>
    </row>
    <row r="188" spans="2:80" x14ac:dyDescent="0.2">
      <c r="B188" t="s">
        <v>1397</v>
      </c>
      <c r="C188">
        <v>1355</v>
      </c>
      <c r="D188" t="s">
        <v>251</v>
      </c>
    </row>
    <row r="189" spans="2:80" x14ac:dyDescent="0.2">
      <c r="B189" t="s">
        <v>1398</v>
      </c>
      <c r="C189">
        <v>1360</v>
      </c>
      <c r="D189" t="s">
        <v>245</v>
      </c>
      <c r="BC189">
        <f>E189</f>
        <v>0</v>
      </c>
      <c r="CA189">
        <f>IF(E189&gt;0,1,0)</f>
        <v>0</v>
      </c>
    </row>
    <row r="190" spans="2:80" x14ac:dyDescent="0.2">
      <c r="B190" t="s">
        <v>1237</v>
      </c>
      <c r="C190">
        <v>1370</v>
      </c>
      <c r="D190" t="s">
        <v>245</v>
      </c>
      <c r="BC190">
        <f>E190</f>
        <v>0</v>
      </c>
      <c r="CA190">
        <f>IF(E190&gt;0,1,0)</f>
        <v>0</v>
      </c>
    </row>
    <row r="191" spans="2:80" x14ac:dyDescent="0.2">
      <c r="B191" t="s">
        <v>1074</v>
      </c>
      <c r="C191">
        <v>1380</v>
      </c>
      <c r="D191" t="s">
        <v>251</v>
      </c>
    </row>
    <row r="192" spans="2:80" x14ac:dyDescent="0.2">
      <c r="B192" t="s">
        <v>1399</v>
      </c>
      <c r="C192">
        <v>1390</v>
      </c>
      <c r="D192" t="s">
        <v>248</v>
      </c>
      <c r="E192">
        <f>SUM(E181:E191)</f>
        <v>0</v>
      </c>
      <c r="BC192">
        <f>SUM(BC176:BC191)</f>
        <v>0</v>
      </c>
    </row>
    <row r="196" spans="2:55" x14ac:dyDescent="0.2">
      <c r="F196" t="s">
        <v>1400</v>
      </c>
      <c r="R196" t="s">
        <v>1401</v>
      </c>
      <c r="AC196" t="s">
        <v>1322</v>
      </c>
    </row>
    <row r="197" spans="2:55" x14ac:dyDescent="0.2">
      <c r="D197" t="s">
        <v>25</v>
      </c>
      <c r="E197" t="s">
        <v>235</v>
      </c>
      <c r="F197" t="s">
        <v>236</v>
      </c>
      <c r="G197" t="s">
        <v>293</v>
      </c>
      <c r="H197" t="s">
        <v>294</v>
      </c>
      <c r="I197" t="s">
        <v>298</v>
      </c>
      <c r="R197" t="s">
        <v>576</v>
      </c>
      <c r="S197" t="s">
        <v>577</v>
      </c>
      <c r="T197" t="s">
        <v>578</v>
      </c>
      <c r="U197" t="s">
        <v>579</v>
      </c>
      <c r="V197" t="s">
        <v>580</v>
      </c>
      <c r="AC197" t="s">
        <v>825</v>
      </c>
      <c r="AD197" t="s">
        <v>826</v>
      </c>
      <c r="AE197" t="s">
        <v>827</v>
      </c>
      <c r="AF197" t="s">
        <v>828</v>
      </c>
      <c r="AG197" t="s">
        <v>829</v>
      </c>
      <c r="AH197" t="s">
        <v>830</v>
      </c>
      <c r="AI197" t="s">
        <v>831</v>
      </c>
      <c r="AJ197" t="s">
        <v>1323</v>
      </c>
      <c r="AK197" t="s">
        <v>1324</v>
      </c>
      <c r="AL197" t="s">
        <v>1325</v>
      </c>
      <c r="AM197" t="s">
        <v>1326</v>
      </c>
      <c r="BC197" t="s">
        <v>237</v>
      </c>
    </row>
    <row r="198" spans="2:55" x14ac:dyDescent="0.2">
      <c r="B198" t="s">
        <v>145</v>
      </c>
      <c r="C198" t="s">
        <v>238</v>
      </c>
      <c r="E198" t="s">
        <v>799</v>
      </c>
      <c r="F198" t="s">
        <v>1328</v>
      </c>
      <c r="G198" t="s">
        <v>1329</v>
      </c>
      <c r="H198" t="s">
        <v>302</v>
      </c>
      <c r="R198" t="s">
        <v>1330</v>
      </c>
      <c r="S198" t="s">
        <v>387</v>
      </c>
      <c r="T198" t="s">
        <v>303</v>
      </c>
      <c r="U198" t="s">
        <v>304</v>
      </c>
      <c r="V198" t="s">
        <v>1033</v>
      </c>
      <c r="AC198" t="s">
        <v>1005</v>
      </c>
      <c r="AD198" t="s">
        <v>1006</v>
      </c>
      <c r="AE198" t="s">
        <v>1007</v>
      </c>
      <c r="AF198" t="s">
        <v>590</v>
      </c>
      <c r="AG198" t="s">
        <v>1008</v>
      </c>
      <c r="AH198" t="s">
        <v>1265</v>
      </c>
      <c r="AI198" t="s">
        <v>1266</v>
      </c>
      <c r="AJ198" t="s">
        <v>1267</v>
      </c>
      <c r="AK198" t="s">
        <v>599</v>
      </c>
      <c r="AL198" t="s">
        <v>1268</v>
      </c>
      <c r="AM198" t="s">
        <v>1269</v>
      </c>
      <c r="BC198" t="s">
        <v>241</v>
      </c>
    </row>
    <row r="199" spans="2:55" x14ac:dyDescent="0.2">
      <c r="C199" t="s">
        <v>242</v>
      </c>
      <c r="E199" t="s">
        <v>243</v>
      </c>
      <c r="F199" t="s">
        <v>243</v>
      </c>
      <c r="G199" t="s">
        <v>243</v>
      </c>
      <c r="H199" t="s">
        <v>243</v>
      </c>
      <c r="I199" t="s">
        <v>243</v>
      </c>
      <c r="R199" t="s">
        <v>243</v>
      </c>
      <c r="S199" t="s">
        <v>243</v>
      </c>
      <c r="T199" t="s">
        <v>243</v>
      </c>
      <c r="U199" t="s">
        <v>243</v>
      </c>
      <c r="V199" t="s">
        <v>243</v>
      </c>
      <c r="AC199" t="s">
        <v>243</v>
      </c>
      <c r="AD199" t="s">
        <v>243</v>
      </c>
      <c r="AE199" t="s">
        <v>243</v>
      </c>
      <c r="AF199" t="s">
        <v>243</v>
      </c>
      <c r="AG199" t="s">
        <v>243</v>
      </c>
      <c r="AH199" t="s">
        <v>243</v>
      </c>
      <c r="AI199" t="s">
        <v>243</v>
      </c>
      <c r="AJ199" t="s">
        <v>243</v>
      </c>
      <c r="AK199" t="s">
        <v>243</v>
      </c>
      <c r="AL199" t="s">
        <v>243</v>
      </c>
      <c r="AM199" t="s">
        <v>243</v>
      </c>
      <c r="BC199" t="s">
        <v>243</v>
      </c>
    </row>
    <row r="200" spans="2:55" x14ac:dyDescent="0.2">
      <c r="B200" t="s">
        <v>3004</v>
      </c>
      <c r="C200">
        <v>1400</v>
      </c>
      <c r="D200" t="s">
        <v>248</v>
      </c>
      <c r="F200">
        <f>SUM(G200:V200)</f>
        <v>0</v>
      </c>
    </row>
    <row r="201" spans="2:55" x14ac:dyDescent="0.2">
      <c r="B201" t="s">
        <v>340</v>
      </c>
      <c r="C201">
        <v>1410</v>
      </c>
      <c r="D201" t="s">
        <v>248</v>
      </c>
      <c r="E201">
        <f>SUM(E200:E200)</f>
        <v>0</v>
      </c>
      <c r="F201">
        <f>SUM(F200:F200)</f>
        <v>0</v>
      </c>
      <c r="H201">
        <f>SUM(H200:H200)</f>
        <v>0</v>
      </c>
      <c r="V201">
        <f>SUM(V200:V200)</f>
        <v>0</v>
      </c>
      <c r="AC201">
        <f t="shared" ref="AC201:AM201" si="22">SUM(AC200:AC200)</f>
        <v>0</v>
      </c>
      <c r="AD201">
        <f t="shared" si="22"/>
        <v>0</v>
      </c>
      <c r="AE201">
        <f t="shared" si="22"/>
        <v>0</v>
      </c>
      <c r="AF201">
        <f t="shared" si="22"/>
        <v>0</v>
      </c>
      <c r="AG201">
        <f t="shared" si="22"/>
        <v>0</v>
      </c>
      <c r="AH201">
        <f t="shared" si="22"/>
        <v>0</v>
      </c>
      <c r="AI201">
        <f t="shared" si="22"/>
        <v>0</v>
      </c>
      <c r="AJ201">
        <f t="shared" si="22"/>
        <v>0</v>
      </c>
      <c r="AK201">
        <f t="shared" si="22"/>
        <v>0</v>
      </c>
      <c r="AL201">
        <f t="shared" si="22"/>
        <v>0</v>
      </c>
      <c r="AM201">
        <f t="shared" si="22"/>
        <v>0</v>
      </c>
      <c r="BC201">
        <f>E201</f>
        <v>0</v>
      </c>
    </row>
    <row r="202" spans="2:55" x14ac:dyDescent="0.2">
      <c r="B202" t="s">
        <v>1351</v>
      </c>
      <c r="E202" t="s">
        <v>3003</v>
      </c>
      <c r="F202" t="s">
        <v>402</v>
      </c>
      <c r="H202" t="s">
        <v>2999</v>
      </c>
      <c r="I202" t="s">
        <v>1352</v>
      </c>
    </row>
    <row r="203" spans="2:55" x14ac:dyDescent="0.2">
      <c r="B203" t="s">
        <v>145</v>
      </c>
      <c r="C203">
        <v>1420</v>
      </c>
      <c r="D203" t="s">
        <v>251</v>
      </c>
      <c r="H203">
        <f>SUM(E203:F203)</f>
        <v>0</v>
      </c>
    </row>
    <row r="207" spans="2:55" x14ac:dyDescent="0.2">
      <c r="D207" t="s">
        <v>25</v>
      </c>
      <c r="E207" t="s">
        <v>235</v>
      </c>
      <c r="F207" t="s">
        <v>236</v>
      </c>
    </row>
    <row r="208" spans="2:55" x14ac:dyDescent="0.2">
      <c r="B208" t="s">
        <v>1404</v>
      </c>
      <c r="C208" t="s">
        <v>238</v>
      </c>
      <c r="E208" t="s">
        <v>799</v>
      </c>
      <c r="F208" t="s">
        <v>240</v>
      </c>
    </row>
    <row r="209" spans="2:39" x14ac:dyDescent="0.2">
      <c r="C209" t="s">
        <v>242</v>
      </c>
      <c r="E209" t="s">
        <v>243</v>
      </c>
      <c r="F209" t="s">
        <v>243</v>
      </c>
    </row>
    <row r="210" spans="2:39" x14ac:dyDescent="0.2">
      <c r="B210" t="s">
        <v>1284</v>
      </c>
      <c r="C210">
        <v>1450</v>
      </c>
      <c r="D210" t="s">
        <v>248</v>
      </c>
    </row>
    <row r="211" spans="2:39" x14ac:dyDescent="0.2">
      <c r="B211" t="s">
        <v>1285</v>
      </c>
      <c r="C211">
        <v>1460</v>
      </c>
      <c r="D211" t="s">
        <v>248</v>
      </c>
    </row>
    <row r="216" spans="2:39" x14ac:dyDescent="0.2">
      <c r="D216" t="s">
        <v>25</v>
      </c>
      <c r="AC216" t="s">
        <v>825</v>
      </c>
      <c r="AD216" t="s">
        <v>826</v>
      </c>
      <c r="AE216" t="s">
        <v>827</v>
      </c>
      <c r="AF216" t="s">
        <v>828</v>
      </c>
      <c r="AG216" t="s">
        <v>829</v>
      </c>
      <c r="AH216" t="s">
        <v>830</v>
      </c>
      <c r="AI216" t="s">
        <v>831</v>
      </c>
      <c r="AJ216" t="s">
        <v>1323</v>
      </c>
      <c r="AK216" t="s">
        <v>1324</v>
      </c>
      <c r="AL216" t="s">
        <v>1325</v>
      </c>
      <c r="AM216" t="s">
        <v>1326</v>
      </c>
    </row>
    <row r="217" spans="2:39" x14ac:dyDescent="0.2">
      <c r="B217" t="s">
        <v>1405</v>
      </c>
      <c r="C217" t="s">
        <v>238</v>
      </c>
      <c r="AC217" t="s">
        <v>1005</v>
      </c>
      <c r="AD217" t="s">
        <v>1006</v>
      </c>
      <c r="AE217" t="s">
        <v>1007</v>
      </c>
      <c r="AF217" t="s">
        <v>590</v>
      </c>
      <c r="AG217" t="s">
        <v>1008</v>
      </c>
      <c r="AH217" t="s">
        <v>1265</v>
      </c>
      <c r="AI217" t="s">
        <v>1266</v>
      </c>
      <c r="AJ217" t="s">
        <v>1267</v>
      </c>
      <c r="AK217" t="s">
        <v>599</v>
      </c>
      <c r="AL217" t="s">
        <v>1268</v>
      </c>
      <c r="AM217" t="s">
        <v>1269</v>
      </c>
    </row>
    <row r="218" spans="2:39" x14ac:dyDescent="0.2">
      <c r="C218" t="s">
        <v>242</v>
      </c>
      <c r="AC218" t="s">
        <v>243</v>
      </c>
      <c r="AD218" t="s">
        <v>243</v>
      </c>
      <c r="AE218" t="s">
        <v>243</v>
      </c>
      <c r="AF218" t="s">
        <v>243</v>
      </c>
      <c r="AG218" t="s">
        <v>243</v>
      </c>
      <c r="AH218" t="s">
        <v>243</v>
      </c>
      <c r="AI218" t="s">
        <v>243</v>
      </c>
      <c r="AJ218" t="s">
        <v>243</v>
      </c>
      <c r="AK218" t="s">
        <v>243</v>
      </c>
      <c r="AL218" t="s">
        <v>243</v>
      </c>
      <c r="AM218" t="s">
        <v>243</v>
      </c>
    </row>
    <row r="219" spans="2:39" x14ac:dyDescent="0.2">
      <c r="B219" t="s">
        <v>1406</v>
      </c>
      <c r="C219">
        <v>1470</v>
      </c>
      <c r="D219" t="s">
        <v>248</v>
      </c>
      <c r="AC219">
        <f t="shared" ref="AC219:AM219" si="23">AC201+AC42+AC113</f>
        <v>0</v>
      </c>
      <c r="AD219">
        <f t="shared" si="23"/>
        <v>0</v>
      </c>
      <c r="AE219">
        <f t="shared" si="23"/>
        <v>0</v>
      </c>
      <c r="AF219">
        <f t="shared" si="23"/>
        <v>0</v>
      </c>
      <c r="AG219">
        <f t="shared" si="23"/>
        <v>0</v>
      </c>
      <c r="AH219">
        <f t="shared" si="23"/>
        <v>0</v>
      </c>
      <c r="AI219">
        <f t="shared" si="23"/>
        <v>0</v>
      </c>
      <c r="AJ219">
        <f t="shared" si="23"/>
        <v>0</v>
      </c>
      <c r="AK219">
        <f t="shared" si="23"/>
        <v>0</v>
      </c>
      <c r="AL219">
        <f t="shared" si="23"/>
        <v>0</v>
      </c>
      <c r="AM219">
        <f t="shared" si="23"/>
        <v>0</v>
      </c>
    </row>
    <row r="220" spans="2:39" x14ac:dyDescent="0.2">
      <c r="B220" t="s">
        <v>1407</v>
      </c>
      <c r="C220">
        <v>1480</v>
      </c>
      <c r="D220" t="s">
        <v>248</v>
      </c>
      <c r="AC220">
        <f t="shared" ref="AC220:AM220" si="24">AC57</f>
        <v>0</v>
      </c>
      <c r="AD220">
        <f t="shared" si="24"/>
        <v>0</v>
      </c>
      <c r="AE220">
        <f t="shared" si="24"/>
        <v>0</v>
      </c>
      <c r="AF220">
        <f t="shared" si="24"/>
        <v>0</v>
      </c>
      <c r="AG220">
        <f t="shared" si="24"/>
        <v>0</v>
      </c>
      <c r="AH220">
        <f t="shared" si="24"/>
        <v>0</v>
      </c>
      <c r="AI220">
        <f t="shared" si="24"/>
        <v>0</v>
      </c>
      <c r="AJ220">
        <f t="shared" si="24"/>
        <v>0</v>
      </c>
      <c r="AK220">
        <f t="shared" si="24"/>
        <v>0</v>
      </c>
      <c r="AL220">
        <f t="shared" si="24"/>
        <v>0</v>
      </c>
      <c r="AM220">
        <f t="shared" si="24"/>
        <v>0</v>
      </c>
    </row>
    <row r="223" spans="2:39" x14ac:dyDescent="0.2">
      <c r="F223" t="s">
        <v>1320</v>
      </c>
      <c r="R223" t="s">
        <v>1321</v>
      </c>
      <c r="AC223" t="s">
        <v>1322</v>
      </c>
    </row>
    <row r="224" spans="2:39" x14ac:dyDescent="0.2">
      <c r="D224" t="s">
        <v>25</v>
      </c>
      <c r="E224" t="s">
        <v>235</v>
      </c>
      <c r="F224" t="s">
        <v>236</v>
      </c>
      <c r="G224" t="s">
        <v>293</v>
      </c>
      <c r="H224" t="s">
        <v>294</v>
      </c>
      <c r="R224" t="s">
        <v>576</v>
      </c>
      <c r="S224" t="s">
        <v>577</v>
      </c>
      <c r="T224" t="s">
        <v>578</v>
      </c>
      <c r="U224" t="s">
        <v>579</v>
      </c>
      <c r="V224" t="s">
        <v>580</v>
      </c>
      <c r="AC224" t="s">
        <v>825</v>
      </c>
      <c r="AD224" t="s">
        <v>826</v>
      </c>
      <c r="AE224" t="s">
        <v>827</v>
      </c>
      <c r="AF224" t="s">
        <v>828</v>
      </c>
      <c r="AG224" t="s">
        <v>829</v>
      </c>
      <c r="AH224" t="s">
        <v>830</v>
      </c>
      <c r="AI224" t="s">
        <v>831</v>
      </c>
      <c r="AJ224" t="s">
        <v>1323</v>
      </c>
      <c r="AK224" t="s">
        <v>1324</v>
      </c>
      <c r="AL224" t="s">
        <v>1325</v>
      </c>
      <c r="AM224" t="s">
        <v>1326</v>
      </c>
    </row>
    <row r="225" spans="2:39" x14ac:dyDescent="0.2">
      <c r="B225" t="s">
        <v>1408</v>
      </c>
      <c r="C225" t="s">
        <v>238</v>
      </c>
      <c r="E225" t="s">
        <v>799</v>
      </c>
      <c r="F225" t="s">
        <v>1328</v>
      </c>
      <c r="G225" t="s">
        <v>1329</v>
      </c>
      <c r="H225" t="s">
        <v>302</v>
      </c>
      <c r="R225" t="s">
        <v>1330</v>
      </c>
      <c r="S225" t="s">
        <v>387</v>
      </c>
      <c r="T225" t="s">
        <v>303</v>
      </c>
      <c r="U225" t="s">
        <v>304</v>
      </c>
      <c r="V225" t="s">
        <v>1033</v>
      </c>
      <c r="AC225" t="s">
        <v>1005</v>
      </c>
      <c r="AD225" t="s">
        <v>1006</v>
      </c>
      <c r="AE225" t="s">
        <v>1007</v>
      </c>
      <c r="AF225" t="s">
        <v>590</v>
      </c>
      <c r="AG225" t="s">
        <v>1008</v>
      </c>
      <c r="AH225" t="s">
        <v>1265</v>
      </c>
      <c r="AI225" t="s">
        <v>1266</v>
      </c>
      <c r="AJ225" t="s">
        <v>1267</v>
      </c>
      <c r="AK225" t="s">
        <v>599</v>
      </c>
      <c r="AL225" t="s">
        <v>1268</v>
      </c>
      <c r="AM225" t="s">
        <v>1269</v>
      </c>
    </row>
    <row r="226" spans="2:39" x14ac:dyDescent="0.2">
      <c r="C226" t="s">
        <v>242</v>
      </c>
      <c r="E226" t="s">
        <v>243</v>
      </c>
      <c r="F226" t="s">
        <v>243</v>
      </c>
      <c r="G226" t="s">
        <v>243</v>
      </c>
      <c r="H226" t="s">
        <v>243</v>
      </c>
      <c r="R226" t="s">
        <v>243</v>
      </c>
      <c r="S226" t="s">
        <v>243</v>
      </c>
      <c r="T226" t="s">
        <v>243</v>
      </c>
      <c r="U226" t="s">
        <v>243</v>
      </c>
      <c r="V226" t="s">
        <v>243</v>
      </c>
      <c r="AC226" t="s">
        <v>243</v>
      </c>
      <c r="AD226" t="s">
        <v>243</v>
      </c>
      <c r="AE226" t="s">
        <v>243</v>
      </c>
      <c r="AF226" t="s">
        <v>243</v>
      </c>
      <c r="AG226" t="s">
        <v>243</v>
      </c>
      <c r="AH226" t="s">
        <v>243</v>
      </c>
      <c r="AI226" t="s">
        <v>243</v>
      </c>
      <c r="AJ226" t="s">
        <v>243</v>
      </c>
      <c r="AK226" t="s">
        <v>243</v>
      </c>
      <c r="AL226" t="s">
        <v>243</v>
      </c>
      <c r="AM226" t="s">
        <v>243</v>
      </c>
    </row>
    <row r="228" spans="2:39" x14ac:dyDescent="0.2">
      <c r="B228" t="s">
        <v>1409</v>
      </c>
      <c r="C228">
        <v>1630</v>
      </c>
      <c r="D228" t="s">
        <v>248</v>
      </c>
    </row>
    <row r="229" spans="2:39" x14ac:dyDescent="0.2">
      <c r="B229" t="s">
        <v>1410</v>
      </c>
      <c r="C229">
        <v>1640</v>
      </c>
      <c r="D229" t="s">
        <v>248</v>
      </c>
    </row>
    <row r="230" spans="2:39" x14ac:dyDescent="0.2">
      <c r="B230" t="s">
        <v>1411</v>
      </c>
      <c r="C230">
        <v>1650</v>
      </c>
      <c r="D230" t="s">
        <v>248</v>
      </c>
      <c r="E230">
        <f>SUM(E228:E229)</f>
        <v>0</v>
      </c>
      <c r="H230">
        <f>SUM(H228:H229)</f>
        <v>0</v>
      </c>
      <c r="V230">
        <f>SUM(V228:V229)</f>
        <v>0</v>
      </c>
      <c r="AC230">
        <f t="shared" ref="AC230:AM230" si="25">SUM(AC228:AC229)</f>
        <v>0</v>
      </c>
      <c r="AD230">
        <f t="shared" si="25"/>
        <v>0</v>
      </c>
      <c r="AE230">
        <f t="shared" si="25"/>
        <v>0</v>
      </c>
      <c r="AF230">
        <f t="shared" si="25"/>
        <v>0</v>
      </c>
      <c r="AG230">
        <f t="shared" si="25"/>
        <v>0</v>
      </c>
      <c r="AH230">
        <f t="shared" si="25"/>
        <v>0</v>
      </c>
      <c r="AI230">
        <f t="shared" si="25"/>
        <v>0</v>
      </c>
      <c r="AJ230">
        <f t="shared" si="25"/>
        <v>0</v>
      </c>
      <c r="AK230">
        <f t="shared" si="25"/>
        <v>0</v>
      </c>
      <c r="AL230">
        <f t="shared" si="25"/>
        <v>0</v>
      </c>
      <c r="AM230">
        <f t="shared" si="25"/>
        <v>0</v>
      </c>
    </row>
    <row r="231" spans="2:39" x14ac:dyDescent="0.2">
      <c r="B231" t="s">
        <v>1412</v>
      </c>
      <c r="C231">
        <v>1670</v>
      </c>
      <c r="D231" t="s">
        <v>248</v>
      </c>
    </row>
    <row r="232" spans="2:39" x14ac:dyDescent="0.2">
      <c r="B232" t="s">
        <v>1413</v>
      </c>
      <c r="C232">
        <v>1675</v>
      </c>
      <c r="D232" t="s">
        <v>248</v>
      </c>
    </row>
    <row r="233" spans="2:39" x14ac:dyDescent="0.2">
      <c r="B233" t="s">
        <v>1414</v>
      </c>
      <c r="C233">
        <v>1680</v>
      </c>
      <c r="D233" t="s">
        <v>248</v>
      </c>
      <c r="E233">
        <f>SUM(E231:E232)</f>
        <v>0</v>
      </c>
      <c r="H233">
        <f>SUM(H231:H232)</f>
        <v>0</v>
      </c>
      <c r="V233">
        <f>SUM(V231:V232)</f>
        <v>0</v>
      </c>
      <c r="AC233">
        <f t="shared" ref="AC233:AM233" si="26">SUM(AC231:AC232)</f>
        <v>0</v>
      </c>
      <c r="AD233">
        <f t="shared" si="26"/>
        <v>0</v>
      </c>
      <c r="AE233">
        <f t="shared" si="26"/>
        <v>0</v>
      </c>
      <c r="AF233">
        <f t="shared" si="26"/>
        <v>0</v>
      </c>
      <c r="AG233">
        <f t="shared" si="26"/>
        <v>0</v>
      </c>
      <c r="AH233">
        <f t="shared" si="26"/>
        <v>0</v>
      </c>
      <c r="AI233">
        <f t="shared" si="26"/>
        <v>0</v>
      </c>
      <c r="AJ233">
        <f t="shared" si="26"/>
        <v>0</v>
      </c>
      <c r="AK233">
        <f t="shared" si="26"/>
        <v>0</v>
      </c>
      <c r="AL233">
        <f t="shared" si="26"/>
        <v>0</v>
      </c>
      <c r="AM233">
        <f t="shared" si="26"/>
        <v>0</v>
      </c>
    </row>
    <row r="234" spans="2:39" x14ac:dyDescent="0.2">
      <c r="B234" t="s">
        <v>1415</v>
      </c>
      <c r="C234">
        <v>1690</v>
      </c>
      <c r="D234" t="s">
        <v>248</v>
      </c>
    </row>
    <row r="235" spans="2:39" x14ac:dyDescent="0.2">
      <c r="B235" t="s">
        <v>1416</v>
      </c>
      <c r="C235">
        <v>1700</v>
      </c>
      <c r="D235" t="s">
        <v>248</v>
      </c>
    </row>
    <row r="236" spans="2:39" x14ac:dyDescent="0.2">
      <c r="B236" t="s">
        <v>1417</v>
      </c>
      <c r="C236">
        <v>1710</v>
      </c>
      <c r="D236" t="s">
        <v>248</v>
      </c>
      <c r="E236">
        <f>SUM(E234:E235)</f>
        <v>0</v>
      </c>
      <c r="H236">
        <f>SUM(H234:H235)</f>
        <v>0</v>
      </c>
      <c r="V236">
        <f>SUM(V234:V235)</f>
        <v>0</v>
      </c>
      <c r="AC236">
        <f t="shared" ref="AC236:AM236" si="27">SUM(AC234:AC235)</f>
        <v>0</v>
      </c>
      <c r="AD236">
        <f t="shared" si="27"/>
        <v>0</v>
      </c>
      <c r="AE236">
        <f t="shared" si="27"/>
        <v>0</v>
      </c>
      <c r="AF236">
        <f t="shared" si="27"/>
        <v>0</v>
      </c>
      <c r="AG236">
        <f t="shared" si="27"/>
        <v>0</v>
      </c>
      <c r="AH236">
        <f t="shared" si="27"/>
        <v>0</v>
      </c>
      <c r="AI236">
        <f t="shared" si="27"/>
        <v>0</v>
      </c>
      <c r="AJ236">
        <f t="shared" si="27"/>
        <v>0</v>
      </c>
      <c r="AK236">
        <f t="shared" si="27"/>
        <v>0</v>
      </c>
      <c r="AL236">
        <f t="shared" si="27"/>
        <v>0</v>
      </c>
      <c r="AM236">
        <f t="shared" si="27"/>
        <v>0</v>
      </c>
    </row>
    <row r="239" spans="2:39" x14ac:dyDescent="0.2">
      <c r="F239" t="s">
        <v>1320</v>
      </c>
      <c r="R239" t="s">
        <v>1321</v>
      </c>
      <c r="AC239" t="s">
        <v>1322</v>
      </c>
    </row>
    <row r="240" spans="2:39" x14ac:dyDescent="0.2">
      <c r="D240" t="s">
        <v>25</v>
      </c>
      <c r="E240" t="s">
        <v>235</v>
      </c>
      <c r="F240" t="s">
        <v>236</v>
      </c>
      <c r="G240" t="s">
        <v>293</v>
      </c>
      <c r="H240" t="s">
        <v>294</v>
      </c>
      <c r="R240" t="s">
        <v>576</v>
      </c>
      <c r="S240" t="s">
        <v>577</v>
      </c>
      <c r="T240" t="s">
        <v>578</v>
      </c>
      <c r="U240" t="s">
        <v>579</v>
      </c>
      <c r="V240" t="s">
        <v>580</v>
      </c>
      <c r="AC240" t="s">
        <v>825</v>
      </c>
      <c r="AD240" t="s">
        <v>826</v>
      </c>
      <c r="AE240" t="s">
        <v>827</v>
      </c>
      <c r="AF240" t="s">
        <v>828</v>
      </c>
      <c r="AG240" t="s">
        <v>829</v>
      </c>
      <c r="AH240" t="s">
        <v>830</v>
      </c>
      <c r="AI240" t="s">
        <v>831</v>
      </c>
      <c r="AJ240" t="s">
        <v>1323</v>
      </c>
      <c r="AK240" t="s">
        <v>1324</v>
      </c>
      <c r="AL240" t="s">
        <v>1325</v>
      </c>
      <c r="AM240" t="s">
        <v>1326</v>
      </c>
    </row>
    <row r="241" spans="2:39" x14ac:dyDescent="0.2">
      <c r="B241" t="s">
        <v>1418</v>
      </c>
      <c r="C241" t="s">
        <v>238</v>
      </c>
      <c r="E241" t="s">
        <v>799</v>
      </c>
      <c r="F241" t="s">
        <v>1328</v>
      </c>
      <c r="G241" t="s">
        <v>1329</v>
      </c>
      <c r="H241" t="s">
        <v>302</v>
      </c>
      <c r="R241" t="s">
        <v>1330</v>
      </c>
      <c r="S241" t="s">
        <v>387</v>
      </c>
      <c r="T241" t="s">
        <v>303</v>
      </c>
      <c r="U241" t="s">
        <v>304</v>
      </c>
      <c r="V241" t="s">
        <v>1033</v>
      </c>
      <c r="AC241" t="s">
        <v>1005</v>
      </c>
      <c r="AD241" t="s">
        <v>1006</v>
      </c>
      <c r="AE241" t="s">
        <v>1007</v>
      </c>
      <c r="AF241" t="s">
        <v>590</v>
      </c>
      <c r="AG241" t="s">
        <v>1008</v>
      </c>
      <c r="AH241" t="s">
        <v>1265</v>
      </c>
      <c r="AI241" t="s">
        <v>1266</v>
      </c>
      <c r="AJ241" t="s">
        <v>1267</v>
      </c>
      <c r="AK241" t="s">
        <v>599</v>
      </c>
      <c r="AL241" t="s">
        <v>1268</v>
      </c>
      <c r="AM241" t="s">
        <v>1269</v>
      </c>
    </row>
    <row r="242" spans="2:39" x14ac:dyDescent="0.2">
      <c r="C242" t="s">
        <v>242</v>
      </c>
      <c r="E242" t="s">
        <v>243</v>
      </c>
      <c r="F242" t="s">
        <v>243</v>
      </c>
      <c r="G242" t="s">
        <v>243</v>
      </c>
      <c r="H242" t="s">
        <v>243</v>
      </c>
      <c r="R242" t="s">
        <v>243</v>
      </c>
      <c r="S242" t="s">
        <v>243</v>
      </c>
      <c r="T242" t="s">
        <v>243</v>
      </c>
      <c r="U242" t="s">
        <v>243</v>
      </c>
      <c r="V242" t="s">
        <v>243</v>
      </c>
      <c r="AC242" t="s">
        <v>243</v>
      </c>
      <c r="AD242" t="s">
        <v>243</v>
      </c>
      <c r="AE242" t="s">
        <v>243</v>
      </c>
      <c r="AF242" t="s">
        <v>243</v>
      </c>
      <c r="AG242" t="s">
        <v>243</v>
      </c>
      <c r="AH242" t="s">
        <v>243</v>
      </c>
      <c r="AI242" t="s">
        <v>243</v>
      </c>
      <c r="AJ242" t="s">
        <v>243</v>
      </c>
      <c r="AK242" t="s">
        <v>243</v>
      </c>
      <c r="AL242" t="s">
        <v>243</v>
      </c>
      <c r="AM242" t="s">
        <v>243</v>
      </c>
    </row>
    <row r="244" spans="2:39" x14ac:dyDescent="0.2">
      <c r="B244" t="s">
        <v>1409</v>
      </c>
      <c r="C244">
        <v>1720</v>
      </c>
      <c r="D244" t="s">
        <v>248</v>
      </c>
    </row>
    <row r="245" spans="2:39" x14ac:dyDescent="0.2">
      <c r="B245" t="s">
        <v>1410</v>
      </c>
      <c r="C245">
        <v>1730</v>
      </c>
      <c r="D245" t="s">
        <v>248</v>
      </c>
    </row>
    <row r="246" spans="2:39" x14ac:dyDescent="0.2">
      <c r="B246" t="s">
        <v>1419</v>
      </c>
      <c r="C246">
        <v>1740</v>
      </c>
      <c r="D246" t="s">
        <v>248</v>
      </c>
      <c r="E246">
        <f>SUM(E244:E245)</f>
        <v>0</v>
      </c>
      <c r="H246">
        <f>SUM(H244:H245)</f>
        <v>0</v>
      </c>
      <c r="V246">
        <f>SUM(V244:V245)</f>
        <v>0</v>
      </c>
      <c r="AC246">
        <f t="shared" ref="AC246:AM246" si="28">SUM(AC244:AC245)</f>
        <v>0</v>
      </c>
      <c r="AD246">
        <f t="shared" si="28"/>
        <v>0</v>
      </c>
      <c r="AE246">
        <f t="shared" si="28"/>
        <v>0</v>
      </c>
      <c r="AF246">
        <f t="shared" si="28"/>
        <v>0</v>
      </c>
      <c r="AG246">
        <f t="shared" si="28"/>
        <v>0</v>
      </c>
      <c r="AH246">
        <f t="shared" si="28"/>
        <v>0</v>
      </c>
      <c r="AI246">
        <f t="shared" si="28"/>
        <v>0</v>
      </c>
      <c r="AJ246">
        <f t="shared" si="28"/>
        <v>0</v>
      </c>
      <c r="AK246">
        <f t="shared" si="28"/>
        <v>0</v>
      </c>
      <c r="AL246">
        <f t="shared" si="28"/>
        <v>0</v>
      </c>
      <c r="AM246">
        <f t="shared" si="28"/>
        <v>0</v>
      </c>
    </row>
    <row r="247" spans="2:39" x14ac:dyDescent="0.2">
      <c r="B247" t="s">
        <v>1412</v>
      </c>
      <c r="C247">
        <v>1750</v>
      </c>
      <c r="D247" t="s">
        <v>248</v>
      </c>
    </row>
    <row r="248" spans="2:39" x14ac:dyDescent="0.2">
      <c r="B248" t="s">
        <v>1413</v>
      </c>
      <c r="C248">
        <v>1755</v>
      </c>
      <c r="D248" t="s">
        <v>248</v>
      </c>
    </row>
    <row r="249" spans="2:39" x14ac:dyDescent="0.2">
      <c r="B249" t="s">
        <v>1420</v>
      </c>
      <c r="C249">
        <v>1760</v>
      </c>
      <c r="D249" t="s">
        <v>248</v>
      </c>
      <c r="E249">
        <f>SUM(E247:E248)</f>
        <v>0</v>
      </c>
      <c r="H249">
        <f>SUM(H247:H248)</f>
        <v>0</v>
      </c>
      <c r="V249">
        <f>SUM(V247:V248)</f>
        <v>0</v>
      </c>
      <c r="AC249">
        <f t="shared" ref="AC249:AM249" si="29">SUM(AC247:AC248)</f>
        <v>0</v>
      </c>
      <c r="AD249">
        <f t="shared" si="29"/>
        <v>0</v>
      </c>
      <c r="AE249">
        <f t="shared" si="29"/>
        <v>0</v>
      </c>
      <c r="AF249">
        <f t="shared" si="29"/>
        <v>0</v>
      </c>
      <c r="AG249">
        <f t="shared" si="29"/>
        <v>0</v>
      </c>
      <c r="AH249">
        <f t="shared" si="29"/>
        <v>0</v>
      </c>
      <c r="AI249">
        <f t="shared" si="29"/>
        <v>0</v>
      </c>
      <c r="AJ249">
        <f t="shared" si="29"/>
        <v>0</v>
      </c>
      <c r="AK249">
        <f t="shared" si="29"/>
        <v>0</v>
      </c>
      <c r="AL249">
        <f t="shared" si="29"/>
        <v>0</v>
      </c>
      <c r="AM249">
        <f t="shared" si="29"/>
        <v>0</v>
      </c>
    </row>
    <row r="250" spans="2:39" x14ac:dyDescent="0.2">
      <c r="B250" t="s">
        <v>1415</v>
      </c>
      <c r="C250">
        <v>1770</v>
      </c>
      <c r="D250" t="s">
        <v>248</v>
      </c>
    </row>
    <row r="251" spans="2:39" x14ac:dyDescent="0.2">
      <c r="B251" t="s">
        <v>1416</v>
      </c>
      <c r="C251">
        <v>1780</v>
      </c>
      <c r="D251" t="s">
        <v>248</v>
      </c>
    </row>
    <row r="252" spans="2:39" x14ac:dyDescent="0.2">
      <c r="B252" t="s">
        <v>1421</v>
      </c>
      <c r="C252">
        <v>1790</v>
      </c>
      <c r="D252" t="s">
        <v>248</v>
      </c>
      <c r="E252">
        <f>SUM(E250:E251)</f>
        <v>0</v>
      </c>
      <c r="H252">
        <f>SUM(H250:H251)</f>
        <v>0</v>
      </c>
      <c r="V252">
        <f>SUM(V250:V251)</f>
        <v>0</v>
      </c>
      <c r="AC252">
        <f t="shared" ref="AC252:AM252" si="30">SUM(AC250:AC251)</f>
        <v>0</v>
      </c>
      <c r="AD252">
        <f t="shared" si="30"/>
        <v>0</v>
      </c>
      <c r="AE252">
        <f t="shared" si="30"/>
        <v>0</v>
      </c>
      <c r="AF252">
        <f t="shared" si="30"/>
        <v>0</v>
      </c>
      <c r="AG252">
        <f t="shared" si="30"/>
        <v>0</v>
      </c>
      <c r="AH252">
        <f t="shared" si="30"/>
        <v>0</v>
      </c>
      <c r="AI252">
        <f t="shared" si="30"/>
        <v>0</v>
      </c>
      <c r="AJ252">
        <f t="shared" si="30"/>
        <v>0</v>
      </c>
      <c r="AK252">
        <f t="shared" si="30"/>
        <v>0</v>
      </c>
      <c r="AL252">
        <f t="shared" si="30"/>
        <v>0</v>
      </c>
      <c r="AM252">
        <f t="shared" si="30"/>
        <v>0</v>
      </c>
    </row>
    <row r="257" spans="2:39" x14ac:dyDescent="0.2">
      <c r="D257" t="s">
        <v>25</v>
      </c>
      <c r="E257" t="s">
        <v>235</v>
      </c>
      <c r="F257" t="s">
        <v>236</v>
      </c>
      <c r="G257" t="s">
        <v>293</v>
      </c>
      <c r="H257" t="s">
        <v>294</v>
      </c>
      <c r="R257" t="s">
        <v>576</v>
      </c>
      <c r="S257" t="s">
        <v>577</v>
      </c>
      <c r="T257" t="s">
        <v>578</v>
      </c>
      <c r="U257" t="s">
        <v>579</v>
      </c>
      <c r="V257" t="s">
        <v>580</v>
      </c>
      <c r="AC257" t="s">
        <v>825</v>
      </c>
      <c r="AD257" t="s">
        <v>826</v>
      </c>
      <c r="AE257" t="s">
        <v>827</v>
      </c>
      <c r="AF257" t="s">
        <v>828</v>
      </c>
      <c r="AG257" t="s">
        <v>829</v>
      </c>
      <c r="AH257" t="s">
        <v>830</v>
      </c>
      <c r="AI257" t="s">
        <v>831</v>
      </c>
      <c r="AJ257" t="s">
        <v>1323</v>
      </c>
      <c r="AK257" t="s">
        <v>1324</v>
      </c>
      <c r="AL257" t="s">
        <v>1325</v>
      </c>
      <c r="AM257" t="s">
        <v>1326</v>
      </c>
    </row>
    <row r="258" spans="2:39" x14ac:dyDescent="0.2">
      <c r="B258" t="s">
        <v>1422</v>
      </c>
      <c r="C258" t="s">
        <v>238</v>
      </c>
      <c r="E258" t="s">
        <v>799</v>
      </c>
      <c r="F258" t="s">
        <v>1328</v>
      </c>
      <c r="G258" t="s">
        <v>1329</v>
      </c>
      <c r="H258" t="s">
        <v>302</v>
      </c>
      <c r="R258" t="s">
        <v>1330</v>
      </c>
      <c r="S258" t="s">
        <v>387</v>
      </c>
      <c r="T258" t="s">
        <v>303</v>
      </c>
      <c r="U258" t="s">
        <v>304</v>
      </c>
      <c r="V258" t="s">
        <v>1033</v>
      </c>
      <c r="AC258" t="s">
        <v>1005</v>
      </c>
      <c r="AD258" t="s">
        <v>1006</v>
      </c>
      <c r="AE258" t="s">
        <v>1007</v>
      </c>
      <c r="AF258" t="s">
        <v>590</v>
      </c>
      <c r="AG258" t="s">
        <v>1008</v>
      </c>
      <c r="AH258" t="s">
        <v>1265</v>
      </c>
      <c r="AI258" t="s">
        <v>1266</v>
      </c>
      <c r="AJ258" t="s">
        <v>1267</v>
      </c>
      <c r="AK258" t="s">
        <v>599</v>
      </c>
      <c r="AL258" t="s">
        <v>1268</v>
      </c>
      <c r="AM258" t="s">
        <v>1269</v>
      </c>
    </row>
    <row r="259" spans="2:39" x14ac:dyDescent="0.2">
      <c r="C259" t="s">
        <v>242</v>
      </c>
      <c r="E259" t="s">
        <v>243</v>
      </c>
      <c r="F259" t="s">
        <v>243</v>
      </c>
      <c r="G259" t="s">
        <v>243</v>
      </c>
      <c r="H259" t="s">
        <v>243</v>
      </c>
      <c r="R259" t="s">
        <v>243</v>
      </c>
      <c r="S259" t="s">
        <v>243</v>
      </c>
      <c r="T259" t="s">
        <v>243</v>
      </c>
      <c r="U259" t="s">
        <v>243</v>
      </c>
      <c r="V259" t="s">
        <v>243</v>
      </c>
      <c r="AC259" t="s">
        <v>243</v>
      </c>
      <c r="AD259" t="s">
        <v>243</v>
      </c>
      <c r="AE259" t="s">
        <v>243</v>
      </c>
      <c r="AF259" t="s">
        <v>243</v>
      </c>
      <c r="AG259" t="s">
        <v>243</v>
      </c>
      <c r="AH259" t="s">
        <v>243</v>
      </c>
      <c r="AI259" t="s">
        <v>243</v>
      </c>
      <c r="AJ259" t="s">
        <v>243</v>
      </c>
      <c r="AK259" t="s">
        <v>243</v>
      </c>
      <c r="AL259" t="s">
        <v>243</v>
      </c>
      <c r="AM259" t="s">
        <v>243</v>
      </c>
    </row>
    <row r="260" spans="2:39" x14ac:dyDescent="0.2">
      <c r="B260" t="s">
        <v>1248</v>
      </c>
    </row>
    <row r="261" spans="2:39" x14ac:dyDescent="0.2">
      <c r="B261" t="s">
        <v>1423</v>
      </c>
      <c r="C261">
        <v>1795</v>
      </c>
      <c r="D261" t="s">
        <v>248</v>
      </c>
    </row>
    <row r="262" spans="2:39" x14ac:dyDescent="0.2">
      <c r="B262" t="s">
        <v>1424</v>
      </c>
      <c r="C262">
        <v>1800</v>
      </c>
      <c r="D262" t="s">
        <v>248</v>
      </c>
    </row>
    <row r="263" spans="2:39" x14ac:dyDescent="0.2">
      <c r="B263" t="s">
        <v>1425</v>
      </c>
      <c r="C263">
        <v>1802</v>
      </c>
      <c r="D263" t="s">
        <v>248</v>
      </c>
      <c r="E263">
        <f>SUM(E261:E262)</f>
        <v>0</v>
      </c>
      <c r="H263">
        <f>SUM(H261:H262)</f>
        <v>0</v>
      </c>
      <c r="V263">
        <f>SUM(V261:V262)</f>
        <v>0</v>
      </c>
      <c r="AC263">
        <f t="shared" ref="AC263:AM263" si="31">SUM(AC261:AC262)</f>
        <v>0</v>
      </c>
      <c r="AD263">
        <f t="shared" si="31"/>
        <v>0</v>
      </c>
      <c r="AE263">
        <f t="shared" si="31"/>
        <v>0</v>
      </c>
      <c r="AF263">
        <f t="shared" si="31"/>
        <v>0</v>
      </c>
      <c r="AG263">
        <f t="shared" si="31"/>
        <v>0</v>
      </c>
      <c r="AH263">
        <f t="shared" si="31"/>
        <v>0</v>
      </c>
      <c r="AI263">
        <f t="shared" si="31"/>
        <v>0</v>
      </c>
      <c r="AJ263">
        <f t="shared" si="31"/>
        <v>0</v>
      </c>
      <c r="AK263">
        <f t="shared" si="31"/>
        <v>0</v>
      </c>
      <c r="AL263">
        <f t="shared" si="31"/>
        <v>0</v>
      </c>
      <c r="AM263">
        <f t="shared" si="31"/>
        <v>0</v>
      </c>
    </row>
    <row r="264" spans="2:39" x14ac:dyDescent="0.2">
      <c r="B264" t="s">
        <v>1426</v>
      </c>
      <c r="C264">
        <v>1804</v>
      </c>
      <c r="D264" t="s">
        <v>248</v>
      </c>
    </row>
    <row r="265" spans="2:39" x14ac:dyDescent="0.2">
      <c r="B265" t="s">
        <v>1427</v>
      </c>
      <c r="C265">
        <v>1810</v>
      </c>
      <c r="D265" t="s">
        <v>248</v>
      </c>
    </row>
    <row r="266" spans="2:39" x14ac:dyDescent="0.2">
      <c r="B266" t="s">
        <v>1428</v>
      </c>
      <c r="C266">
        <v>1820</v>
      </c>
      <c r="D266" t="s">
        <v>248</v>
      </c>
      <c r="E266">
        <f>SUM(E264:E265)</f>
        <v>0</v>
      </c>
      <c r="H266">
        <f>SUM(H264:H265)</f>
        <v>0</v>
      </c>
      <c r="V266">
        <f>SUM(V264:V265)</f>
        <v>0</v>
      </c>
      <c r="AC266">
        <f t="shared" ref="AC266:AM266" si="32">SUM(AC264:AC265)</f>
        <v>0</v>
      </c>
      <c r="AD266">
        <f t="shared" si="32"/>
        <v>0</v>
      </c>
      <c r="AE266">
        <f t="shared" si="32"/>
        <v>0</v>
      </c>
      <c r="AF266">
        <f t="shared" si="32"/>
        <v>0</v>
      </c>
      <c r="AG266">
        <f t="shared" si="32"/>
        <v>0</v>
      </c>
      <c r="AH266">
        <f t="shared" si="32"/>
        <v>0</v>
      </c>
      <c r="AI266">
        <f t="shared" si="32"/>
        <v>0</v>
      </c>
      <c r="AJ266">
        <f t="shared" si="32"/>
        <v>0</v>
      </c>
      <c r="AK266">
        <f t="shared" si="32"/>
        <v>0</v>
      </c>
      <c r="AL266">
        <f t="shared" si="32"/>
        <v>0</v>
      </c>
      <c r="AM266">
        <f t="shared" si="32"/>
        <v>0</v>
      </c>
    </row>
    <row r="267" spans="2:39" x14ac:dyDescent="0.2">
      <c r="B267" t="s">
        <v>1346</v>
      </c>
    </row>
    <row r="268" spans="2:39" x14ac:dyDescent="0.2">
      <c r="B268" t="s">
        <v>1423</v>
      </c>
      <c r="C268">
        <v>1825</v>
      </c>
      <c r="D268" t="s">
        <v>248</v>
      </c>
    </row>
    <row r="269" spans="2:39" x14ac:dyDescent="0.2">
      <c r="B269" t="s">
        <v>1424</v>
      </c>
      <c r="C269">
        <v>1830</v>
      </c>
      <c r="D269" t="s">
        <v>248</v>
      </c>
    </row>
    <row r="270" spans="2:39" x14ac:dyDescent="0.2">
      <c r="B270" t="s">
        <v>1429</v>
      </c>
      <c r="C270">
        <v>1832</v>
      </c>
      <c r="D270" t="s">
        <v>248</v>
      </c>
      <c r="E270">
        <f>SUM(E268:E269)</f>
        <v>0</v>
      </c>
      <c r="H270">
        <f>SUM(H268:H269)</f>
        <v>0</v>
      </c>
      <c r="V270">
        <f>SUM(V268:V269)</f>
        <v>0</v>
      </c>
      <c r="AC270">
        <f t="shared" ref="AC270:AM270" si="33">SUM(AC268:AC269)</f>
        <v>0</v>
      </c>
      <c r="AD270">
        <f t="shared" si="33"/>
        <v>0</v>
      </c>
      <c r="AE270">
        <f t="shared" si="33"/>
        <v>0</v>
      </c>
      <c r="AF270">
        <f t="shared" si="33"/>
        <v>0</v>
      </c>
      <c r="AG270">
        <f t="shared" si="33"/>
        <v>0</v>
      </c>
      <c r="AH270">
        <f t="shared" si="33"/>
        <v>0</v>
      </c>
      <c r="AI270">
        <f t="shared" si="33"/>
        <v>0</v>
      </c>
      <c r="AJ270">
        <f t="shared" si="33"/>
        <v>0</v>
      </c>
      <c r="AK270">
        <f t="shared" si="33"/>
        <v>0</v>
      </c>
      <c r="AL270">
        <f t="shared" si="33"/>
        <v>0</v>
      </c>
      <c r="AM270">
        <f t="shared" si="33"/>
        <v>0</v>
      </c>
    </row>
    <row r="271" spans="2:39" x14ac:dyDescent="0.2">
      <c r="B271" t="s">
        <v>1426</v>
      </c>
      <c r="C271">
        <v>1834</v>
      </c>
      <c r="D271" t="s">
        <v>248</v>
      </c>
    </row>
    <row r="272" spans="2:39" x14ac:dyDescent="0.2">
      <c r="B272" t="s">
        <v>1427</v>
      </c>
      <c r="C272">
        <v>1840</v>
      </c>
      <c r="D272" t="s">
        <v>248</v>
      </c>
    </row>
    <row r="273" spans="2:39" x14ac:dyDescent="0.2">
      <c r="B273" t="s">
        <v>1430</v>
      </c>
      <c r="C273">
        <v>1850</v>
      </c>
      <c r="D273" t="s">
        <v>248</v>
      </c>
      <c r="E273">
        <f>SUM(E271:E272)</f>
        <v>0</v>
      </c>
      <c r="H273">
        <f>SUM(H271:H272)</f>
        <v>0</v>
      </c>
      <c r="V273">
        <f>SUM(V271:V272)</f>
        <v>0</v>
      </c>
      <c r="AC273">
        <f t="shared" ref="AC273:AM273" si="34">SUM(AC271:AC272)</f>
        <v>0</v>
      </c>
      <c r="AD273">
        <f t="shared" si="34"/>
        <v>0</v>
      </c>
      <c r="AE273">
        <f t="shared" si="34"/>
        <v>0</v>
      </c>
      <c r="AF273">
        <f t="shared" si="34"/>
        <v>0</v>
      </c>
      <c r="AG273">
        <f t="shared" si="34"/>
        <v>0</v>
      </c>
      <c r="AH273">
        <f t="shared" si="34"/>
        <v>0</v>
      </c>
      <c r="AI273">
        <f t="shared" si="34"/>
        <v>0</v>
      </c>
      <c r="AJ273">
        <f t="shared" si="34"/>
        <v>0</v>
      </c>
      <c r="AK273">
        <f t="shared" si="34"/>
        <v>0</v>
      </c>
      <c r="AL273">
        <f t="shared" si="34"/>
        <v>0</v>
      </c>
      <c r="AM273">
        <f t="shared" si="34"/>
        <v>0</v>
      </c>
    </row>
    <row r="276" spans="2:39" x14ac:dyDescent="0.2">
      <c r="D276" t="s">
        <v>25</v>
      </c>
      <c r="E276" t="s">
        <v>235</v>
      </c>
      <c r="F276" t="s">
        <v>236</v>
      </c>
      <c r="H276" t="s">
        <v>294</v>
      </c>
      <c r="T276" t="s">
        <v>578</v>
      </c>
      <c r="U276" t="s">
        <v>579</v>
      </c>
    </row>
    <row r="277" spans="2:39" x14ac:dyDescent="0.2">
      <c r="B277" t="s">
        <v>1431</v>
      </c>
      <c r="C277" t="s">
        <v>238</v>
      </c>
      <c r="E277" t="s">
        <v>1432</v>
      </c>
      <c r="F277" t="s">
        <v>1433</v>
      </c>
      <c r="H277" t="s">
        <v>1434</v>
      </c>
      <c r="T277" t="s">
        <v>1435</v>
      </c>
      <c r="U277" t="s">
        <v>1436</v>
      </c>
    </row>
    <row r="278" spans="2:39" x14ac:dyDescent="0.2">
      <c r="C278" t="s">
        <v>242</v>
      </c>
      <c r="E278" t="s">
        <v>243</v>
      </c>
      <c r="F278" t="s">
        <v>243</v>
      </c>
      <c r="H278" t="s">
        <v>243</v>
      </c>
      <c r="T278" t="s">
        <v>243</v>
      </c>
      <c r="U278" t="s">
        <v>243</v>
      </c>
    </row>
    <row r="279" spans="2:39" x14ac:dyDescent="0.2">
      <c r="B279" t="s">
        <v>1437</v>
      </c>
      <c r="C279">
        <v>1900</v>
      </c>
      <c r="D279" t="s">
        <v>248</v>
      </c>
      <c r="E279">
        <f>E32+E33+E47+E48</f>
        <v>0</v>
      </c>
      <c r="U279">
        <f>E279-F279-H279-T279</f>
        <v>0</v>
      </c>
    </row>
    <row r="280" spans="2:39" x14ac:dyDescent="0.2">
      <c r="B280" t="s">
        <v>1438</v>
      </c>
      <c r="C280">
        <v>1910</v>
      </c>
      <c r="D280" t="s">
        <v>248</v>
      </c>
      <c r="E280">
        <f>E29+E30+E44+E45</f>
        <v>0</v>
      </c>
      <c r="U280">
        <f>E280-F280-H280-T280</f>
        <v>0</v>
      </c>
    </row>
    <row r="285" spans="2:39" x14ac:dyDescent="0.2">
      <c r="D285" t="s">
        <v>25</v>
      </c>
      <c r="E285" t="s">
        <v>235</v>
      </c>
      <c r="F285" t="s">
        <v>236</v>
      </c>
      <c r="G285" t="s">
        <v>293</v>
      </c>
      <c r="H285" t="s">
        <v>294</v>
      </c>
      <c r="R285" t="s">
        <v>576</v>
      </c>
      <c r="S285" t="s">
        <v>577</v>
      </c>
      <c r="T285" t="s">
        <v>578</v>
      </c>
      <c r="U285" t="s">
        <v>579</v>
      </c>
      <c r="V285" t="s">
        <v>580</v>
      </c>
      <c r="AC285" t="s">
        <v>825</v>
      </c>
      <c r="AD285" t="s">
        <v>826</v>
      </c>
      <c r="AE285" t="s">
        <v>827</v>
      </c>
      <c r="AF285" t="s">
        <v>828</v>
      </c>
      <c r="AG285" t="s">
        <v>829</v>
      </c>
      <c r="AH285" t="s">
        <v>830</v>
      </c>
      <c r="AI285" t="s">
        <v>831</v>
      </c>
      <c r="AJ285" t="s">
        <v>1323</v>
      </c>
      <c r="AK285" t="s">
        <v>1324</v>
      </c>
      <c r="AL285" t="s">
        <v>1325</v>
      </c>
      <c r="AM285" t="s">
        <v>1326</v>
      </c>
    </row>
    <row r="286" spans="2:39" x14ac:dyDescent="0.2">
      <c r="B286" t="s">
        <v>1182</v>
      </c>
      <c r="C286" t="s">
        <v>238</v>
      </c>
      <c r="E286" t="s">
        <v>799</v>
      </c>
      <c r="F286" t="s">
        <v>1328</v>
      </c>
      <c r="G286" t="s">
        <v>1329</v>
      </c>
      <c r="H286" t="s">
        <v>302</v>
      </c>
      <c r="R286" t="s">
        <v>1330</v>
      </c>
      <c r="S286" t="s">
        <v>387</v>
      </c>
      <c r="T286" t="s">
        <v>303</v>
      </c>
      <c r="U286" t="s">
        <v>304</v>
      </c>
      <c r="V286" t="s">
        <v>1033</v>
      </c>
      <c r="AC286" t="s">
        <v>1005</v>
      </c>
      <c r="AD286" t="s">
        <v>1006</v>
      </c>
      <c r="AE286" t="s">
        <v>1007</v>
      </c>
      <c r="AF286" t="s">
        <v>590</v>
      </c>
      <c r="AG286" t="s">
        <v>1008</v>
      </c>
      <c r="AH286" t="s">
        <v>1265</v>
      </c>
      <c r="AI286" t="s">
        <v>1266</v>
      </c>
      <c r="AJ286" t="s">
        <v>1267</v>
      </c>
      <c r="AK286" t="s">
        <v>599</v>
      </c>
      <c r="AL286" t="s">
        <v>1268</v>
      </c>
      <c r="AM286" t="s">
        <v>1269</v>
      </c>
    </row>
    <row r="287" spans="2:39" x14ac:dyDescent="0.2">
      <c r="C287" t="s">
        <v>242</v>
      </c>
      <c r="E287" t="s">
        <v>243</v>
      </c>
      <c r="F287" t="s">
        <v>243</v>
      </c>
      <c r="G287" t="s">
        <v>243</v>
      </c>
      <c r="H287" t="s">
        <v>243</v>
      </c>
      <c r="R287" t="s">
        <v>243</v>
      </c>
      <c r="S287" t="s">
        <v>243</v>
      </c>
      <c r="T287" t="s">
        <v>243</v>
      </c>
      <c r="U287" t="s">
        <v>243</v>
      </c>
      <c r="V287" t="s">
        <v>243</v>
      </c>
      <c r="AC287" t="s">
        <v>243</v>
      </c>
      <c r="AD287" t="s">
        <v>243</v>
      </c>
      <c r="AE287" t="s">
        <v>243</v>
      </c>
      <c r="AF287" t="s">
        <v>243</v>
      </c>
      <c r="AG287" t="s">
        <v>243</v>
      </c>
      <c r="AH287" t="s">
        <v>243</v>
      </c>
      <c r="AI287" t="s">
        <v>243</v>
      </c>
      <c r="AJ287" t="s">
        <v>243</v>
      </c>
      <c r="AK287" t="s">
        <v>243</v>
      </c>
      <c r="AL287" t="s">
        <v>243</v>
      </c>
      <c r="AM287" t="s">
        <v>243</v>
      </c>
    </row>
    <row r="288" spans="2:39" x14ac:dyDescent="0.2">
      <c r="B288" t="s">
        <v>1331</v>
      </c>
      <c r="C288">
        <v>200</v>
      </c>
      <c r="D288" t="s">
        <v>248</v>
      </c>
      <c r="E288">
        <f>E29</f>
        <v>0</v>
      </c>
      <c r="F288">
        <f>F29</f>
        <v>0</v>
      </c>
      <c r="H288">
        <f>H29</f>
        <v>0</v>
      </c>
      <c r="V288">
        <f>V29</f>
        <v>0</v>
      </c>
      <c r="AC288">
        <f t="shared" ref="AC288:AM288" si="35">AC29</f>
        <v>0</v>
      </c>
      <c r="AD288">
        <f t="shared" si="35"/>
        <v>0</v>
      </c>
      <c r="AE288">
        <f t="shared" si="35"/>
        <v>0</v>
      </c>
      <c r="AF288">
        <f t="shared" si="35"/>
        <v>0</v>
      </c>
      <c r="AG288">
        <f t="shared" si="35"/>
        <v>0</v>
      </c>
      <c r="AH288">
        <f t="shared" si="35"/>
        <v>0</v>
      </c>
      <c r="AI288">
        <f t="shared" si="35"/>
        <v>0</v>
      </c>
      <c r="AJ288">
        <f t="shared" si="35"/>
        <v>0</v>
      </c>
      <c r="AK288">
        <f t="shared" si="35"/>
        <v>0</v>
      </c>
      <c r="AL288">
        <f t="shared" si="35"/>
        <v>0</v>
      </c>
      <c r="AM288">
        <f t="shared" si="35"/>
        <v>0</v>
      </c>
    </row>
    <row r="289" spans="2:39" x14ac:dyDescent="0.2">
      <c r="B289" t="s">
        <v>3005</v>
      </c>
      <c r="C289">
        <v>230</v>
      </c>
      <c r="D289" t="s">
        <v>248</v>
      </c>
      <c r="E289">
        <f>E32</f>
        <v>0</v>
      </c>
      <c r="F289">
        <f>F32</f>
        <v>0</v>
      </c>
      <c r="H289">
        <f>H32</f>
        <v>0</v>
      </c>
      <c r="V289">
        <f>V32</f>
        <v>0</v>
      </c>
      <c r="AC289">
        <f t="shared" ref="AC289:AM289" si="36">AC32</f>
        <v>0</v>
      </c>
      <c r="AD289">
        <f t="shared" si="36"/>
        <v>0</v>
      </c>
      <c r="AE289">
        <f t="shared" si="36"/>
        <v>0</v>
      </c>
      <c r="AF289">
        <f t="shared" si="36"/>
        <v>0</v>
      </c>
      <c r="AG289">
        <f t="shared" si="36"/>
        <v>0</v>
      </c>
      <c r="AH289">
        <f t="shared" si="36"/>
        <v>0</v>
      </c>
      <c r="AI289">
        <f t="shared" si="36"/>
        <v>0</v>
      </c>
      <c r="AJ289">
        <f t="shared" si="36"/>
        <v>0</v>
      </c>
      <c r="AK289">
        <f t="shared" si="36"/>
        <v>0</v>
      </c>
      <c r="AL289">
        <f t="shared" si="36"/>
        <v>0</v>
      </c>
      <c r="AM289">
        <f t="shared" si="36"/>
        <v>0</v>
      </c>
    </row>
    <row r="290" spans="2:39" x14ac:dyDescent="0.2">
      <c r="B290" t="s">
        <v>1439</v>
      </c>
      <c r="D290" t="s">
        <v>248</v>
      </c>
      <c r="E290">
        <f>SUM(E288:E289)</f>
        <v>0</v>
      </c>
      <c r="F290">
        <f>SUM(F288:F289)</f>
        <v>0</v>
      </c>
      <c r="H290">
        <f>SUM(H288:H289)</f>
        <v>0</v>
      </c>
      <c r="V290">
        <f>SUM(V288:V289)</f>
        <v>0</v>
      </c>
      <c r="AC290">
        <f t="shared" ref="AC290:AM290" si="37">SUM(AC288:AC289)</f>
        <v>0</v>
      </c>
      <c r="AD290">
        <f t="shared" si="37"/>
        <v>0</v>
      </c>
      <c r="AE290">
        <f t="shared" si="37"/>
        <v>0</v>
      </c>
      <c r="AF290">
        <f t="shared" si="37"/>
        <v>0</v>
      </c>
      <c r="AG290">
        <f t="shared" si="37"/>
        <v>0</v>
      </c>
      <c r="AH290">
        <f t="shared" si="37"/>
        <v>0</v>
      </c>
      <c r="AI290">
        <f t="shared" si="37"/>
        <v>0</v>
      </c>
      <c r="AJ290">
        <f t="shared" si="37"/>
        <v>0</v>
      </c>
      <c r="AK290">
        <f t="shared" si="37"/>
        <v>0</v>
      </c>
      <c r="AL290">
        <f t="shared" si="37"/>
        <v>0</v>
      </c>
      <c r="AM290">
        <f t="shared" si="37"/>
        <v>0</v>
      </c>
    </row>
    <row r="291" spans="2:39" x14ac:dyDescent="0.2">
      <c r="B291" t="s">
        <v>1331</v>
      </c>
      <c r="C291">
        <v>340</v>
      </c>
      <c r="D291" t="s">
        <v>248</v>
      </c>
      <c r="E291">
        <f>E44</f>
        <v>0</v>
      </c>
      <c r="F291">
        <f>F44</f>
        <v>0</v>
      </c>
      <c r="H291">
        <f>H44</f>
        <v>0</v>
      </c>
      <c r="V291">
        <f>V44</f>
        <v>0</v>
      </c>
      <c r="AC291">
        <f t="shared" ref="AC291:AM291" si="38">AC44</f>
        <v>0</v>
      </c>
      <c r="AD291">
        <f t="shared" si="38"/>
        <v>0</v>
      </c>
      <c r="AE291">
        <f t="shared" si="38"/>
        <v>0</v>
      </c>
      <c r="AF291">
        <f t="shared" si="38"/>
        <v>0</v>
      </c>
      <c r="AG291">
        <f t="shared" si="38"/>
        <v>0</v>
      </c>
      <c r="AH291">
        <f t="shared" si="38"/>
        <v>0</v>
      </c>
      <c r="AI291">
        <f t="shared" si="38"/>
        <v>0</v>
      </c>
      <c r="AJ291">
        <f t="shared" si="38"/>
        <v>0</v>
      </c>
      <c r="AK291">
        <f t="shared" si="38"/>
        <v>0</v>
      </c>
      <c r="AL291">
        <f t="shared" si="38"/>
        <v>0</v>
      </c>
      <c r="AM291">
        <f t="shared" si="38"/>
        <v>0</v>
      </c>
    </row>
    <row r="292" spans="2:39" x14ac:dyDescent="0.2">
      <c r="B292" t="s">
        <v>3005</v>
      </c>
      <c r="C292">
        <v>370</v>
      </c>
      <c r="D292" t="s">
        <v>248</v>
      </c>
      <c r="E292">
        <f>E47</f>
        <v>0</v>
      </c>
      <c r="F292">
        <f>F47</f>
        <v>0</v>
      </c>
      <c r="H292">
        <f>H47</f>
        <v>0</v>
      </c>
      <c r="V292">
        <f>V47</f>
        <v>0</v>
      </c>
      <c r="AC292">
        <f t="shared" ref="AC292:AM292" si="39">AC47</f>
        <v>0</v>
      </c>
      <c r="AD292">
        <f t="shared" si="39"/>
        <v>0</v>
      </c>
      <c r="AE292">
        <f t="shared" si="39"/>
        <v>0</v>
      </c>
      <c r="AF292">
        <f t="shared" si="39"/>
        <v>0</v>
      </c>
      <c r="AG292">
        <f t="shared" si="39"/>
        <v>0</v>
      </c>
      <c r="AH292">
        <f t="shared" si="39"/>
        <v>0</v>
      </c>
      <c r="AI292">
        <f t="shared" si="39"/>
        <v>0</v>
      </c>
      <c r="AJ292">
        <f t="shared" si="39"/>
        <v>0</v>
      </c>
      <c r="AK292">
        <f t="shared" si="39"/>
        <v>0</v>
      </c>
      <c r="AL292">
        <f t="shared" si="39"/>
        <v>0</v>
      </c>
      <c r="AM292">
        <f t="shared" si="39"/>
        <v>0</v>
      </c>
    </row>
    <row r="293" spans="2:39" x14ac:dyDescent="0.2">
      <c r="B293" t="s">
        <v>1441</v>
      </c>
      <c r="D293" t="s">
        <v>248</v>
      </c>
      <c r="E293">
        <f>SUM(E291:E292)</f>
        <v>0</v>
      </c>
      <c r="F293">
        <f>SUM(F291:F292)</f>
        <v>0</v>
      </c>
      <c r="H293">
        <f>SUM(H291:H292)</f>
        <v>0</v>
      </c>
      <c r="V293">
        <f>SUM(V291:V292)</f>
        <v>0</v>
      </c>
      <c r="AC293">
        <f t="shared" ref="AC293:AM293" si="40">SUM(AC291:AC292)</f>
        <v>0</v>
      </c>
      <c r="AD293">
        <f t="shared" si="40"/>
        <v>0</v>
      </c>
      <c r="AE293">
        <f t="shared" si="40"/>
        <v>0</v>
      </c>
      <c r="AF293">
        <f t="shared" si="40"/>
        <v>0</v>
      </c>
      <c r="AG293">
        <f t="shared" si="40"/>
        <v>0</v>
      </c>
      <c r="AH293">
        <f t="shared" si="40"/>
        <v>0</v>
      </c>
      <c r="AI293">
        <f t="shared" si="40"/>
        <v>0</v>
      </c>
      <c r="AJ293">
        <f t="shared" si="40"/>
        <v>0</v>
      </c>
      <c r="AK293">
        <f t="shared" si="40"/>
        <v>0</v>
      </c>
      <c r="AL293">
        <f t="shared" si="40"/>
        <v>0</v>
      </c>
      <c r="AM293">
        <f t="shared" si="40"/>
        <v>0</v>
      </c>
    </row>
  </sheetData>
  <sheetProtection sheet="1" objects="1" scenarios="1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CG293"/>
  <sheetViews>
    <sheetView zoomScale="70" zoomScaleNormal="70" workbookViewId="0"/>
  </sheetViews>
  <sheetFormatPr defaultRowHeight="12.75" x14ac:dyDescent="0.2"/>
  <sheetData>
    <row r="1" spans="1:85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5" x14ac:dyDescent="0.2">
      <c r="A2" t="s">
        <v>3727</v>
      </c>
    </row>
    <row r="3" spans="1:85" x14ac:dyDescent="0.2">
      <c r="A3" t="s">
        <v>3773</v>
      </c>
    </row>
    <row r="4" spans="1:85" x14ac:dyDescent="0.2">
      <c r="B4" t="s">
        <v>1315</v>
      </c>
    </row>
    <row r="5" spans="1:85" x14ac:dyDescent="0.2">
      <c r="B5" t="s">
        <v>66</v>
      </c>
      <c r="CA5" t="s">
        <v>230</v>
      </c>
      <c r="CB5">
        <f>0</f>
        <v>0</v>
      </c>
    </row>
    <row r="6" spans="1:85" x14ac:dyDescent="0.2">
      <c r="CA6" t="s">
        <v>231</v>
      </c>
      <c r="CB6" t="s">
        <v>232</v>
      </c>
      <c r="CC6" t="s">
        <v>1316</v>
      </c>
      <c r="CE6" t="s">
        <v>1317</v>
      </c>
      <c r="CF6" t="s">
        <v>1318</v>
      </c>
      <c r="CG6" t="s">
        <v>1319</v>
      </c>
    </row>
    <row r="7" spans="1:85" x14ac:dyDescent="0.2">
      <c r="CA7">
        <f>SUM(CA11:CA143)</f>
        <v>0</v>
      </c>
      <c r="CB7">
        <f>SUM(CB11:CB143)</f>
        <v>0</v>
      </c>
      <c r="CG7">
        <f>SUM(CG11:CG143)</f>
        <v>0</v>
      </c>
    </row>
    <row r="21" spans="2:85" x14ac:dyDescent="0.2">
      <c r="AC21">
        <v>1</v>
      </c>
    </row>
    <row r="24" spans="2:85" x14ac:dyDescent="0.2">
      <c r="E24" t="s">
        <v>1320</v>
      </c>
      <c r="T24" t="s">
        <v>1321</v>
      </c>
      <c r="AC24" t="s">
        <v>1322</v>
      </c>
    </row>
    <row r="25" spans="2:85" x14ac:dyDescent="0.2">
      <c r="D25" t="s">
        <v>25</v>
      </c>
      <c r="E25" t="s">
        <v>235</v>
      </c>
      <c r="F25" t="s">
        <v>236</v>
      </c>
      <c r="G25" t="s">
        <v>293</v>
      </c>
      <c r="H25" t="s">
        <v>294</v>
      </c>
      <c r="I25" t="s">
        <v>298</v>
      </c>
      <c r="R25" t="s">
        <v>576</v>
      </c>
      <c r="S25" t="s">
        <v>577</v>
      </c>
      <c r="T25" t="s">
        <v>578</v>
      </c>
      <c r="U25" t="s">
        <v>579</v>
      </c>
      <c r="V25" t="s">
        <v>580</v>
      </c>
      <c r="AC25" t="s">
        <v>825</v>
      </c>
      <c r="AD25" t="s">
        <v>826</v>
      </c>
      <c r="AE25" t="s">
        <v>827</v>
      </c>
      <c r="AF25" t="s">
        <v>828</v>
      </c>
      <c r="AG25" t="s">
        <v>829</v>
      </c>
      <c r="AH25" t="s">
        <v>830</v>
      </c>
      <c r="AI25" t="s">
        <v>831</v>
      </c>
      <c r="AJ25" t="s">
        <v>1323</v>
      </c>
      <c r="AK25" t="s">
        <v>1324</v>
      </c>
      <c r="AL25" t="s">
        <v>1325</v>
      </c>
      <c r="AM25" t="s">
        <v>1326</v>
      </c>
      <c r="BC25" t="s">
        <v>237</v>
      </c>
    </row>
    <row r="26" spans="2:85" x14ac:dyDescent="0.2">
      <c r="B26" t="s">
        <v>1327</v>
      </c>
      <c r="C26" t="s">
        <v>238</v>
      </c>
      <c r="E26" t="s">
        <v>799</v>
      </c>
      <c r="F26" t="s">
        <v>1328</v>
      </c>
      <c r="G26" t="s">
        <v>1329</v>
      </c>
      <c r="H26" t="s">
        <v>302</v>
      </c>
      <c r="R26" t="s">
        <v>1330</v>
      </c>
      <c r="S26" t="s">
        <v>387</v>
      </c>
      <c r="T26" t="s">
        <v>303</v>
      </c>
      <c r="U26" t="s">
        <v>304</v>
      </c>
      <c r="V26" t="s">
        <v>1033</v>
      </c>
      <c r="AC26" t="s">
        <v>1005</v>
      </c>
      <c r="AD26" t="s">
        <v>1006</v>
      </c>
      <c r="AE26" t="s">
        <v>1007</v>
      </c>
      <c r="AF26" t="s">
        <v>590</v>
      </c>
      <c r="AG26" t="s">
        <v>1008</v>
      </c>
      <c r="AH26" t="s">
        <v>1265</v>
      </c>
      <c r="AI26" t="s">
        <v>1266</v>
      </c>
      <c r="AJ26" t="s">
        <v>1267</v>
      </c>
      <c r="AK26" t="s">
        <v>599</v>
      </c>
      <c r="AL26" t="s">
        <v>1268</v>
      </c>
      <c r="AM26" t="s">
        <v>1269</v>
      </c>
      <c r="BC26" t="s">
        <v>241</v>
      </c>
    </row>
    <row r="27" spans="2:85" x14ac:dyDescent="0.2">
      <c r="C27" t="s">
        <v>242</v>
      </c>
      <c r="E27" t="s">
        <v>243</v>
      </c>
      <c r="F27" t="s">
        <v>243</v>
      </c>
      <c r="G27" t="s">
        <v>243</v>
      </c>
      <c r="H27" t="s">
        <v>243</v>
      </c>
      <c r="I27" t="s">
        <v>243</v>
      </c>
      <c r="R27" t="s">
        <v>243</v>
      </c>
      <c r="S27" t="s">
        <v>243</v>
      </c>
      <c r="T27" t="s">
        <v>243</v>
      </c>
      <c r="U27" t="s">
        <v>243</v>
      </c>
      <c r="V27" t="s">
        <v>243</v>
      </c>
      <c r="AC27" t="s">
        <v>243</v>
      </c>
      <c r="AD27" t="s">
        <v>243</v>
      </c>
      <c r="AE27" t="s">
        <v>243</v>
      </c>
      <c r="AF27" t="s">
        <v>243</v>
      </c>
      <c r="AG27" t="s">
        <v>243</v>
      </c>
      <c r="AH27" t="s">
        <v>243</v>
      </c>
      <c r="AI27" t="s">
        <v>243</v>
      </c>
      <c r="AJ27" t="s">
        <v>243</v>
      </c>
      <c r="AK27" t="s">
        <v>243</v>
      </c>
      <c r="AL27" t="s">
        <v>243</v>
      </c>
      <c r="AM27" t="s">
        <v>243</v>
      </c>
      <c r="BC27" t="s">
        <v>243</v>
      </c>
    </row>
    <row r="28" spans="2:85" x14ac:dyDescent="0.2">
      <c r="B28" t="s">
        <v>1248</v>
      </c>
    </row>
    <row r="29" spans="2:85" x14ac:dyDescent="0.2">
      <c r="B29" t="s">
        <v>1331</v>
      </c>
      <c r="C29">
        <v>200</v>
      </c>
      <c r="D29" t="s">
        <v>248</v>
      </c>
      <c r="CB29">
        <f t="shared" ref="CB29:CB34" si="0">IF(E29&lt;0,1,0)</f>
        <v>0</v>
      </c>
      <c r="CG29">
        <f t="shared" ref="CG29:CG34" si="1">IF(SUM(AE29:AM29)&lt;=E29,0,1)</f>
        <v>0</v>
      </c>
    </row>
    <row r="30" spans="2:85" x14ac:dyDescent="0.2">
      <c r="B30" t="s">
        <v>1332</v>
      </c>
      <c r="C30">
        <v>210</v>
      </c>
      <c r="D30" t="s">
        <v>248</v>
      </c>
      <c r="CB30">
        <f t="shared" si="0"/>
        <v>0</v>
      </c>
      <c r="CE30">
        <f>SUM(E29+E30+E31+E44+E45+E46)</f>
        <v>0</v>
      </c>
      <c r="CG30">
        <f t="shared" si="1"/>
        <v>0</v>
      </c>
    </row>
    <row r="31" spans="2:85" x14ac:dyDescent="0.2">
      <c r="B31" t="s">
        <v>1333</v>
      </c>
      <c r="C31">
        <v>220</v>
      </c>
      <c r="D31" t="s">
        <v>248</v>
      </c>
      <c r="CB31">
        <f t="shared" si="0"/>
        <v>0</v>
      </c>
      <c r="CG31">
        <f t="shared" si="1"/>
        <v>0</v>
      </c>
    </row>
    <row r="32" spans="2:85" x14ac:dyDescent="0.2">
      <c r="B32" t="s">
        <v>1334</v>
      </c>
      <c r="C32">
        <v>230</v>
      </c>
      <c r="D32" t="s">
        <v>248</v>
      </c>
      <c r="CB32">
        <f t="shared" si="0"/>
        <v>0</v>
      </c>
      <c r="CG32">
        <f t="shared" si="1"/>
        <v>0</v>
      </c>
    </row>
    <row r="33" spans="2:85" x14ac:dyDescent="0.2">
      <c r="B33" t="s">
        <v>1335</v>
      </c>
      <c r="C33">
        <v>240</v>
      </c>
      <c r="D33" t="s">
        <v>248</v>
      </c>
      <c r="CB33">
        <f t="shared" si="0"/>
        <v>0</v>
      </c>
      <c r="CF33">
        <f>E30+E33+E45+E48-V30-V33-V45-V48</f>
        <v>0</v>
      </c>
      <c r="CG33">
        <f t="shared" si="1"/>
        <v>0</v>
      </c>
    </row>
    <row r="34" spans="2:85" x14ac:dyDescent="0.2">
      <c r="B34" t="s">
        <v>1336</v>
      </c>
      <c r="C34">
        <v>250</v>
      </c>
      <c r="D34" t="s">
        <v>248</v>
      </c>
      <c r="CB34">
        <f t="shared" si="0"/>
        <v>0</v>
      </c>
      <c r="CC34">
        <f>SUM(E35+E50)</f>
        <v>0</v>
      </c>
      <c r="CG34">
        <f t="shared" si="1"/>
        <v>0</v>
      </c>
    </row>
    <row r="35" spans="2:85" x14ac:dyDescent="0.2">
      <c r="B35" t="s">
        <v>1338</v>
      </c>
      <c r="C35">
        <v>260</v>
      </c>
      <c r="D35" t="s">
        <v>245</v>
      </c>
      <c r="CA35">
        <f>IF(OR(E35&gt;0,AE35&gt;0,AF35&gt;0,AG35&gt;0,AH35&gt;0,AI35&gt;0,AJ35&gt;0,AK35&gt;0,AL35&gt;0,AM35&gt;0),1,0)</f>
        <v>0</v>
      </c>
      <c r="CG35">
        <f>IF(SUM(AE35:AM35)&gt;=E35,0,1)</f>
        <v>0</v>
      </c>
    </row>
    <row r="36" spans="2:85" x14ac:dyDescent="0.2">
      <c r="B36" t="s">
        <v>1339</v>
      </c>
      <c r="C36">
        <v>270</v>
      </c>
      <c r="D36" t="s">
        <v>248</v>
      </c>
      <c r="CB36">
        <f t="shared" ref="CB36:CB41" si="2">IF(E36&lt;0,1,0)</f>
        <v>0</v>
      </c>
      <c r="CG36">
        <f>IF(SUM(AE36:AM36)&lt;=E36,0,1)</f>
        <v>0</v>
      </c>
    </row>
    <row r="37" spans="2:85" x14ac:dyDescent="0.2">
      <c r="B37" t="s">
        <v>1340</v>
      </c>
      <c r="C37">
        <v>280</v>
      </c>
      <c r="D37" t="s">
        <v>248</v>
      </c>
      <c r="CB37">
        <f t="shared" si="2"/>
        <v>0</v>
      </c>
    </row>
    <row r="38" spans="2:85" x14ac:dyDescent="0.2">
      <c r="B38" t="s">
        <v>1341</v>
      </c>
      <c r="C38">
        <v>290</v>
      </c>
      <c r="D38" t="s">
        <v>248</v>
      </c>
      <c r="CB38">
        <f t="shared" si="2"/>
        <v>0</v>
      </c>
      <c r="CG38">
        <f>IF(SUM(AE38:AM38)&lt;=E38,0,1)</f>
        <v>0</v>
      </c>
    </row>
    <row r="39" spans="2:85" x14ac:dyDescent="0.2">
      <c r="B39" t="s">
        <v>1342</v>
      </c>
      <c r="C39">
        <v>300</v>
      </c>
      <c r="D39" t="s">
        <v>248</v>
      </c>
      <c r="CB39">
        <f t="shared" si="2"/>
        <v>0</v>
      </c>
      <c r="CG39">
        <f>IF(SUM(AE39:AM39)&lt;=E39,0,1)</f>
        <v>0</v>
      </c>
    </row>
    <row r="40" spans="2:85" x14ac:dyDescent="0.2">
      <c r="B40" t="s">
        <v>1343</v>
      </c>
      <c r="C40">
        <v>310</v>
      </c>
      <c r="D40" t="s">
        <v>248</v>
      </c>
      <c r="CB40">
        <f t="shared" si="2"/>
        <v>0</v>
      </c>
      <c r="CG40">
        <f>IF(SUM(AE40:AM40)&lt;=E40,0,1)</f>
        <v>0</v>
      </c>
    </row>
    <row r="41" spans="2:85" x14ac:dyDescent="0.2">
      <c r="B41" t="s">
        <v>1344</v>
      </c>
      <c r="C41">
        <v>320</v>
      </c>
      <c r="D41" t="s">
        <v>248</v>
      </c>
      <c r="CB41">
        <f t="shared" si="2"/>
        <v>0</v>
      </c>
      <c r="CG41">
        <f>IF(SUM(AE41:AM41)&lt;=E41,0,1)</f>
        <v>0</v>
      </c>
    </row>
    <row r="42" spans="2:85" x14ac:dyDescent="0.2">
      <c r="B42" t="s">
        <v>1345</v>
      </c>
      <c r="C42">
        <v>330</v>
      </c>
      <c r="D42" t="s">
        <v>248</v>
      </c>
    </row>
    <row r="43" spans="2:85" x14ac:dyDescent="0.2">
      <c r="B43" t="s">
        <v>1346</v>
      </c>
    </row>
    <row r="44" spans="2:85" x14ac:dyDescent="0.2">
      <c r="B44" t="s">
        <v>1331</v>
      </c>
      <c r="C44">
        <v>340</v>
      </c>
      <c r="D44" t="s">
        <v>248</v>
      </c>
      <c r="CB44">
        <f t="shared" ref="CB44:CB49" si="3">IF(E44&lt;0,1,0)</f>
        <v>0</v>
      </c>
      <c r="CG44">
        <f t="shared" ref="CG44:CG49" si="4">IF(SUM(AE44:AM44)&lt;=E44,0,1)</f>
        <v>0</v>
      </c>
    </row>
    <row r="45" spans="2:85" x14ac:dyDescent="0.2">
      <c r="B45" t="s">
        <v>1332</v>
      </c>
      <c r="C45">
        <v>350</v>
      </c>
      <c r="D45" t="s">
        <v>248</v>
      </c>
      <c r="CB45">
        <f t="shared" si="3"/>
        <v>0</v>
      </c>
      <c r="CG45">
        <f t="shared" si="4"/>
        <v>0</v>
      </c>
    </row>
    <row r="46" spans="2:85" x14ac:dyDescent="0.2">
      <c r="B46" t="s">
        <v>1333</v>
      </c>
      <c r="C46">
        <v>360</v>
      </c>
      <c r="D46" t="s">
        <v>248</v>
      </c>
      <c r="CB46">
        <f t="shared" si="3"/>
        <v>0</v>
      </c>
      <c r="CG46">
        <f t="shared" si="4"/>
        <v>0</v>
      </c>
    </row>
    <row r="47" spans="2:85" x14ac:dyDescent="0.2">
      <c r="B47" t="s">
        <v>1334</v>
      </c>
      <c r="C47">
        <v>370</v>
      </c>
      <c r="D47" t="s">
        <v>248</v>
      </c>
      <c r="CB47">
        <f t="shared" si="3"/>
        <v>0</v>
      </c>
      <c r="CG47">
        <f t="shared" si="4"/>
        <v>0</v>
      </c>
    </row>
    <row r="48" spans="2:85" x14ac:dyDescent="0.2">
      <c r="B48" t="s">
        <v>1335</v>
      </c>
      <c r="C48">
        <v>380</v>
      </c>
      <c r="D48" t="s">
        <v>248</v>
      </c>
      <c r="CB48">
        <f t="shared" si="3"/>
        <v>0</v>
      </c>
      <c r="CG48">
        <f t="shared" si="4"/>
        <v>0</v>
      </c>
    </row>
    <row r="49" spans="2:85" x14ac:dyDescent="0.2">
      <c r="B49" t="s">
        <v>1336</v>
      </c>
      <c r="C49">
        <v>390</v>
      </c>
      <c r="D49" t="s">
        <v>248</v>
      </c>
      <c r="CB49">
        <f t="shared" si="3"/>
        <v>0</v>
      </c>
      <c r="CG49">
        <f t="shared" si="4"/>
        <v>0</v>
      </c>
    </row>
    <row r="50" spans="2:85" x14ac:dyDescent="0.2">
      <c r="B50" t="s">
        <v>1338</v>
      </c>
      <c r="C50">
        <v>400</v>
      </c>
      <c r="D50" t="s">
        <v>245</v>
      </c>
      <c r="CA50">
        <f>IF(OR(E50&gt;0,AE50&gt;0,AF50&gt;0,AG50&gt;0,AH50&gt;0,AI50&gt;0,AJ50&gt;0,AK50&gt;0,AL50&gt;0,AM50&gt;0),1,0)</f>
        <v>0</v>
      </c>
      <c r="CG50">
        <f>IF(SUM(AE50:AM50)&gt;=E50,0,1)</f>
        <v>0</v>
      </c>
    </row>
    <row r="51" spans="2:85" x14ac:dyDescent="0.2">
      <c r="B51" t="s">
        <v>1339</v>
      </c>
      <c r="C51">
        <v>410</v>
      </c>
      <c r="D51" t="s">
        <v>248</v>
      </c>
      <c r="CB51">
        <f>IF(E51&lt;0,1,0)</f>
        <v>0</v>
      </c>
      <c r="CG51">
        <f>IF(SUM(AE51:AM51)&lt;=E51,0,1)</f>
        <v>0</v>
      </c>
    </row>
    <row r="52" spans="2:85" x14ac:dyDescent="0.2">
      <c r="B52" t="s">
        <v>1347</v>
      </c>
      <c r="C52">
        <v>420</v>
      </c>
      <c r="D52" t="s">
        <v>251</v>
      </c>
    </row>
    <row r="53" spans="2:85" x14ac:dyDescent="0.2">
      <c r="B53" t="s">
        <v>1341</v>
      </c>
      <c r="C53">
        <v>430</v>
      </c>
      <c r="D53" t="s">
        <v>248</v>
      </c>
      <c r="CB53">
        <f>IF(E53&lt;0,1,0)</f>
        <v>0</v>
      </c>
      <c r="CG53">
        <f>IF(SUM(AE53:AM53)&lt;=E53,0,1)</f>
        <v>0</v>
      </c>
    </row>
    <row r="54" spans="2:85" x14ac:dyDescent="0.2">
      <c r="B54" t="s">
        <v>1342</v>
      </c>
      <c r="C54">
        <v>440</v>
      </c>
      <c r="D54" t="s">
        <v>248</v>
      </c>
      <c r="CG54">
        <f>IF(SUM(AE54:AM54)&lt;=E54,0,1)</f>
        <v>0</v>
      </c>
    </row>
    <row r="55" spans="2:85" x14ac:dyDescent="0.2">
      <c r="B55" t="s">
        <v>1343</v>
      </c>
      <c r="C55">
        <v>450</v>
      </c>
      <c r="D55" t="s">
        <v>248</v>
      </c>
      <c r="CB55">
        <f>IF(E55&lt;0,1,0)</f>
        <v>0</v>
      </c>
      <c r="CG55">
        <f>IF(SUM(AE55:AM55)&lt;=E55,0,1)</f>
        <v>0</v>
      </c>
    </row>
    <row r="56" spans="2:85" x14ac:dyDescent="0.2">
      <c r="B56" t="s">
        <v>1344</v>
      </c>
      <c r="C56">
        <v>460</v>
      </c>
      <c r="D56" t="s">
        <v>248</v>
      </c>
      <c r="CB56">
        <f>IF(E56&lt;0,1,0)</f>
        <v>0</v>
      </c>
      <c r="CG56">
        <f>IF(SUM(AE56:AM56)&lt;=E56,0,1)</f>
        <v>0</v>
      </c>
    </row>
    <row r="57" spans="2:85" x14ac:dyDescent="0.2">
      <c r="B57" t="s">
        <v>1345</v>
      </c>
      <c r="C57">
        <v>470</v>
      </c>
      <c r="D57" t="s">
        <v>248</v>
      </c>
    </row>
    <row r="58" spans="2:85" x14ac:dyDescent="0.2">
      <c r="B58" t="s">
        <v>1348</v>
      </c>
      <c r="C58">
        <v>480</v>
      </c>
      <c r="D58" t="s">
        <v>248</v>
      </c>
    </row>
    <row r="59" spans="2:85" x14ac:dyDescent="0.2">
      <c r="B59" t="s">
        <v>1349</v>
      </c>
    </row>
    <row r="60" spans="2:85" x14ac:dyDescent="0.2">
      <c r="B60" t="s">
        <v>1350</v>
      </c>
      <c r="C60">
        <v>490</v>
      </c>
      <c r="D60" t="s">
        <v>248</v>
      </c>
    </row>
    <row r="61" spans="2:85" x14ac:dyDescent="0.2">
      <c r="B61" t="s">
        <v>1351</v>
      </c>
      <c r="E61" t="s">
        <v>2997</v>
      </c>
      <c r="F61" t="s">
        <v>2998</v>
      </c>
      <c r="H61" t="s">
        <v>2999</v>
      </c>
      <c r="I61" t="s">
        <v>1352</v>
      </c>
    </row>
    <row r="62" spans="2:85" x14ac:dyDescent="0.2">
      <c r="B62" t="s">
        <v>1353</v>
      </c>
      <c r="C62">
        <v>492</v>
      </c>
      <c r="D62" t="s">
        <v>251</v>
      </c>
    </row>
    <row r="63" spans="2:85" x14ac:dyDescent="0.2">
      <c r="B63" t="s">
        <v>1354</v>
      </c>
      <c r="C63">
        <v>494</v>
      </c>
      <c r="D63" t="s">
        <v>251</v>
      </c>
    </row>
    <row r="64" spans="2:85" x14ac:dyDescent="0.2">
      <c r="B64" t="s">
        <v>1355</v>
      </c>
      <c r="C64">
        <v>496</v>
      </c>
      <c r="D64" t="s">
        <v>251</v>
      </c>
    </row>
    <row r="71" spans="2:80" x14ac:dyDescent="0.2">
      <c r="D71" t="s">
        <v>25</v>
      </c>
      <c r="E71" t="s">
        <v>235</v>
      </c>
    </row>
    <row r="72" spans="2:80" x14ac:dyDescent="0.2">
      <c r="B72" t="s">
        <v>139</v>
      </c>
      <c r="C72" t="s">
        <v>238</v>
      </c>
      <c r="E72" t="s">
        <v>799</v>
      </c>
    </row>
    <row r="73" spans="2:80" x14ac:dyDescent="0.2">
      <c r="C73" t="s">
        <v>242</v>
      </c>
      <c r="E73" t="s">
        <v>243</v>
      </c>
    </row>
    <row r="74" spans="2:80" x14ac:dyDescent="0.2">
      <c r="B74" t="s">
        <v>1357</v>
      </c>
      <c r="C74">
        <v>500</v>
      </c>
      <c r="D74" t="s">
        <v>248</v>
      </c>
      <c r="CB74">
        <f>IF(E74&lt;0,1,0)</f>
        <v>0</v>
      </c>
    </row>
    <row r="75" spans="2:80" x14ac:dyDescent="0.2">
      <c r="B75" t="s">
        <v>1358</v>
      </c>
      <c r="C75">
        <v>510</v>
      </c>
      <c r="D75" t="s">
        <v>248</v>
      </c>
      <c r="CB75">
        <f>IF(E75&lt;0,1,0)</f>
        <v>0</v>
      </c>
    </row>
    <row r="76" spans="2:80" x14ac:dyDescent="0.2">
      <c r="B76" t="s">
        <v>1359</v>
      </c>
      <c r="C76">
        <v>520</v>
      </c>
      <c r="D76" t="s">
        <v>248</v>
      </c>
      <c r="CB76">
        <f>IF(E76&lt;0,1,0)</f>
        <v>0</v>
      </c>
    </row>
    <row r="77" spans="2:80" x14ac:dyDescent="0.2">
      <c r="B77" t="s">
        <v>358</v>
      </c>
      <c r="C77">
        <v>530</v>
      </c>
      <c r="D77" t="s">
        <v>248</v>
      </c>
    </row>
    <row r="78" spans="2:80" x14ac:dyDescent="0.2">
      <c r="D78" t="s">
        <v>25</v>
      </c>
      <c r="E78" t="s">
        <v>235</v>
      </c>
    </row>
    <row r="79" spans="2:80" x14ac:dyDescent="0.2">
      <c r="B79" t="s">
        <v>140</v>
      </c>
      <c r="C79" t="s">
        <v>238</v>
      </c>
      <c r="E79" t="s">
        <v>239</v>
      </c>
    </row>
    <row r="80" spans="2:80" x14ac:dyDescent="0.2">
      <c r="C80" t="s">
        <v>242</v>
      </c>
      <c r="E80" t="s">
        <v>243</v>
      </c>
    </row>
    <row r="81" spans="2:80" x14ac:dyDescent="0.2">
      <c r="B81" t="s">
        <v>1033</v>
      </c>
      <c r="C81">
        <v>540</v>
      </c>
      <c r="D81" t="s">
        <v>245</v>
      </c>
    </row>
    <row r="82" spans="2:80" x14ac:dyDescent="0.2">
      <c r="B82" t="s">
        <v>1360</v>
      </c>
      <c r="C82">
        <v>550</v>
      </c>
      <c r="D82" t="s">
        <v>251</v>
      </c>
    </row>
    <row r="83" spans="2:80" x14ac:dyDescent="0.2">
      <c r="B83" t="s">
        <v>303</v>
      </c>
      <c r="C83">
        <v>560</v>
      </c>
      <c r="D83" t="s">
        <v>245</v>
      </c>
    </row>
    <row r="84" spans="2:80" x14ac:dyDescent="0.2">
      <c r="B84" t="s">
        <v>387</v>
      </c>
      <c r="C84">
        <v>570</v>
      </c>
      <c r="D84" t="s">
        <v>251</v>
      </c>
    </row>
    <row r="85" spans="2:80" x14ac:dyDescent="0.2">
      <c r="B85" t="s">
        <v>388</v>
      </c>
      <c r="C85">
        <v>580</v>
      </c>
      <c r="D85" t="s">
        <v>245</v>
      </c>
    </row>
    <row r="86" spans="2:80" x14ac:dyDescent="0.2">
      <c r="B86" t="s">
        <v>389</v>
      </c>
      <c r="C86">
        <v>590</v>
      </c>
      <c r="D86" t="s">
        <v>251</v>
      </c>
    </row>
    <row r="87" spans="2:80" x14ac:dyDescent="0.2">
      <c r="B87" t="s">
        <v>390</v>
      </c>
      <c r="C87">
        <v>600</v>
      </c>
      <c r="D87" t="s">
        <v>251</v>
      </c>
    </row>
    <row r="88" spans="2:80" x14ac:dyDescent="0.2">
      <c r="B88" t="s">
        <v>391</v>
      </c>
      <c r="C88">
        <v>610</v>
      </c>
      <c r="D88" t="s">
        <v>245</v>
      </c>
    </row>
    <row r="89" spans="2:80" x14ac:dyDescent="0.2">
      <c r="B89" t="s">
        <v>401</v>
      </c>
      <c r="C89">
        <v>614</v>
      </c>
      <c r="D89" t="s">
        <v>251</v>
      </c>
    </row>
    <row r="90" spans="2:80" x14ac:dyDescent="0.2">
      <c r="B90" t="s">
        <v>402</v>
      </c>
      <c r="C90">
        <v>617</v>
      </c>
      <c r="D90" t="s">
        <v>251</v>
      </c>
    </row>
    <row r="91" spans="2:80" x14ac:dyDescent="0.2">
      <c r="B91" t="s">
        <v>1361</v>
      </c>
      <c r="C91">
        <v>620</v>
      </c>
      <c r="D91" t="s">
        <v>248</v>
      </c>
      <c r="CB91">
        <f>IF(E91&lt;0,1,0)</f>
        <v>0</v>
      </c>
    </row>
    <row r="92" spans="2:80" x14ac:dyDescent="0.2">
      <c r="B92" t="s">
        <v>1362</v>
      </c>
      <c r="C92">
        <v>630</v>
      </c>
      <c r="D92" t="s">
        <v>248</v>
      </c>
      <c r="CB92">
        <f>IF(E92&lt;0,1,0)</f>
        <v>0</v>
      </c>
    </row>
    <row r="93" spans="2:80" x14ac:dyDescent="0.2">
      <c r="B93" t="s">
        <v>1363</v>
      </c>
      <c r="C93">
        <v>640</v>
      </c>
      <c r="D93" t="s">
        <v>251</v>
      </c>
    </row>
    <row r="94" spans="2:80" x14ac:dyDescent="0.2">
      <c r="B94" t="s">
        <v>508</v>
      </c>
      <c r="C94">
        <v>650</v>
      </c>
      <c r="D94" t="s">
        <v>248</v>
      </c>
      <c r="CB94">
        <f>IF(E94&lt;0,1,0)</f>
        <v>0</v>
      </c>
    </row>
    <row r="95" spans="2:80" x14ac:dyDescent="0.2">
      <c r="B95" t="s">
        <v>1074</v>
      </c>
      <c r="C95">
        <v>655</v>
      </c>
      <c r="D95" t="s">
        <v>251</v>
      </c>
    </row>
    <row r="96" spans="2:80" x14ac:dyDescent="0.2">
      <c r="B96" t="s">
        <v>419</v>
      </c>
      <c r="C96">
        <v>660</v>
      </c>
      <c r="D96" t="s">
        <v>245</v>
      </c>
    </row>
    <row r="98" spans="2:80" x14ac:dyDescent="0.2">
      <c r="B98" t="s">
        <v>1364</v>
      </c>
      <c r="E98" t="s">
        <v>243</v>
      </c>
    </row>
    <row r="99" spans="2:80" x14ac:dyDescent="0.2">
      <c r="B99" t="s">
        <v>3000</v>
      </c>
      <c r="C99">
        <v>700</v>
      </c>
      <c r="D99" t="s">
        <v>248</v>
      </c>
      <c r="CB99">
        <f t="shared" ref="CB99:CB104" si="5">IF(E99&lt;0,1,0)</f>
        <v>0</v>
      </c>
    </row>
    <row r="100" spans="2:80" x14ac:dyDescent="0.2">
      <c r="B100" t="s">
        <v>1366</v>
      </c>
      <c r="C100">
        <v>710</v>
      </c>
      <c r="D100" t="s">
        <v>248</v>
      </c>
      <c r="CB100">
        <f t="shared" si="5"/>
        <v>0</v>
      </c>
    </row>
    <row r="101" spans="2:80" x14ac:dyDescent="0.2">
      <c r="B101" t="s">
        <v>1367</v>
      </c>
      <c r="C101">
        <v>720</v>
      </c>
      <c r="D101" t="s">
        <v>248</v>
      </c>
      <c r="CB101">
        <f t="shared" si="5"/>
        <v>0</v>
      </c>
    </row>
    <row r="102" spans="2:80" x14ac:dyDescent="0.2">
      <c r="B102" t="s">
        <v>1368</v>
      </c>
      <c r="C102">
        <v>730</v>
      </c>
      <c r="D102" t="s">
        <v>248</v>
      </c>
      <c r="CB102">
        <f t="shared" si="5"/>
        <v>0</v>
      </c>
    </row>
    <row r="103" spans="2:80" x14ac:dyDescent="0.2">
      <c r="B103" t="s">
        <v>1369</v>
      </c>
      <c r="C103">
        <v>740</v>
      </c>
      <c r="D103" t="s">
        <v>248</v>
      </c>
      <c r="CB103">
        <f t="shared" si="5"/>
        <v>0</v>
      </c>
    </row>
    <row r="104" spans="2:80" x14ac:dyDescent="0.2">
      <c r="B104" t="s">
        <v>1370</v>
      </c>
      <c r="C104">
        <v>750</v>
      </c>
      <c r="D104" t="s">
        <v>248</v>
      </c>
      <c r="CB104">
        <f t="shared" si="5"/>
        <v>0</v>
      </c>
    </row>
    <row r="107" spans="2:80" x14ac:dyDescent="0.2">
      <c r="E107" t="s">
        <v>1320</v>
      </c>
      <c r="R107" t="s">
        <v>1321</v>
      </c>
      <c r="AC107" t="s">
        <v>1322</v>
      </c>
    </row>
    <row r="108" spans="2:80" x14ac:dyDescent="0.2">
      <c r="D108" t="s">
        <v>25</v>
      </c>
      <c r="E108" t="s">
        <v>235</v>
      </c>
      <c r="F108" t="s">
        <v>236</v>
      </c>
      <c r="G108" t="s">
        <v>293</v>
      </c>
      <c r="H108" t="s">
        <v>294</v>
      </c>
      <c r="I108" t="s">
        <v>298</v>
      </c>
      <c r="R108" t="s">
        <v>576</v>
      </c>
      <c r="S108" t="s">
        <v>577</v>
      </c>
      <c r="T108" t="s">
        <v>578</v>
      </c>
      <c r="U108" t="s">
        <v>579</v>
      </c>
      <c r="V108" t="s">
        <v>580</v>
      </c>
      <c r="AC108" t="s">
        <v>825</v>
      </c>
      <c r="AD108" t="s">
        <v>826</v>
      </c>
      <c r="AE108" t="s">
        <v>827</v>
      </c>
      <c r="AF108" t="s">
        <v>828</v>
      </c>
      <c r="AG108" t="s">
        <v>829</v>
      </c>
      <c r="AH108" t="s">
        <v>830</v>
      </c>
      <c r="AI108" t="s">
        <v>831</v>
      </c>
      <c r="AJ108" t="s">
        <v>1323</v>
      </c>
      <c r="AK108" t="s">
        <v>1324</v>
      </c>
      <c r="AL108" t="s">
        <v>1325</v>
      </c>
      <c r="AM108" t="s">
        <v>1326</v>
      </c>
      <c r="BC108" t="s">
        <v>237</v>
      </c>
    </row>
    <row r="109" spans="2:80" x14ac:dyDescent="0.2">
      <c r="B109" t="s">
        <v>142</v>
      </c>
      <c r="C109" t="s">
        <v>238</v>
      </c>
      <c r="E109" t="s">
        <v>799</v>
      </c>
      <c r="F109" t="s">
        <v>1328</v>
      </c>
      <c r="G109" t="s">
        <v>1329</v>
      </c>
      <c r="H109" t="s">
        <v>302</v>
      </c>
      <c r="R109" t="s">
        <v>1330</v>
      </c>
      <c r="S109" t="s">
        <v>387</v>
      </c>
      <c r="T109" t="s">
        <v>303</v>
      </c>
      <c r="U109" t="s">
        <v>304</v>
      </c>
      <c r="V109" t="s">
        <v>1033</v>
      </c>
      <c r="AC109" t="s">
        <v>1005</v>
      </c>
      <c r="AD109" t="s">
        <v>1006</v>
      </c>
      <c r="AE109" t="s">
        <v>1007</v>
      </c>
      <c r="AF109" t="s">
        <v>590</v>
      </c>
      <c r="AG109" t="s">
        <v>1008</v>
      </c>
      <c r="AH109" t="s">
        <v>1265</v>
      </c>
      <c r="AI109" t="s">
        <v>1266</v>
      </c>
      <c r="AJ109" t="s">
        <v>1267</v>
      </c>
      <c r="AK109" t="s">
        <v>599</v>
      </c>
      <c r="AL109" t="s">
        <v>1268</v>
      </c>
      <c r="AM109" t="s">
        <v>1269</v>
      </c>
      <c r="BC109" t="s">
        <v>241</v>
      </c>
    </row>
    <row r="110" spans="2:80" x14ac:dyDescent="0.2">
      <c r="C110" t="s">
        <v>242</v>
      </c>
      <c r="E110" t="s">
        <v>243</v>
      </c>
      <c r="F110" t="s">
        <v>243</v>
      </c>
      <c r="G110" t="s">
        <v>243</v>
      </c>
      <c r="H110" t="s">
        <v>243</v>
      </c>
      <c r="I110" t="s">
        <v>243</v>
      </c>
      <c r="R110" t="s">
        <v>243</v>
      </c>
      <c r="S110" t="s">
        <v>243</v>
      </c>
      <c r="T110" t="s">
        <v>243</v>
      </c>
      <c r="U110" t="s">
        <v>243</v>
      </c>
      <c r="V110" t="s">
        <v>243</v>
      </c>
      <c r="AC110" t="s">
        <v>243</v>
      </c>
      <c r="AD110" t="s">
        <v>243</v>
      </c>
      <c r="AE110" t="s">
        <v>243</v>
      </c>
      <c r="AF110" t="s">
        <v>243</v>
      </c>
      <c r="AG110" t="s">
        <v>243</v>
      </c>
      <c r="AH110" t="s">
        <v>243</v>
      </c>
      <c r="AI110" t="s">
        <v>243</v>
      </c>
      <c r="AJ110" t="s">
        <v>243</v>
      </c>
      <c r="AK110" t="s">
        <v>243</v>
      </c>
      <c r="AL110" t="s">
        <v>243</v>
      </c>
      <c r="AM110" t="s">
        <v>243</v>
      </c>
      <c r="BC110" t="s">
        <v>243</v>
      </c>
    </row>
    <row r="111" spans="2:80" x14ac:dyDescent="0.2">
      <c r="B111" t="s">
        <v>1371</v>
      </c>
      <c r="C111">
        <v>800</v>
      </c>
      <c r="D111" t="s">
        <v>248</v>
      </c>
      <c r="CB111">
        <f>IF(E111&lt;0,1,0)</f>
        <v>0</v>
      </c>
    </row>
    <row r="112" spans="2:80" x14ac:dyDescent="0.2">
      <c r="B112" t="s">
        <v>1372</v>
      </c>
      <c r="C112">
        <v>810</v>
      </c>
      <c r="D112" t="s">
        <v>248</v>
      </c>
      <c r="CB112">
        <f>IF(E112&lt;0,1,0)</f>
        <v>0</v>
      </c>
    </row>
    <row r="113" spans="2:55" x14ac:dyDescent="0.2">
      <c r="B113" t="s">
        <v>340</v>
      </c>
      <c r="C113">
        <v>820</v>
      </c>
      <c r="D113" t="s">
        <v>248</v>
      </c>
    </row>
    <row r="114" spans="2:55" x14ac:dyDescent="0.2">
      <c r="B114" t="s">
        <v>1351</v>
      </c>
      <c r="E114" t="s">
        <v>2997</v>
      </c>
      <c r="F114" t="s">
        <v>2998</v>
      </c>
      <c r="H114" t="s">
        <v>2999</v>
      </c>
      <c r="I114" t="s">
        <v>1352</v>
      </c>
    </row>
    <row r="115" spans="2:55" x14ac:dyDescent="0.2">
      <c r="B115" t="s">
        <v>142</v>
      </c>
      <c r="C115">
        <v>830</v>
      </c>
      <c r="D115" t="s">
        <v>251</v>
      </c>
    </row>
    <row r="119" spans="2:55" x14ac:dyDescent="0.2">
      <c r="D119" t="s">
        <v>25</v>
      </c>
      <c r="E119" t="s">
        <v>235</v>
      </c>
      <c r="F119" t="s">
        <v>236</v>
      </c>
      <c r="G119" t="s">
        <v>293</v>
      </c>
      <c r="H119" t="s">
        <v>294</v>
      </c>
      <c r="I119" t="s">
        <v>298</v>
      </c>
      <c r="R119" t="s">
        <v>576</v>
      </c>
      <c r="S119" t="s">
        <v>577</v>
      </c>
      <c r="T119" t="s">
        <v>578</v>
      </c>
      <c r="U119" t="s">
        <v>579</v>
      </c>
      <c r="V119" t="s">
        <v>580</v>
      </c>
      <c r="BC119" t="s">
        <v>237</v>
      </c>
    </row>
    <row r="120" spans="2:55" x14ac:dyDescent="0.2">
      <c r="B120" t="s">
        <v>143</v>
      </c>
      <c r="C120" t="s">
        <v>238</v>
      </c>
      <c r="E120" t="s">
        <v>799</v>
      </c>
      <c r="F120" t="s">
        <v>1328</v>
      </c>
      <c r="G120" t="s">
        <v>1329</v>
      </c>
      <c r="H120" t="s">
        <v>302</v>
      </c>
      <c r="R120" t="s">
        <v>1330</v>
      </c>
      <c r="S120" t="s">
        <v>387</v>
      </c>
      <c r="T120" t="s">
        <v>303</v>
      </c>
      <c r="U120" t="s">
        <v>304</v>
      </c>
      <c r="V120" t="s">
        <v>1033</v>
      </c>
      <c r="BC120" t="s">
        <v>241</v>
      </c>
    </row>
    <row r="121" spans="2:55" x14ac:dyDescent="0.2">
      <c r="C121" t="s">
        <v>242</v>
      </c>
      <c r="E121" t="s">
        <v>243</v>
      </c>
      <c r="F121" t="s">
        <v>243</v>
      </c>
      <c r="G121" t="s">
        <v>243</v>
      </c>
      <c r="H121" t="s">
        <v>243</v>
      </c>
      <c r="I121" t="s">
        <v>243</v>
      </c>
      <c r="R121" t="s">
        <v>243</v>
      </c>
      <c r="S121" t="s">
        <v>243</v>
      </c>
      <c r="T121" t="s">
        <v>243</v>
      </c>
      <c r="U121" t="s">
        <v>243</v>
      </c>
      <c r="V121" t="s">
        <v>243</v>
      </c>
      <c r="BC121" t="s">
        <v>243</v>
      </c>
    </row>
    <row r="122" spans="2:55" x14ac:dyDescent="0.2">
      <c r="B122" t="s">
        <v>1373</v>
      </c>
      <c r="C122">
        <v>850</v>
      </c>
      <c r="D122" t="s">
        <v>248</v>
      </c>
    </row>
    <row r="123" spans="2:55" x14ac:dyDescent="0.2">
      <c r="B123" t="s">
        <v>487</v>
      </c>
      <c r="C123">
        <v>854</v>
      </c>
      <c r="D123" t="s">
        <v>251</v>
      </c>
    </row>
    <row r="124" spans="2:55" x14ac:dyDescent="0.2">
      <c r="B124" t="s">
        <v>1374</v>
      </c>
      <c r="C124">
        <v>855</v>
      </c>
      <c r="D124" t="s">
        <v>251</v>
      </c>
    </row>
    <row r="125" spans="2:55" x14ac:dyDescent="0.2">
      <c r="B125" t="s">
        <v>1375</v>
      </c>
      <c r="C125">
        <v>856</v>
      </c>
      <c r="D125" t="s">
        <v>251</v>
      </c>
    </row>
    <row r="126" spans="2:55" x14ac:dyDescent="0.2">
      <c r="B126" t="s">
        <v>1376</v>
      </c>
      <c r="C126">
        <v>857</v>
      </c>
      <c r="D126" t="s">
        <v>248</v>
      </c>
    </row>
    <row r="127" spans="2:55" x14ac:dyDescent="0.2">
      <c r="B127" t="s">
        <v>1377</v>
      </c>
      <c r="C127">
        <v>860</v>
      </c>
      <c r="D127" t="s">
        <v>251</v>
      </c>
    </row>
    <row r="128" spans="2:55" x14ac:dyDescent="0.2">
      <c r="B128" t="s">
        <v>1378</v>
      </c>
      <c r="C128">
        <v>870</v>
      </c>
      <c r="D128" t="s">
        <v>248</v>
      </c>
    </row>
    <row r="129" spans="2:80" x14ac:dyDescent="0.2">
      <c r="B129" t="s">
        <v>1379</v>
      </c>
    </row>
    <row r="130" spans="2:80" x14ac:dyDescent="0.2">
      <c r="B130" t="s">
        <v>1380</v>
      </c>
      <c r="C130">
        <v>880</v>
      </c>
      <c r="D130" t="s">
        <v>248</v>
      </c>
    </row>
    <row r="131" spans="2:80" x14ac:dyDescent="0.2">
      <c r="B131" t="s">
        <v>1381</v>
      </c>
      <c r="C131">
        <v>890</v>
      </c>
      <c r="D131" t="s">
        <v>248</v>
      </c>
      <c r="CB131">
        <f>IF(E131&lt;0,1,0)</f>
        <v>0</v>
      </c>
    </row>
    <row r="132" spans="2:80" x14ac:dyDescent="0.2">
      <c r="B132" t="s">
        <v>1382</v>
      </c>
      <c r="C132">
        <v>900</v>
      </c>
      <c r="D132" t="s">
        <v>248</v>
      </c>
      <c r="CB132">
        <f>IF(E132&lt;0,1,0)</f>
        <v>0</v>
      </c>
    </row>
    <row r="133" spans="2:80" x14ac:dyDescent="0.2">
      <c r="B133" t="s">
        <v>1383</v>
      </c>
      <c r="C133">
        <v>905</v>
      </c>
      <c r="D133" t="s">
        <v>248</v>
      </c>
    </row>
    <row r="134" spans="2:80" x14ac:dyDescent="0.2">
      <c r="B134" t="s">
        <v>1385</v>
      </c>
      <c r="C134">
        <v>910</v>
      </c>
      <c r="D134" t="s">
        <v>248</v>
      </c>
      <c r="CB134">
        <f>IF(E134&lt;0,1,0)</f>
        <v>0</v>
      </c>
    </row>
    <row r="135" spans="2:80" x14ac:dyDescent="0.2">
      <c r="B135" t="s">
        <v>1386</v>
      </c>
      <c r="C135">
        <v>920</v>
      </c>
      <c r="D135" t="s">
        <v>248</v>
      </c>
    </row>
    <row r="136" spans="2:80" x14ac:dyDescent="0.2">
      <c r="B136" t="s">
        <v>1387</v>
      </c>
      <c r="C136">
        <v>930</v>
      </c>
      <c r="D136" t="s">
        <v>245</v>
      </c>
      <c r="CA136">
        <f>IF(E136&gt;0,1,0)</f>
        <v>0</v>
      </c>
    </row>
    <row r="137" spans="2:80" x14ac:dyDescent="0.2">
      <c r="B137" t="s">
        <v>1388</v>
      </c>
      <c r="C137">
        <v>940</v>
      </c>
      <c r="D137" t="s">
        <v>245</v>
      </c>
      <c r="CA137">
        <f>IF(E137&gt;0,1,0)</f>
        <v>0</v>
      </c>
    </row>
    <row r="138" spans="2:80" x14ac:dyDescent="0.2">
      <c r="B138" t="s">
        <v>1389</v>
      </c>
      <c r="C138">
        <v>950</v>
      </c>
      <c r="D138" t="s">
        <v>251</v>
      </c>
    </row>
    <row r="139" spans="2:80" x14ac:dyDescent="0.2">
      <c r="B139" t="s">
        <v>3001</v>
      </c>
      <c r="C139">
        <v>952</v>
      </c>
      <c r="D139" t="s">
        <v>251</v>
      </c>
    </row>
    <row r="140" spans="2:80" x14ac:dyDescent="0.2">
      <c r="B140" t="s">
        <v>3002</v>
      </c>
      <c r="C140">
        <v>955</v>
      </c>
      <c r="D140" t="s">
        <v>251</v>
      </c>
    </row>
    <row r="141" spans="2:80" x14ac:dyDescent="0.2">
      <c r="B141" t="s">
        <v>1351</v>
      </c>
      <c r="E141" t="s">
        <v>3003</v>
      </c>
      <c r="F141" t="s">
        <v>402</v>
      </c>
      <c r="H141" t="s">
        <v>2999</v>
      </c>
      <c r="I141" t="s">
        <v>1352</v>
      </c>
    </row>
    <row r="142" spans="2:80" x14ac:dyDescent="0.2">
      <c r="B142" t="s">
        <v>1392</v>
      </c>
      <c r="C142">
        <v>970</v>
      </c>
      <c r="D142" t="s">
        <v>251</v>
      </c>
    </row>
    <row r="165" spans="2:80" x14ac:dyDescent="0.2">
      <c r="D165" t="s">
        <v>25</v>
      </c>
      <c r="E165" t="s">
        <v>235</v>
      </c>
      <c r="F165" t="s">
        <v>236</v>
      </c>
      <c r="G165" t="s">
        <v>293</v>
      </c>
      <c r="H165" t="s">
        <v>294</v>
      </c>
      <c r="R165" t="s">
        <v>576</v>
      </c>
      <c r="S165" t="s">
        <v>577</v>
      </c>
      <c r="T165" t="s">
        <v>578</v>
      </c>
      <c r="U165" t="s">
        <v>579</v>
      </c>
      <c r="V165" t="s">
        <v>580</v>
      </c>
    </row>
    <row r="166" spans="2:80" x14ac:dyDescent="0.2">
      <c r="B166" t="s">
        <v>1393</v>
      </c>
      <c r="C166" t="s">
        <v>238</v>
      </c>
      <c r="E166" t="s">
        <v>799</v>
      </c>
      <c r="F166" t="s">
        <v>1328</v>
      </c>
      <c r="G166" t="s">
        <v>1329</v>
      </c>
      <c r="H166" t="s">
        <v>302</v>
      </c>
      <c r="R166" t="s">
        <v>1330</v>
      </c>
      <c r="S166" t="s">
        <v>387</v>
      </c>
      <c r="T166" t="s">
        <v>303</v>
      </c>
      <c r="U166" t="s">
        <v>304</v>
      </c>
      <c r="V166" t="s">
        <v>1033</v>
      </c>
    </row>
    <row r="167" spans="2:80" x14ac:dyDescent="0.2">
      <c r="C167" t="s">
        <v>242</v>
      </c>
      <c r="E167" t="s">
        <v>243</v>
      </c>
      <c r="F167" t="s">
        <v>243</v>
      </c>
      <c r="G167" t="s">
        <v>243</v>
      </c>
      <c r="H167" t="s">
        <v>243</v>
      </c>
      <c r="R167" t="s">
        <v>243</v>
      </c>
      <c r="S167" t="s">
        <v>243</v>
      </c>
      <c r="T167" t="s">
        <v>243</v>
      </c>
      <c r="U167" t="s">
        <v>243</v>
      </c>
      <c r="V167" t="s">
        <v>243</v>
      </c>
    </row>
    <row r="168" spans="2:80" x14ac:dyDescent="0.2">
      <c r="B168" t="s">
        <v>1394</v>
      </c>
      <c r="C168">
        <v>1160</v>
      </c>
      <c r="D168" t="s">
        <v>248</v>
      </c>
    </row>
    <row r="173" spans="2:80" x14ac:dyDescent="0.2">
      <c r="D173" t="s">
        <v>25</v>
      </c>
      <c r="E173" t="s">
        <v>235</v>
      </c>
      <c r="BC173" t="s">
        <v>237</v>
      </c>
    </row>
    <row r="174" spans="2:80" x14ac:dyDescent="0.2">
      <c r="B174" t="s">
        <v>144</v>
      </c>
      <c r="C174" t="s">
        <v>238</v>
      </c>
      <c r="E174" t="s">
        <v>799</v>
      </c>
      <c r="BC174" t="s">
        <v>241</v>
      </c>
    </row>
    <row r="175" spans="2:80" x14ac:dyDescent="0.2">
      <c r="C175" t="s">
        <v>242</v>
      </c>
      <c r="E175" t="s">
        <v>243</v>
      </c>
      <c r="BC175" t="s">
        <v>243</v>
      </c>
    </row>
    <row r="176" spans="2:80" x14ac:dyDescent="0.2">
      <c r="B176" t="s">
        <v>1033</v>
      </c>
      <c r="C176">
        <v>1240</v>
      </c>
      <c r="D176" t="s">
        <v>248</v>
      </c>
      <c r="CB176">
        <f>IF(E176&lt;0,1,0)</f>
        <v>0</v>
      </c>
    </row>
    <row r="177" spans="2:80" x14ac:dyDescent="0.2">
      <c r="B177" t="s">
        <v>1360</v>
      </c>
      <c r="C177">
        <v>1250</v>
      </c>
      <c r="D177" t="s">
        <v>251</v>
      </c>
    </row>
    <row r="178" spans="2:80" x14ac:dyDescent="0.2">
      <c r="B178" t="s">
        <v>303</v>
      </c>
      <c r="C178">
        <v>1260</v>
      </c>
      <c r="D178" t="s">
        <v>248</v>
      </c>
      <c r="CB178">
        <f>IF(E178&lt;0,1,0)</f>
        <v>0</v>
      </c>
    </row>
    <row r="179" spans="2:80" x14ac:dyDescent="0.2">
      <c r="B179" t="s">
        <v>387</v>
      </c>
      <c r="C179">
        <v>1270</v>
      </c>
      <c r="D179" t="s">
        <v>251</v>
      </c>
    </row>
    <row r="180" spans="2:80" x14ac:dyDescent="0.2">
      <c r="B180" t="s">
        <v>389</v>
      </c>
      <c r="C180">
        <v>1280</v>
      </c>
      <c r="D180" t="s">
        <v>248</v>
      </c>
      <c r="CB180">
        <f>IF(E180&lt;0,1,0)</f>
        <v>0</v>
      </c>
    </row>
    <row r="181" spans="2:80" x14ac:dyDescent="0.2">
      <c r="B181" t="s">
        <v>391</v>
      </c>
      <c r="C181">
        <v>1290</v>
      </c>
      <c r="D181" t="s">
        <v>251</v>
      </c>
    </row>
    <row r="182" spans="2:80" x14ac:dyDescent="0.2">
      <c r="B182" t="s">
        <v>401</v>
      </c>
      <c r="C182">
        <v>1300</v>
      </c>
      <c r="D182" t="s">
        <v>251</v>
      </c>
    </row>
    <row r="183" spans="2:80" x14ac:dyDescent="0.2">
      <c r="B183" t="s">
        <v>402</v>
      </c>
      <c r="C183">
        <v>1310</v>
      </c>
      <c r="D183" t="s">
        <v>248</v>
      </c>
      <c r="CB183">
        <f>IF(E183&lt;0,1,0)</f>
        <v>0</v>
      </c>
    </row>
    <row r="184" spans="2:80" x14ac:dyDescent="0.2">
      <c r="B184" t="s">
        <v>292</v>
      </c>
      <c r="C184">
        <v>1320</v>
      </c>
      <c r="D184" t="s">
        <v>248</v>
      </c>
      <c r="CB184">
        <f>IF(E184&lt;0,1,0)</f>
        <v>0</v>
      </c>
    </row>
    <row r="185" spans="2:80" x14ac:dyDescent="0.2">
      <c r="B185" t="s">
        <v>1068</v>
      </c>
      <c r="C185">
        <v>1330</v>
      </c>
      <c r="D185" t="s">
        <v>248</v>
      </c>
      <c r="CB185">
        <f>IF(E185&lt;0,1,0)</f>
        <v>0</v>
      </c>
    </row>
    <row r="186" spans="2:80" x14ac:dyDescent="0.2">
      <c r="B186" t="s">
        <v>1395</v>
      </c>
      <c r="C186">
        <v>1340</v>
      </c>
      <c r="D186" t="s">
        <v>245</v>
      </c>
      <c r="CA186">
        <f>IF(E186&gt;0,1,0)</f>
        <v>0</v>
      </c>
    </row>
    <row r="187" spans="2:80" x14ac:dyDescent="0.2">
      <c r="B187" t="s">
        <v>1396</v>
      </c>
      <c r="C187">
        <v>1350</v>
      </c>
      <c r="D187" t="s">
        <v>248</v>
      </c>
      <c r="CB187">
        <f>IF(E187&lt;0,1,0)</f>
        <v>0</v>
      </c>
    </row>
    <row r="188" spans="2:80" x14ac:dyDescent="0.2">
      <c r="B188" t="s">
        <v>1397</v>
      </c>
      <c r="C188">
        <v>1355</v>
      </c>
      <c r="D188" t="s">
        <v>251</v>
      </c>
    </row>
    <row r="189" spans="2:80" x14ac:dyDescent="0.2">
      <c r="B189" t="s">
        <v>1398</v>
      </c>
      <c r="C189">
        <v>1360</v>
      </c>
      <c r="D189" t="s">
        <v>245</v>
      </c>
      <c r="CA189">
        <f>IF(E189&gt;0,1,0)</f>
        <v>0</v>
      </c>
    </row>
    <row r="190" spans="2:80" x14ac:dyDescent="0.2">
      <c r="B190" t="s">
        <v>1237</v>
      </c>
      <c r="C190">
        <v>1370</v>
      </c>
      <c r="D190" t="s">
        <v>245</v>
      </c>
      <c r="CA190">
        <f>IF(E190&gt;0,1,0)</f>
        <v>0</v>
      </c>
    </row>
    <row r="191" spans="2:80" x14ac:dyDescent="0.2">
      <c r="B191" t="s">
        <v>1074</v>
      </c>
      <c r="C191">
        <v>1380</v>
      </c>
      <c r="D191" t="s">
        <v>251</v>
      </c>
    </row>
    <row r="192" spans="2:80" x14ac:dyDescent="0.2">
      <c r="B192" t="s">
        <v>1399</v>
      </c>
      <c r="C192">
        <v>1390</v>
      </c>
      <c r="D192" t="s">
        <v>248</v>
      </c>
    </row>
    <row r="196" spans="2:55" x14ac:dyDescent="0.2">
      <c r="F196" t="s">
        <v>1400</v>
      </c>
      <c r="R196" t="s">
        <v>1401</v>
      </c>
      <c r="AC196" t="s">
        <v>1322</v>
      </c>
    </row>
    <row r="197" spans="2:55" x14ac:dyDescent="0.2">
      <c r="D197" t="s">
        <v>25</v>
      </c>
      <c r="E197" t="s">
        <v>235</v>
      </c>
      <c r="F197" t="s">
        <v>236</v>
      </c>
      <c r="G197" t="s">
        <v>293</v>
      </c>
      <c r="H197" t="s">
        <v>294</v>
      </c>
      <c r="I197" t="s">
        <v>298</v>
      </c>
      <c r="R197" t="s">
        <v>576</v>
      </c>
      <c r="S197" t="s">
        <v>577</v>
      </c>
      <c r="T197" t="s">
        <v>578</v>
      </c>
      <c r="U197" t="s">
        <v>579</v>
      </c>
      <c r="V197" t="s">
        <v>580</v>
      </c>
      <c r="AC197" t="s">
        <v>825</v>
      </c>
      <c r="AD197" t="s">
        <v>826</v>
      </c>
      <c r="AE197" t="s">
        <v>827</v>
      </c>
      <c r="AF197" t="s">
        <v>828</v>
      </c>
      <c r="AG197" t="s">
        <v>829</v>
      </c>
      <c r="AH197" t="s">
        <v>830</v>
      </c>
      <c r="AI197" t="s">
        <v>831</v>
      </c>
      <c r="AJ197" t="s">
        <v>1323</v>
      </c>
      <c r="AK197" t="s">
        <v>1324</v>
      </c>
      <c r="AL197" t="s">
        <v>1325</v>
      </c>
      <c r="AM197" t="s">
        <v>1326</v>
      </c>
      <c r="BC197" t="s">
        <v>237</v>
      </c>
    </row>
    <row r="198" spans="2:55" x14ac:dyDescent="0.2">
      <c r="B198" t="s">
        <v>145</v>
      </c>
      <c r="C198" t="s">
        <v>238</v>
      </c>
      <c r="E198" t="s">
        <v>799</v>
      </c>
      <c r="F198" t="s">
        <v>1328</v>
      </c>
      <c r="G198" t="s">
        <v>1329</v>
      </c>
      <c r="H198" t="s">
        <v>302</v>
      </c>
      <c r="R198" t="s">
        <v>1330</v>
      </c>
      <c r="S198" t="s">
        <v>387</v>
      </c>
      <c r="T198" t="s">
        <v>303</v>
      </c>
      <c r="U198" t="s">
        <v>304</v>
      </c>
      <c r="V198" t="s">
        <v>1033</v>
      </c>
      <c r="AC198" t="s">
        <v>1005</v>
      </c>
      <c r="AD198" t="s">
        <v>1006</v>
      </c>
      <c r="AE198" t="s">
        <v>1007</v>
      </c>
      <c r="AF198" t="s">
        <v>590</v>
      </c>
      <c r="AG198" t="s">
        <v>1008</v>
      </c>
      <c r="AH198" t="s">
        <v>1265</v>
      </c>
      <c r="AI198" t="s">
        <v>1266</v>
      </c>
      <c r="AJ198" t="s">
        <v>1267</v>
      </c>
      <c r="AK198" t="s">
        <v>599</v>
      </c>
      <c r="AL198" t="s">
        <v>1268</v>
      </c>
      <c r="AM198" t="s">
        <v>1269</v>
      </c>
      <c r="BC198" t="s">
        <v>241</v>
      </c>
    </row>
    <row r="199" spans="2:55" x14ac:dyDescent="0.2">
      <c r="C199" t="s">
        <v>242</v>
      </c>
      <c r="E199" t="s">
        <v>243</v>
      </c>
      <c r="F199" t="s">
        <v>243</v>
      </c>
      <c r="G199" t="s">
        <v>243</v>
      </c>
      <c r="H199" t="s">
        <v>243</v>
      </c>
      <c r="I199" t="s">
        <v>243</v>
      </c>
      <c r="R199" t="s">
        <v>243</v>
      </c>
      <c r="S199" t="s">
        <v>243</v>
      </c>
      <c r="T199" t="s">
        <v>243</v>
      </c>
      <c r="U199" t="s">
        <v>243</v>
      </c>
      <c r="V199" t="s">
        <v>243</v>
      </c>
      <c r="AC199" t="s">
        <v>243</v>
      </c>
      <c r="AD199" t="s">
        <v>243</v>
      </c>
      <c r="AE199" t="s">
        <v>243</v>
      </c>
      <c r="AF199" t="s">
        <v>243</v>
      </c>
      <c r="AG199" t="s">
        <v>243</v>
      </c>
      <c r="AH199" t="s">
        <v>243</v>
      </c>
      <c r="AI199" t="s">
        <v>243</v>
      </c>
      <c r="AJ199" t="s">
        <v>243</v>
      </c>
      <c r="AK199" t="s">
        <v>243</v>
      </c>
      <c r="AL199" t="s">
        <v>243</v>
      </c>
      <c r="AM199" t="s">
        <v>243</v>
      </c>
      <c r="BC199" t="s">
        <v>243</v>
      </c>
    </row>
    <row r="200" spans="2:55" x14ac:dyDescent="0.2">
      <c r="B200" t="s">
        <v>3004</v>
      </c>
      <c r="C200">
        <v>1400</v>
      </c>
      <c r="D200" t="s">
        <v>248</v>
      </c>
    </row>
    <row r="201" spans="2:55" x14ac:dyDescent="0.2">
      <c r="B201" t="s">
        <v>340</v>
      </c>
      <c r="C201">
        <v>1410</v>
      </c>
      <c r="D201" t="s">
        <v>248</v>
      </c>
    </row>
    <row r="202" spans="2:55" x14ac:dyDescent="0.2">
      <c r="B202" t="s">
        <v>1351</v>
      </c>
      <c r="E202" t="s">
        <v>3003</v>
      </c>
      <c r="F202" t="s">
        <v>402</v>
      </c>
      <c r="H202" t="s">
        <v>2999</v>
      </c>
      <c r="I202" t="s">
        <v>1352</v>
      </c>
    </row>
    <row r="203" spans="2:55" x14ac:dyDescent="0.2">
      <c r="B203" t="s">
        <v>145</v>
      </c>
      <c r="C203">
        <v>1420</v>
      </c>
      <c r="D203" t="s">
        <v>251</v>
      </c>
    </row>
    <row r="207" spans="2:55" x14ac:dyDescent="0.2">
      <c r="D207" t="s">
        <v>25</v>
      </c>
      <c r="E207" t="s">
        <v>235</v>
      </c>
      <c r="F207" t="s">
        <v>236</v>
      </c>
    </row>
    <row r="208" spans="2:55" x14ac:dyDescent="0.2">
      <c r="B208" t="s">
        <v>1404</v>
      </c>
      <c r="C208" t="s">
        <v>238</v>
      </c>
      <c r="E208" t="s">
        <v>799</v>
      </c>
      <c r="F208" t="s">
        <v>240</v>
      </c>
    </row>
    <row r="209" spans="2:39" x14ac:dyDescent="0.2">
      <c r="C209" t="s">
        <v>242</v>
      </c>
      <c r="E209" t="s">
        <v>243</v>
      </c>
      <c r="F209" t="s">
        <v>243</v>
      </c>
    </row>
    <row r="210" spans="2:39" x14ac:dyDescent="0.2">
      <c r="B210" t="s">
        <v>1284</v>
      </c>
      <c r="C210">
        <v>1450</v>
      </c>
      <c r="D210" t="s">
        <v>248</v>
      </c>
    </row>
    <row r="211" spans="2:39" x14ac:dyDescent="0.2">
      <c r="B211" t="s">
        <v>1285</v>
      </c>
      <c r="C211">
        <v>1460</v>
      </c>
      <c r="D211" t="s">
        <v>248</v>
      </c>
    </row>
    <row r="216" spans="2:39" x14ac:dyDescent="0.2">
      <c r="D216" t="s">
        <v>25</v>
      </c>
      <c r="AC216" t="s">
        <v>825</v>
      </c>
      <c r="AD216" t="s">
        <v>826</v>
      </c>
      <c r="AE216" t="s">
        <v>827</v>
      </c>
      <c r="AF216" t="s">
        <v>828</v>
      </c>
      <c r="AG216" t="s">
        <v>829</v>
      </c>
      <c r="AH216" t="s">
        <v>830</v>
      </c>
      <c r="AI216" t="s">
        <v>831</v>
      </c>
      <c r="AJ216" t="s">
        <v>1323</v>
      </c>
      <c r="AK216" t="s">
        <v>1324</v>
      </c>
      <c r="AL216" t="s">
        <v>1325</v>
      </c>
      <c r="AM216" t="s">
        <v>1326</v>
      </c>
    </row>
    <row r="217" spans="2:39" x14ac:dyDescent="0.2">
      <c r="B217" t="s">
        <v>1405</v>
      </c>
      <c r="C217" t="s">
        <v>238</v>
      </c>
      <c r="AC217" t="s">
        <v>1005</v>
      </c>
      <c r="AD217" t="s">
        <v>1006</v>
      </c>
      <c r="AE217" t="s">
        <v>1007</v>
      </c>
      <c r="AF217" t="s">
        <v>590</v>
      </c>
      <c r="AG217" t="s">
        <v>1008</v>
      </c>
      <c r="AH217" t="s">
        <v>1265</v>
      </c>
      <c r="AI217" t="s">
        <v>1266</v>
      </c>
      <c r="AJ217" t="s">
        <v>1267</v>
      </c>
      <c r="AK217" t="s">
        <v>599</v>
      </c>
      <c r="AL217" t="s">
        <v>1268</v>
      </c>
      <c r="AM217" t="s">
        <v>1269</v>
      </c>
    </row>
    <row r="218" spans="2:39" x14ac:dyDescent="0.2">
      <c r="C218" t="s">
        <v>242</v>
      </c>
      <c r="AC218" t="s">
        <v>243</v>
      </c>
      <c r="AD218" t="s">
        <v>243</v>
      </c>
      <c r="AE218" t="s">
        <v>243</v>
      </c>
      <c r="AF218" t="s">
        <v>243</v>
      </c>
      <c r="AG218" t="s">
        <v>243</v>
      </c>
      <c r="AH218" t="s">
        <v>243</v>
      </c>
      <c r="AI218" t="s">
        <v>243</v>
      </c>
      <c r="AJ218" t="s">
        <v>243</v>
      </c>
      <c r="AK218" t="s">
        <v>243</v>
      </c>
      <c r="AL218" t="s">
        <v>243</v>
      </c>
      <c r="AM218" t="s">
        <v>243</v>
      </c>
    </row>
    <row r="219" spans="2:39" x14ac:dyDescent="0.2">
      <c r="B219" t="s">
        <v>1406</v>
      </c>
      <c r="C219">
        <v>1470</v>
      </c>
      <c r="D219" t="s">
        <v>248</v>
      </c>
    </row>
    <row r="220" spans="2:39" x14ac:dyDescent="0.2">
      <c r="B220" t="s">
        <v>1407</v>
      </c>
      <c r="C220">
        <v>1480</v>
      </c>
      <c r="D220" t="s">
        <v>248</v>
      </c>
    </row>
    <row r="223" spans="2:39" x14ac:dyDescent="0.2">
      <c r="F223" t="s">
        <v>1320</v>
      </c>
      <c r="R223" t="s">
        <v>1321</v>
      </c>
      <c r="AC223" t="s">
        <v>1322</v>
      </c>
    </row>
    <row r="224" spans="2:39" x14ac:dyDescent="0.2">
      <c r="D224" t="s">
        <v>25</v>
      </c>
      <c r="E224" t="s">
        <v>235</v>
      </c>
      <c r="F224" t="s">
        <v>236</v>
      </c>
      <c r="G224" t="s">
        <v>293</v>
      </c>
      <c r="H224" t="s">
        <v>294</v>
      </c>
      <c r="R224" t="s">
        <v>576</v>
      </c>
      <c r="S224" t="s">
        <v>577</v>
      </c>
      <c r="T224" t="s">
        <v>578</v>
      </c>
      <c r="U224" t="s">
        <v>579</v>
      </c>
      <c r="V224" t="s">
        <v>580</v>
      </c>
      <c r="AC224" t="s">
        <v>825</v>
      </c>
      <c r="AD224" t="s">
        <v>826</v>
      </c>
      <c r="AE224" t="s">
        <v>827</v>
      </c>
      <c r="AF224" t="s">
        <v>828</v>
      </c>
      <c r="AG224" t="s">
        <v>829</v>
      </c>
      <c r="AH224" t="s">
        <v>830</v>
      </c>
      <c r="AI224" t="s">
        <v>831</v>
      </c>
      <c r="AJ224" t="s">
        <v>1323</v>
      </c>
      <c r="AK224" t="s">
        <v>1324</v>
      </c>
      <c r="AL224" t="s">
        <v>1325</v>
      </c>
      <c r="AM224" t="s">
        <v>1326</v>
      </c>
    </row>
    <row r="225" spans="2:39" x14ac:dyDescent="0.2">
      <c r="B225" t="s">
        <v>1408</v>
      </c>
      <c r="C225" t="s">
        <v>238</v>
      </c>
      <c r="E225" t="s">
        <v>799</v>
      </c>
      <c r="F225" t="s">
        <v>1328</v>
      </c>
      <c r="G225" t="s">
        <v>1329</v>
      </c>
      <c r="H225" t="s">
        <v>302</v>
      </c>
      <c r="R225" t="s">
        <v>1330</v>
      </c>
      <c r="S225" t="s">
        <v>387</v>
      </c>
      <c r="T225" t="s">
        <v>303</v>
      </c>
      <c r="U225" t="s">
        <v>304</v>
      </c>
      <c r="V225" t="s">
        <v>1033</v>
      </c>
      <c r="AC225" t="s">
        <v>1005</v>
      </c>
      <c r="AD225" t="s">
        <v>1006</v>
      </c>
      <c r="AE225" t="s">
        <v>1007</v>
      </c>
      <c r="AF225" t="s">
        <v>590</v>
      </c>
      <c r="AG225" t="s">
        <v>1008</v>
      </c>
      <c r="AH225" t="s">
        <v>1265</v>
      </c>
      <c r="AI225" t="s">
        <v>1266</v>
      </c>
      <c r="AJ225" t="s">
        <v>1267</v>
      </c>
      <c r="AK225" t="s">
        <v>599</v>
      </c>
      <c r="AL225" t="s">
        <v>1268</v>
      </c>
      <c r="AM225" t="s">
        <v>1269</v>
      </c>
    </row>
    <row r="226" spans="2:39" x14ac:dyDescent="0.2">
      <c r="C226" t="s">
        <v>242</v>
      </c>
      <c r="E226" t="s">
        <v>243</v>
      </c>
      <c r="F226" t="s">
        <v>243</v>
      </c>
      <c r="G226" t="s">
        <v>243</v>
      </c>
      <c r="H226" t="s">
        <v>243</v>
      </c>
      <c r="R226" t="s">
        <v>243</v>
      </c>
      <c r="S226" t="s">
        <v>243</v>
      </c>
      <c r="T226" t="s">
        <v>243</v>
      </c>
      <c r="U226" t="s">
        <v>243</v>
      </c>
      <c r="V226" t="s">
        <v>243</v>
      </c>
      <c r="AC226" t="s">
        <v>243</v>
      </c>
      <c r="AD226" t="s">
        <v>243</v>
      </c>
      <c r="AE226" t="s">
        <v>243</v>
      </c>
      <c r="AF226" t="s">
        <v>243</v>
      </c>
      <c r="AG226" t="s">
        <v>243</v>
      </c>
      <c r="AH226" t="s">
        <v>243</v>
      </c>
      <c r="AI226" t="s">
        <v>243</v>
      </c>
      <c r="AJ226" t="s">
        <v>243</v>
      </c>
      <c r="AK226" t="s">
        <v>243</v>
      </c>
      <c r="AL226" t="s">
        <v>243</v>
      </c>
      <c r="AM226" t="s">
        <v>243</v>
      </c>
    </row>
    <row r="228" spans="2:39" x14ac:dyDescent="0.2">
      <c r="B228" t="s">
        <v>1409</v>
      </c>
      <c r="C228">
        <v>1630</v>
      </c>
      <c r="D228" t="s">
        <v>248</v>
      </c>
    </row>
    <row r="229" spans="2:39" x14ac:dyDescent="0.2">
      <c r="B229" t="s">
        <v>1410</v>
      </c>
      <c r="C229">
        <v>1640</v>
      </c>
      <c r="D229" t="s">
        <v>248</v>
      </c>
    </row>
    <row r="230" spans="2:39" x14ac:dyDescent="0.2">
      <c r="B230" t="s">
        <v>1411</v>
      </c>
      <c r="C230">
        <v>1650</v>
      </c>
      <c r="D230" t="s">
        <v>248</v>
      </c>
    </row>
    <row r="231" spans="2:39" x14ac:dyDescent="0.2">
      <c r="B231" t="s">
        <v>1412</v>
      </c>
      <c r="C231">
        <v>1670</v>
      </c>
      <c r="D231" t="s">
        <v>248</v>
      </c>
    </row>
    <row r="232" spans="2:39" x14ac:dyDescent="0.2">
      <c r="B232" t="s">
        <v>1413</v>
      </c>
      <c r="C232">
        <v>1675</v>
      </c>
      <c r="D232" t="s">
        <v>248</v>
      </c>
    </row>
    <row r="233" spans="2:39" x14ac:dyDescent="0.2">
      <c r="B233" t="s">
        <v>1414</v>
      </c>
      <c r="C233">
        <v>1680</v>
      </c>
      <c r="D233" t="s">
        <v>248</v>
      </c>
    </row>
    <row r="234" spans="2:39" x14ac:dyDescent="0.2">
      <c r="B234" t="s">
        <v>1415</v>
      </c>
      <c r="C234">
        <v>1690</v>
      </c>
      <c r="D234" t="s">
        <v>248</v>
      </c>
    </row>
    <row r="235" spans="2:39" x14ac:dyDescent="0.2">
      <c r="B235" t="s">
        <v>1416</v>
      </c>
      <c r="C235">
        <v>1700</v>
      </c>
      <c r="D235" t="s">
        <v>248</v>
      </c>
    </row>
    <row r="236" spans="2:39" x14ac:dyDescent="0.2">
      <c r="B236" t="s">
        <v>1417</v>
      </c>
      <c r="C236">
        <v>1710</v>
      </c>
      <c r="D236" t="s">
        <v>248</v>
      </c>
    </row>
    <row r="239" spans="2:39" x14ac:dyDescent="0.2">
      <c r="F239" t="s">
        <v>1320</v>
      </c>
      <c r="R239" t="s">
        <v>1321</v>
      </c>
      <c r="AC239" t="s">
        <v>1322</v>
      </c>
    </row>
    <row r="240" spans="2:39" x14ac:dyDescent="0.2">
      <c r="D240" t="s">
        <v>25</v>
      </c>
      <c r="E240" t="s">
        <v>235</v>
      </c>
      <c r="F240" t="s">
        <v>236</v>
      </c>
      <c r="G240" t="s">
        <v>293</v>
      </c>
      <c r="H240" t="s">
        <v>294</v>
      </c>
      <c r="R240" t="s">
        <v>576</v>
      </c>
      <c r="S240" t="s">
        <v>577</v>
      </c>
      <c r="T240" t="s">
        <v>578</v>
      </c>
      <c r="U240" t="s">
        <v>579</v>
      </c>
      <c r="V240" t="s">
        <v>580</v>
      </c>
      <c r="AC240" t="s">
        <v>825</v>
      </c>
      <c r="AD240" t="s">
        <v>826</v>
      </c>
      <c r="AE240" t="s">
        <v>827</v>
      </c>
      <c r="AF240" t="s">
        <v>828</v>
      </c>
      <c r="AG240" t="s">
        <v>829</v>
      </c>
      <c r="AH240" t="s">
        <v>830</v>
      </c>
      <c r="AI240" t="s">
        <v>831</v>
      </c>
      <c r="AJ240" t="s">
        <v>1323</v>
      </c>
      <c r="AK240" t="s">
        <v>1324</v>
      </c>
      <c r="AL240" t="s">
        <v>1325</v>
      </c>
      <c r="AM240" t="s">
        <v>1326</v>
      </c>
    </row>
    <row r="241" spans="2:39" x14ac:dyDescent="0.2">
      <c r="B241" t="s">
        <v>1418</v>
      </c>
      <c r="C241" t="s">
        <v>238</v>
      </c>
      <c r="E241" t="s">
        <v>799</v>
      </c>
      <c r="F241" t="s">
        <v>1328</v>
      </c>
      <c r="G241" t="s">
        <v>1329</v>
      </c>
      <c r="H241" t="s">
        <v>302</v>
      </c>
      <c r="R241" t="s">
        <v>1330</v>
      </c>
      <c r="S241" t="s">
        <v>387</v>
      </c>
      <c r="T241" t="s">
        <v>303</v>
      </c>
      <c r="U241" t="s">
        <v>304</v>
      </c>
      <c r="V241" t="s">
        <v>1033</v>
      </c>
      <c r="AC241" t="s">
        <v>1005</v>
      </c>
      <c r="AD241" t="s">
        <v>1006</v>
      </c>
      <c r="AE241" t="s">
        <v>1007</v>
      </c>
      <c r="AF241" t="s">
        <v>590</v>
      </c>
      <c r="AG241" t="s">
        <v>1008</v>
      </c>
      <c r="AH241" t="s">
        <v>1265</v>
      </c>
      <c r="AI241" t="s">
        <v>1266</v>
      </c>
      <c r="AJ241" t="s">
        <v>1267</v>
      </c>
      <c r="AK241" t="s">
        <v>599</v>
      </c>
      <c r="AL241" t="s">
        <v>1268</v>
      </c>
      <c r="AM241" t="s">
        <v>1269</v>
      </c>
    </row>
    <row r="242" spans="2:39" x14ac:dyDescent="0.2">
      <c r="C242" t="s">
        <v>242</v>
      </c>
      <c r="E242" t="s">
        <v>243</v>
      </c>
      <c r="F242" t="s">
        <v>243</v>
      </c>
      <c r="G242" t="s">
        <v>243</v>
      </c>
      <c r="H242" t="s">
        <v>243</v>
      </c>
      <c r="R242" t="s">
        <v>243</v>
      </c>
      <c r="S242" t="s">
        <v>243</v>
      </c>
      <c r="T242" t="s">
        <v>243</v>
      </c>
      <c r="U242" t="s">
        <v>243</v>
      </c>
      <c r="V242" t="s">
        <v>243</v>
      </c>
      <c r="AC242" t="s">
        <v>243</v>
      </c>
      <c r="AD242" t="s">
        <v>243</v>
      </c>
      <c r="AE242" t="s">
        <v>243</v>
      </c>
      <c r="AF242" t="s">
        <v>243</v>
      </c>
      <c r="AG242" t="s">
        <v>243</v>
      </c>
      <c r="AH242" t="s">
        <v>243</v>
      </c>
      <c r="AI242" t="s">
        <v>243</v>
      </c>
      <c r="AJ242" t="s">
        <v>243</v>
      </c>
      <c r="AK242" t="s">
        <v>243</v>
      </c>
      <c r="AL242" t="s">
        <v>243</v>
      </c>
      <c r="AM242" t="s">
        <v>243</v>
      </c>
    </row>
    <row r="244" spans="2:39" x14ac:dyDescent="0.2">
      <c r="B244" t="s">
        <v>1409</v>
      </c>
      <c r="C244">
        <v>1720</v>
      </c>
      <c r="D244" t="s">
        <v>248</v>
      </c>
    </row>
    <row r="245" spans="2:39" x14ac:dyDescent="0.2">
      <c r="B245" t="s">
        <v>1410</v>
      </c>
      <c r="C245">
        <v>1730</v>
      </c>
      <c r="D245" t="s">
        <v>248</v>
      </c>
    </row>
    <row r="246" spans="2:39" x14ac:dyDescent="0.2">
      <c r="B246" t="s">
        <v>1419</v>
      </c>
      <c r="C246">
        <v>1740</v>
      </c>
      <c r="D246" t="s">
        <v>248</v>
      </c>
    </row>
    <row r="247" spans="2:39" x14ac:dyDescent="0.2">
      <c r="B247" t="s">
        <v>1412</v>
      </c>
      <c r="C247">
        <v>1750</v>
      </c>
      <c r="D247" t="s">
        <v>248</v>
      </c>
    </row>
    <row r="248" spans="2:39" x14ac:dyDescent="0.2">
      <c r="B248" t="s">
        <v>1413</v>
      </c>
      <c r="C248">
        <v>1755</v>
      </c>
      <c r="D248" t="s">
        <v>248</v>
      </c>
    </row>
    <row r="249" spans="2:39" x14ac:dyDescent="0.2">
      <c r="B249" t="s">
        <v>1420</v>
      </c>
      <c r="C249">
        <v>1760</v>
      </c>
      <c r="D249" t="s">
        <v>248</v>
      </c>
    </row>
    <row r="250" spans="2:39" x14ac:dyDescent="0.2">
      <c r="B250" t="s">
        <v>1415</v>
      </c>
      <c r="C250">
        <v>1770</v>
      </c>
      <c r="D250" t="s">
        <v>248</v>
      </c>
    </row>
    <row r="251" spans="2:39" x14ac:dyDescent="0.2">
      <c r="B251" t="s">
        <v>1416</v>
      </c>
      <c r="C251">
        <v>1780</v>
      </c>
      <c r="D251" t="s">
        <v>248</v>
      </c>
    </row>
    <row r="252" spans="2:39" x14ac:dyDescent="0.2">
      <c r="B252" t="s">
        <v>1421</v>
      </c>
      <c r="C252">
        <v>1790</v>
      </c>
      <c r="D252" t="s">
        <v>248</v>
      </c>
    </row>
    <row r="257" spans="2:39" x14ac:dyDescent="0.2">
      <c r="D257" t="s">
        <v>25</v>
      </c>
      <c r="E257" t="s">
        <v>235</v>
      </c>
      <c r="F257" t="s">
        <v>236</v>
      </c>
      <c r="G257" t="s">
        <v>293</v>
      </c>
      <c r="H257" t="s">
        <v>294</v>
      </c>
      <c r="R257" t="s">
        <v>576</v>
      </c>
      <c r="S257" t="s">
        <v>577</v>
      </c>
      <c r="T257" t="s">
        <v>578</v>
      </c>
      <c r="U257" t="s">
        <v>579</v>
      </c>
      <c r="V257" t="s">
        <v>580</v>
      </c>
      <c r="AC257" t="s">
        <v>825</v>
      </c>
      <c r="AD257" t="s">
        <v>826</v>
      </c>
      <c r="AE257" t="s">
        <v>827</v>
      </c>
      <c r="AF257" t="s">
        <v>828</v>
      </c>
      <c r="AG257" t="s">
        <v>829</v>
      </c>
      <c r="AH257" t="s">
        <v>830</v>
      </c>
      <c r="AI257" t="s">
        <v>831</v>
      </c>
      <c r="AJ257" t="s">
        <v>1323</v>
      </c>
      <c r="AK257" t="s">
        <v>1324</v>
      </c>
      <c r="AL257" t="s">
        <v>1325</v>
      </c>
      <c r="AM257" t="s">
        <v>1326</v>
      </c>
    </row>
    <row r="258" spans="2:39" x14ac:dyDescent="0.2">
      <c r="B258" t="s">
        <v>1422</v>
      </c>
      <c r="C258" t="s">
        <v>238</v>
      </c>
      <c r="E258" t="s">
        <v>799</v>
      </c>
      <c r="F258" t="s">
        <v>1328</v>
      </c>
      <c r="G258" t="s">
        <v>1329</v>
      </c>
      <c r="H258" t="s">
        <v>302</v>
      </c>
      <c r="R258" t="s">
        <v>1330</v>
      </c>
      <c r="S258" t="s">
        <v>387</v>
      </c>
      <c r="T258" t="s">
        <v>303</v>
      </c>
      <c r="U258" t="s">
        <v>304</v>
      </c>
      <c r="V258" t="s">
        <v>1033</v>
      </c>
      <c r="AC258" t="s">
        <v>1005</v>
      </c>
      <c r="AD258" t="s">
        <v>1006</v>
      </c>
      <c r="AE258" t="s">
        <v>1007</v>
      </c>
      <c r="AF258" t="s">
        <v>590</v>
      </c>
      <c r="AG258" t="s">
        <v>1008</v>
      </c>
      <c r="AH258" t="s">
        <v>1265</v>
      </c>
      <c r="AI258" t="s">
        <v>1266</v>
      </c>
      <c r="AJ258" t="s">
        <v>1267</v>
      </c>
      <c r="AK258" t="s">
        <v>599</v>
      </c>
      <c r="AL258" t="s">
        <v>1268</v>
      </c>
      <c r="AM258" t="s">
        <v>1269</v>
      </c>
    </row>
    <row r="259" spans="2:39" x14ac:dyDescent="0.2">
      <c r="C259" t="s">
        <v>242</v>
      </c>
      <c r="E259" t="s">
        <v>243</v>
      </c>
      <c r="F259" t="s">
        <v>243</v>
      </c>
      <c r="G259" t="s">
        <v>243</v>
      </c>
      <c r="H259" t="s">
        <v>243</v>
      </c>
      <c r="R259" t="s">
        <v>243</v>
      </c>
      <c r="S259" t="s">
        <v>243</v>
      </c>
      <c r="T259" t="s">
        <v>243</v>
      </c>
      <c r="U259" t="s">
        <v>243</v>
      </c>
      <c r="V259" t="s">
        <v>243</v>
      </c>
      <c r="AC259" t="s">
        <v>243</v>
      </c>
      <c r="AD259" t="s">
        <v>243</v>
      </c>
      <c r="AE259" t="s">
        <v>243</v>
      </c>
      <c r="AF259" t="s">
        <v>243</v>
      </c>
      <c r="AG259" t="s">
        <v>243</v>
      </c>
      <c r="AH259" t="s">
        <v>243</v>
      </c>
      <c r="AI259" t="s">
        <v>243</v>
      </c>
      <c r="AJ259" t="s">
        <v>243</v>
      </c>
      <c r="AK259" t="s">
        <v>243</v>
      </c>
      <c r="AL259" t="s">
        <v>243</v>
      </c>
      <c r="AM259" t="s">
        <v>243</v>
      </c>
    </row>
    <row r="260" spans="2:39" x14ac:dyDescent="0.2">
      <c r="B260" t="s">
        <v>1248</v>
      </c>
    </row>
    <row r="261" spans="2:39" x14ac:dyDescent="0.2">
      <c r="B261" t="s">
        <v>1423</v>
      </c>
      <c r="C261">
        <v>1795</v>
      </c>
      <c r="D261" t="s">
        <v>248</v>
      </c>
    </row>
    <row r="262" spans="2:39" x14ac:dyDescent="0.2">
      <c r="B262" t="s">
        <v>1424</v>
      </c>
      <c r="C262">
        <v>1800</v>
      </c>
      <c r="D262" t="s">
        <v>248</v>
      </c>
    </row>
    <row r="263" spans="2:39" x14ac:dyDescent="0.2">
      <c r="B263" t="s">
        <v>1425</v>
      </c>
      <c r="C263">
        <v>1802</v>
      </c>
      <c r="D263" t="s">
        <v>248</v>
      </c>
    </row>
    <row r="264" spans="2:39" x14ac:dyDescent="0.2">
      <c r="B264" t="s">
        <v>1426</v>
      </c>
      <c r="C264">
        <v>1804</v>
      </c>
      <c r="D264" t="s">
        <v>248</v>
      </c>
    </row>
    <row r="265" spans="2:39" x14ac:dyDescent="0.2">
      <c r="B265" t="s">
        <v>1427</v>
      </c>
      <c r="C265">
        <v>1810</v>
      </c>
      <c r="D265" t="s">
        <v>248</v>
      </c>
    </row>
    <row r="266" spans="2:39" x14ac:dyDescent="0.2">
      <c r="B266" t="s">
        <v>1428</v>
      </c>
      <c r="C266">
        <v>1820</v>
      </c>
      <c r="D266" t="s">
        <v>248</v>
      </c>
    </row>
    <row r="267" spans="2:39" x14ac:dyDescent="0.2">
      <c r="B267" t="s">
        <v>1346</v>
      </c>
    </row>
    <row r="268" spans="2:39" x14ac:dyDescent="0.2">
      <c r="B268" t="s">
        <v>1423</v>
      </c>
      <c r="C268">
        <v>1825</v>
      </c>
      <c r="D268" t="s">
        <v>248</v>
      </c>
    </row>
    <row r="269" spans="2:39" x14ac:dyDescent="0.2">
      <c r="B269" t="s">
        <v>1424</v>
      </c>
      <c r="C269">
        <v>1830</v>
      </c>
      <c r="D269" t="s">
        <v>248</v>
      </c>
    </row>
    <row r="270" spans="2:39" x14ac:dyDescent="0.2">
      <c r="B270" t="s">
        <v>1429</v>
      </c>
      <c r="C270">
        <v>1832</v>
      </c>
      <c r="D270" t="s">
        <v>248</v>
      </c>
    </row>
    <row r="271" spans="2:39" x14ac:dyDescent="0.2">
      <c r="B271" t="s">
        <v>1426</v>
      </c>
      <c r="C271">
        <v>1834</v>
      </c>
      <c r="D271" t="s">
        <v>248</v>
      </c>
    </row>
    <row r="272" spans="2:39" x14ac:dyDescent="0.2">
      <c r="B272" t="s">
        <v>1427</v>
      </c>
      <c r="C272">
        <v>1840</v>
      </c>
      <c r="D272" t="s">
        <v>248</v>
      </c>
    </row>
    <row r="273" spans="2:39" x14ac:dyDescent="0.2">
      <c r="B273" t="s">
        <v>1430</v>
      </c>
      <c r="C273">
        <v>1850</v>
      </c>
      <c r="D273" t="s">
        <v>248</v>
      </c>
    </row>
    <row r="276" spans="2:39" x14ac:dyDescent="0.2">
      <c r="D276" t="s">
        <v>25</v>
      </c>
      <c r="E276" t="s">
        <v>235</v>
      </c>
      <c r="F276" t="s">
        <v>236</v>
      </c>
      <c r="H276" t="s">
        <v>294</v>
      </c>
      <c r="T276" t="s">
        <v>578</v>
      </c>
      <c r="U276" t="s">
        <v>579</v>
      </c>
    </row>
    <row r="277" spans="2:39" x14ac:dyDescent="0.2">
      <c r="B277" t="s">
        <v>1431</v>
      </c>
      <c r="C277" t="s">
        <v>238</v>
      </c>
      <c r="E277" t="s">
        <v>1432</v>
      </c>
      <c r="F277" t="s">
        <v>1433</v>
      </c>
      <c r="H277" t="s">
        <v>1434</v>
      </c>
      <c r="T277" t="s">
        <v>1435</v>
      </c>
      <c r="U277" t="s">
        <v>1436</v>
      </c>
    </row>
    <row r="278" spans="2:39" x14ac:dyDescent="0.2">
      <c r="C278" t="s">
        <v>242</v>
      </c>
      <c r="E278" t="s">
        <v>243</v>
      </c>
      <c r="F278" t="s">
        <v>243</v>
      </c>
      <c r="H278" t="s">
        <v>243</v>
      </c>
      <c r="T278" t="s">
        <v>243</v>
      </c>
      <c r="U278" t="s">
        <v>243</v>
      </c>
    </row>
    <row r="279" spans="2:39" x14ac:dyDescent="0.2">
      <c r="B279" t="s">
        <v>1437</v>
      </c>
      <c r="C279">
        <v>1900</v>
      </c>
      <c r="D279" t="s">
        <v>248</v>
      </c>
    </row>
    <row r="280" spans="2:39" x14ac:dyDescent="0.2">
      <c r="B280" t="s">
        <v>1438</v>
      </c>
      <c r="C280">
        <v>1910</v>
      </c>
      <c r="D280" t="s">
        <v>248</v>
      </c>
    </row>
    <row r="285" spans="2:39" x14ac:dyDescent="0.2">
      <c r="D285" t="s">
        <v>25</v>
      </c>
      <c r="E285" t="s">
        <v>235</v>
      </c>
      <c r="F285" t="s">
        <v>236</v>
      </c>
      <c r="G285" t="s">
        <v>293</v>
      </c>
      <c r="H285" t="s">
        <v>294</v>
      </c>
      <c r="R285" t="s">
        <v>576</v>
      </c>
      <c r="S285" t="s">
        <v>577</v>
      </c>
      <c r="T285" t="s">
        <v>578</v>
      </c>
      <c r="U285" t="s">
        <v>579</v>
      </c>
      <c r="V285" t="s">
        <v>580</v>
      </c>
      <c r="AC285" t="s">
        <v>825</v>
      </c>
      <c r="AD285" t="s">
        <v>826</v>
      </c>
      <c r="AE285" t="s">
        <v>827</v>
      </c>
      <c r="AF285" t="s">
        <v>828</v>
      </c>
      <c r="AG285" t="s">
        <v>829</v>
      </c>
      <c r="AH285" t="s">
        <v>830</v>
      </c>
      <c r="AI285" t="s">
        <v>831</v>
      </c>
      <c r="AJ285" t="s">
        <v>1323</v>
      </c>
      <c r="AK285" t="s">
        <v>1324</v>
      </c>
      <c r="AL285" t="s">
        <v>1325</v>
      </c>
      <c r="AM285" t="s">
        <v>1326</v>
      </c>
    </row>
    <row r="286" spans="2:39" x14ac:dyDescent="0.2">
      <c r="B286" t="s">
        <v>1182</v>
      </c>
      <c r="C286" t="s">
        <v>238</v>
      </c>
      <c r="E286" t="s">
        <v>799</v>
      </c>
      <c r="F286" t="s">
        <v>1328</v>
      </c>
      <c r="G286" t="s">
        <v>1329</v>
      </c>
      <c r="H286" t="s">
        <v>302</v>
      </c>
      <c r="R286" t="s">
        <v>1330</v>
      </c>
      <c r="S286" t="s">
        <v>387</v>
      </c>
      <c r="T286" t="s">
        <v>303</v>
      </c>
      <c r="U286" t="s">
        <v>304</v>
      </c>
      <c r="V286" t="s">
        <v>1033</v>
      </c>
      <c r="AC286" t="s">
        <v>1005</v>
      </c>
      <c r="AD286" t="s">
        <v>1006</v>
      </c>
      <c r="AE286" t="s">
        <v>1007</v>
      </c>
      <c r="AF286" t="s">
        <v>590</v>
      </c>
      <c r="AG286" t="s">
        <v>1008</v>
      </c>
      <c r="AH286" t="s">
        <v>1265</v>
      </c>
      <c r="AI286" t="s">
        <v>1266</v>
      </c>
      <c r="AJ286" t="s">
        <v>1267</v>
      </c>
      <c r="AK286" t="s">
        <v>599</v>
      </c>
      <c r="AL286" t="s">
        <v>1268</v>
      </c>
      <c r="AM286" t="s">
        <v>1269</v>
      </c>
    </row>
    <row r="287" spans="2:39" x14ac:dyDescent="0.2">
      <c r="C287" t="s">
        <v>242</v>
      </c>
      <c r="E287" t="s">
        <v>243</v>
      </c>
      <c r="F287" t="s">
        <v>243</v>
      </c>
      <c r="G287" t="s">
        <v>243</v>
      </c>
      <c r="H287" t="s">
        <v>243</v>
      </c>
      <c r="R287" t="s">
        <v>243</v>
      </c>
      <c r="S287" t="s">
        <v>243</v>
      </c>
      <c r="T287" t="s">
        <v>243</v>
      </c>
      <c r="U287" t="s">
        <v>243</v>
      </c>
      <c r="V287" t="s">
        <v>243</v>
      </c>
      <c r="AC287" t="s">
        <v>243</v>
      </c>
      <c r="AD287" t="s">
        <v>243</v>
      </c>
      <c r="AE287" t="s">
        <v>243</v>
      </c>
      <c r="AF287" t="s">
        <v>243</v>
      </c>
      <c r="AG287" t="s">
        <v>243</v>
      </c>
      <c r="AH287" t="s">
        <v>243</v>
      </c>
      <c r="AI287" t="s">
        <v>243</v>
      </c>
      <c r="AJ287" t="s">
        <v>243</v>
      </c>
      <c r="AK287" t="s">
        <v>243</v>
      </c>
      <c r="AL287" t="s">
        <v>243</v>
      </c>
      <c r="AM287" t="s">
        <v>243</v>
      </c>
    </row>
    <row r="288" spans="2:39" x14ac:dyDescent="0.2">
      <c r="B288" t="s">
        <v>1331</v>
      </c>
      <c r="C288">
        <v>200</v>
      </c>
      <c r="D288" t="s">
        <v>248</v>
      </c>
    </row>
    <row r="289" spans="2:4" x14ac:dyDescent="0.2">
      <c r="B289" t="s">
        <v>3005</v>
      </c>
      <c r="C289">
        <v>230</v>
      </c>
      <c r="D289" t="s">
        <v>248</v>
      </c>
    </row>
    <row r="290" spans="2:4" x14ac:dyDescent="0.2">
      <c r="B290" t="s">
        <v>1439</v>
      </c>
      <c r="D290" t="s">
        <v>248</v>
      </c>
    </row>
    <row r="291" spans="2:4" x14ac:dyDescent="0.2">
      <c r="B291" t="s">
        <v>1331</v>
      </c>
      <c r="C291">
        <v>340</v>
      </c>
      <c r="D291" t="s">
        <v>248</v>
      </c>
    </row>
    <row r="292" spans="2:4" x14ac:dyDescent="0.2">
      <c r="B292" t="s">
        <v>3005</v>
      </c>
      <c r="C292">
        <v>370</v>
      </c>
      <c r="D292" t="s">
        <v>248</v>
      </c>
    </row>
    <row r="293" spans="2:4" x14ac:dyDescent="0.2">
      <c r="B293" t="s">
        <v>1441</v>
      </c>
      <c r="D293" t="s">
        <v>248</v>
      </c>
    </row>
  </sheetData>
  <sheetProtection sheet="1" objects="1" scenarios="1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CH270"/>
  <sheetViews>
    <sheetView zoomScale="70" zoomScaleNormal="70" workbookViewId="0"/>
  </sheetViews>
  <sheetFormatPr defaultRowHeight="12.75" x14ac:dyDescent="0.2"/>
  <sheetData>
    <row r="1" spans="1:86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6" x14ac:dyDescent="0.2">
      <c r="A2" t="s">
        <v>3727</v>
      </c>
    </row>
    <row r="3" spans="1:86" x14ac:dyDescent="0.2">
      <c r="A3" t="s">
        <v>3774</v>
      </c>
    </row>
    <row r="4" spans="1:86" x14ac:dyDescent="0.2">
      <c r="B4" t="s">
        <v>1442</v>
      </c>
    </row>
    <row r="5" spans="1:86" x14ac:dyDescent="0.2">
      <c r="B5" t="s">
        <v>66</v>
      </c>
      <c r="CA5" t="s">
        <v>230</v>
      </c>
      <c r="CB5">
        <f>0</f>
        <v>0</v>
      </c>
    </row>
    <row r="6" spans="1:86" x14ac:dyDescent="0.2">
      <c r="E6" t="s">
        <v>1320</v>
      </c>
      <c r="AC6" t="s">
        <v>1443</v>
      </c>
      <c r="CA6" t="s">
        <v>231</v>
      </c>
      <c r="CB6" t="s">
        <v>232</v>
      </c>
      <c r="CC6" t="s">
        <v>1444</v>
      </c>
      <c r="CD6" t="s">
        <v>1445</v>
      </c>
      <c r="CE6" t="s">
        <v>1446</v>
      </c>
      <c r="CF6" t="s">
        <v>1318</v>
      </c>
      <c r="CG6" t="s">
        <v>1447</v>
      </c>
      <c r="CH6" t="s">
        <v>1448</v>
      </c>
    </row>
    <row r="7" spans="1:86" x14ac:dyDescent="0.2">
      <c r="D7" t="s">
        <v>25</v>
      </c>
      <c r="E7" t="s">
        <v>235</v>
      </c>
      <c r="F7" t="s">
        <v>236</v>
      </c>
      <c r="H7" t="s">
        <v>294</v>
      </c>
      <c r="I7" t="s">
        <v>298</v>
      </c>
      <c r="V7" t="s">
        <v>580</v>
      </c>
      <c r="AC7" t="s">
        <v>823</v>
      </c>
      <c r="AD7" t="s">
        <v>824</v>
      </c>
      <c r="AE7" t="s">
        <v>825</v>
      </c>
      <c r="AF7" t="s">
        <v>826</v>
      </c>
      <c r="AG7" t="s">
        <v>827</v>
      </c>
      <c r="AH7" t="s">
        <v>828</v>
      </c>
      <c r="AI7" t="s">
        <v>829</v>
      </c>
      <c r="AJ7" t="s">
        <v>830</v>
      </c>
      <c r="AK7" t="s">
        <v>831</v>
      </c>
      <c r="AL7" t="s">
        <v>1323</v>
      </c>
      <c r="AM7" t="s">
        <v>1324</v>
      </c>
      <c r="BC7" t="s">
        <v>237</v>
      </c>
      <c r="CG7">
        <f>SUM(CG8:CG120)</f>
        <v>0</v>
      </c>
    </row>
    <row r="8" spans="1:86" x14ac:dyDescent="0.2">
      <c r="C8" t="s">
        <v>238</v>
      </c>
      <c r="E8" t="s">
        <v>799</v>
      </c>
      <c r="F8" t="s">
        <v>1328</v>
      </c>
      <c r="H8" t="s">
        <v>302</v>
      </c>
      <c r="V8" t="s">
        <v>1033</v>
      </c>
      <c r="AC8" t="s">
        <v>1005</v>
      </c>
      <c r="AD8" t="s">
        <v>1006</v>
      </c>
      <c r="AE8" t="s">
        <v>1007</v>
      </c>
      <c r="AF8" t="s">
        <v>590</v>
      </c>
      <c r="AG8" t="s">
        <v>1008</v>
      </c>
      <c r="AH8" t="s">
        <v>1265</v>
      </c>
      <c r="AI8" t="s">
        <v>1266</v>
      </c>
      <c r="AJ8" t="s">
        <v>1267</v>
      </c>
      <c r="AK8" t="s">
        <v>599</v>
      </c>
      <c r="AL8" t="s">
        <v>1268</v>
      </c>
      <c r="AM8" t="s">
        <v>1269</v>
      </c>
      <c r="BC8" t="s">
        <v>241</v>
      </c>
    </row>
    <row r="9" spans="1:86" x14ac:dyDescent="0.2">
      <c r="B9" t="s">
        <v>322</v>
      </c>
      <c r="C9" t="s">
        <v>242</v>
      </c>
      <c r="E9" t="s">
        <v>243</v>
      </c>
      <c r="F9" t="s">
        <v>243</v>
      </c>
      <c r="H9" t="s">
        <v>243</v>
      </c>
      <c r="I9" t="s">
        <v>243</v>
      </c>
      <c r="V9" t="s">
        <v>243</v>
      </c>
      <c r="AC9" t="s">
        <v>243</v>
      </c>
      <c r="AD9" t="s">
        <v>243</v>
      </c>
      <c r="AE9" t="s">
        <v>243</v>
      </c>
      <c r="AF9" t="s">
        <v>243</v>
      </c>
      <c r="AG9" t="s">
        <v>243</v>
      </c>
      <c r="AH9" t="s">
        <v>243</v>
      </c>
      <c r="AI9" t="s">
        <v>243</v>
      </c>
      <c r="AJ9" t="s">
        <v>243</v>
      </c>
      <c r="AK9" t="s">
        <v>243</v>
      </c>
      <c r="AL9" t="s">
        <v>243</v>
      </c>
      <c r="AM9" t="s">
        <v>243</v>
      </c>
      <c r="BC9" t="s">
        <v>243</v>
      </c>
    </row>
    <row r="10" spans="1:86" x14ac:dyDescent="0.2">
      <c r="B10" t="s">
        <v>1248</v>
      </c>
    </row>
    <row r="11" spans="1:86" x14ac:dyDescent="0.2">
      <c r="B11" t="s">
        <v>1449</v>
      </c>
      <c r="C11">
        <v>100</v>
      </c>
      <c r="D11" t="s">
        <v>248</v>
      </c>
    </row>
    <row r="12" spans="1:86" x14ac:dyDescent="0.2">
      <c r="B12" t="s">
        <v>1450</v>
      </c>
      <c r="C12">
        <v>110</v>
      </c>
      <c r="D12" t="s">
        <v>248</v>
      </c>
      <c r="E12">
        <f>SUM(AC12:AM12)</f>
        <v>0</v>
      </c>
      <c r="F12">
        <f>SUM(G12:V12)</f>
        <v>0</v>
      </c>
      <c r="BC12">
        <f>E12</f>
        <v>0</v>
      </c>
      <c r="CC12">
        <f>SUM(E12+E13+E14+E26+E27+E28)</f>
        <v>0</v>
      </c>
      <c r="CG12">
        <f>IF(SUM(AC12:AM12)&lt;=E12,0,1)</f>
        <v>0</v>
      </c>
    </row>
    <row r="13" spans="1:86" x14ac:dyDescent="0.2">
      <c r="B13" t="s">
        <v>1451</v>
      </c>
      <c r="C13">
        <v>120</v>
      </c>
      <c r="D13" t="s">
        <v>248</v>
      </c>
      <c r="E13">
        <f>SUM(E217+E220+E223)</f>
        <v>0</v>
      </c>
      <c r="F13">
        <f>SUM(G13:V13)</f>
        <v>0</v>
      </c>
      <c r="H13">
        <f>SUM(H217+H220+H223)</f>
        <v>0</v>
      </c>
      <c r="AC13">
        <f t="shared" ref="AC13:AM13" si="0">SUM(AC217+AC220+AC223)</f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  <c r="AM13">
        <f t="shared" si="0"/>
        <v>0</v>
      </c>
      <c r="BC13">
        <f>E13</f>
        <v>0</v>
      </c>
      <c r="CF13">
        <f>(E13+E17+E27+E30-V13-V17-V27-V30)*-1</f>
        <v>0</v>
      </c>
      <c r="CG13">
        <f>IF(SUM(AC13:AM13)&lt;=E13,0,1)</f>
        <v>0</v>
      </c>
    </row>
    <row r="14" spans="1:86" x14ac:dyDescent="0.2">
      <c r="B14" t="s">
        <v>1452</v>
      </c>
      <c r="C14">
        <v>130</v>
      </c>
      <c r="D14" t="s">
        <v>248</v>
      </c>
      <c r="E14">
        <f>SUM(E250+E253)</f>
        <v>0</v>
      </c>
      <c r="F14">
        <f>SUM(G14:V14)</f>
        <v>0</v>
      </c>
      <c r="H14">
        <f>SUM(H250+H253)</f>
        <v>0</v>
      </c>
      <c r="AC14">
        <f t="shared" ref="AC14:AM14" si="1">SUM(AC250+AC253)</f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 t="shared" si="1"/>
        <v>0</v>
      </c>
      <c r="AH14">
        <f t="shared" si="1"/>
        <v>0</v>
      </c>
      <c r="AI14">
        <f t="shared" si="1"/>
        <v>0</v>
      </c>
      <c r="AJ14">
        <f t="shared" si="1"/>
        <v>0</v>
      </c>
      <c r="AK14">
        <f t="shared" si="1"/>
        <v>0</v>
      </c>
      <c r="AL14">
        <f t="shared" si="1"/>
        <v>0</v>
      </c>
      <c r="AM14">
        <f t="shared" si="1"/>
        <v>0</v>
      </c>
      <c r="BC14">
        <f>E14</f>
        <v>0</v>
      </c>
      <c r="CG14">
        <f>IF(SUM(AC14:AM14)&lt;=E14,0,1)</f>
        <v>0</v>
      </c>
    </row>
    <row r="15" spans="1:86" x14ac:dyDescent="0.2">
      <c r="B15" t="s">
        <v>1453</v>
      </c>
      <c r="C15">
        <v>140</v>
      </c>
      <c r="D15" t="s">
        <v>248</v>
      </c>
    </row>
    <row r="16" spans="1:86" x14ac:dyDescent="0.2">
      <c r="B16" t="s">
        <v>1454</v>
      </c>
      <c r="C16">
        <v>150</v>
      </c>
      <c r="D16" t="s">
        <v>248</v>
      </c>
      <c r="F16">
        <f t="shared" ref="F16:F23" si="2">SUM(G16:V16)</f>
        <v>0</v>
      </c>
      <c r="BC16">
        <f t="shared" ref="BC16:BC23" si="3">E16</f>
        <v>0</v>
      </c>
      <c r="CG16">
        <f t="shared" ref="CG16:CG23" si="4">IF(SUM(AC16:AM16)&lt;=E16,0,1)</f>
        <v>0</v>
      </c>
    </row>
    <row r="17" spans="2:85" x14ac:dyDescent="0.2">
      <c r="B17" t="s">
        <v>1455</v>
      </c>
      <c r="C17">
        <v>160</v>
      </c>
      <c r="D17" t="s">
        <v>248</v>
      </c>
      <c r="E17">
        <f>SUM(E218+E221+E224)</f>
        <v>0</v>
      </c>
      <c r="F17">
        <f t="shared" si="2"/>
        <v>0</v>
      </c>
      <c r="H17">
        <f>SUM(H218+H221+H224)</f>
        <v>0</v>
      </c>
      <c r="AC17">
        <f t="shared" ref="AC17:AM17" si="5">SUM(AC218+AC221+AC224)</f>
        <v>0</v>
      </c>
      <c r="AD17">
        <f t="shared" si="5"/>
        <v>0</v>
      </c>
      <c r="AE17">
        <f t="shared" si="5"/>
        <v>0</v>
      </c>
      <c r="AF17">
        <f t="shared" si="5"/>
        <v>0</v>
      </c>
      <c r="AG17">
        <f t="shared" si="5"/>
        <v>0</v>
      </c>
      <c r="AH17">
        <f t="shared" si="5"/>
        <v>0</v>
      </c>
      <c r="AI17">
        <f t="shared" si="5"/>
        <v>0</v>
      </c>
      <c r="AJ17">
        <f t="shared" si="5"/>
        <v>0</v>
      </c>
      <c r="AK17">
        <f t="shared" si="5"/>
        <v>0</v>
      </c>
      <c r="AL17">
        <f t="shared" si="5"/>
        <v>0</v>
      </c>
      <c r="AM17">
        <f t="shared" si="5"/>
        <v>0</v>
      </c>
      <c r="BC17">
        <f t="shared" si="3"/>
        <v>0</v>
      </c>
      <c r="CG17">
        <f t="shared" si="4"/>
        <v>0</v>
      </c>
    </row>
    <row r="18" spans="2:85" x14ac:dyDescent="0.2">
      <c r="B18" t="s">
        <v>1456</v>
      </c>
      <c r="C18">
        <v>170</v>
      </c>
      <c r="D18" t="s">
        <v>248</v>
      </c>
      <c r="E18">
        <f>SUM(E251+E254)</f>
        <v>0</v>
      </c>
      <c r="F18">
        <f t="shared" si="2"/>
        <v>0</v>
      </c>
      <c r="H18">
        <f>SUM(H251+H254)</f>
        <v>0</v>
      </c>
      <c r="AC18">
        <f t="shared" ref="AC18:AM18" si="6">SUM(AC251+AC254)</f>
        <v>0</v>
      </c>
      <c r="AD18">
        <f t="shared" si="6"/>
        <v>0</v>
      </c>
      <c r="AE18">
        <f t="shared" si="6"/>
        <v>0</v>
      </c>
      <c r="AF18">
        <f t="shared" si="6"/>
        <v>0</v>
      </c>
      <c r="AG18">
        <f t="shared" si="6"/>
        <v>0</v>
      </c>
      <c r="AH18">
        <f t="shared" si="6"/>
        <v>0</v>
      </c>
      <c r="AI18">
        <f t="shared" si="6"/>
        <v>0</v>
      </c>
      <c r="AJ18">
        <f t="shared" si="6"/>
        <v>0</v>
      </c>
      <c r="AK18">
        <f t="shared" si="6"/>
        <v>0</v>
      </c>
      <c r="AL18">
        <f t="shared" si="6"/>
        <v>0</v>
      </c>
      <c r="AM18">
        <f t="shared" si="6"/>
        <v>0</v>
      </c>
      <c r="BC18">
        <f t="shared" si="3"/>
        <v>0</v>
      </c>
      <c r="CG18">
        <f t="shared" si="4"/>
        <v>0</v>
      </c>
    </row>
    <row r="19" spans="2:85" x14ac:dyDescent="0.2">
      <c r="B19" t="s">
        <v>1457</v>
      </c>
      <c r="C19">
        <v>180</v>
      </c>
      <c r="D19" t="s">
        <v>248</v>
      </c>
      <c r="F19">
        <f t="shared" si="2"/>
        <v>0</v>
      </c>
      <c r="BC19">
        <f t="shared" si="3"/>
        <v>0</v>
      </c>
      <c r="CG19">
        <f t="shared" si="4"/>
        <v>0</v>
      </c>
    </row>
    <row r="20" spans="2:85" x14ac:dyDescent="0.2">
      <c r="B20" t="s">
        <v>1339</v>
      </c>
      <c r="C20">
        <v>190</v>
      </c>
      <c r="D20" t="s">
        <v>248</v>
      </c>
      <c r="F20">
        <f t="shared" si="2"/>
        <v>0</v>
      </c>
      <c r="BC20">
        <f t="shared" si="3"/>
        <v>0</v>
      </c>
      <c r="CG20">
        <f t="shared" si="4"/>
        <v>0</v>
      </c>
    </row>
    <row r="21" spans="2:85" x14ac:dyDescent="0.2">
      <c r="B21" t="s">
        <v>1459</v>
      </c>
      <c r="C21">
        <v>200</v>
      </c>
      <c r="D21" t="s">
        <v>248</v>
      </c>
      <c r="F21">
        <f t="shared" si="2"/>
        <v>0</v>
      </c>
      <c r="BC21">
        <f t="shared" si="3"/>
        <v>0</v>
      </c>
      <c r="CG21">
        <f t="shared" si="4"/>
        <v>0</v>
      </c>
    </row>
    <row r="22" spans="2:85" x14ac:dyDescent="0.2">
      <c r="B22" t="s">
        <v>1460</v>
      </c>
      <c r="C22">
        <v>210</v>
      </c>
      <c r="D22" t="s">
        <v>248</v>
      </c>
      <c r="F22">
        <f t="shared" si="2"/>
        <v>0</v>
      </c>
      <c r="BC22">
        <f t="shared" si="3"/>
        <v>0</v>
      </c>
      <c r="CG22">
        <f t="shared" si="4"/>
        <v>0</v>
      </c>
    </row>
    <row r="23" spans="2:85" x14ac:dyDescent="0.2">
      <c r="B23" t="s">
        <v>1461</v>
      </c>
      <c r="C23">
        <v>220</v>
      </c>
      <c r="D23" t="s">
        <v>248</v>
      </c>
      <c r="F23">
        <f t="shared" si="2"/>
        <v>0</v>
      </c>
      <c r="BC23">
        <f t="shared" si="3"/>
        <v>0</v>
      </c>
      <c r="CG23">
        <f t="shared" si="4"/>
        <v>0</v>
      </c>
    </row>
    <row r="24" spans="2:85" x14ac:dyDescent="0.2">
      <c r="B24" t="s">
        <v>1462</v>
      </c>
      <c r="C24">
        <v>230</v>
      </c>
      <c r="D24" t="s">
        <v>248</v>
      </c>
      <c r="E24">
        <f>SUM(E11:E23)</f>
        <v>0</v>
      </c>
      <c r="F24">
        <f>SUM(F11:F23)</f>
        <v>0</v>
      </c>
      <c r="H24">
        <f>SUM(H11:H23)</f>
        <v>0</v>
      </c>
      <c r="AC24">
        <f t="shared" ref="AC24:AM24" si="7">SUM(AC11:AC23)</f>
        <v>0</v>
      </c>
      <c r="AD24">
        <f t="shared" si="7"/>
        <v>0</v>
      </c>
      <c r="AE24">
        <f t="shared" si="7"/>
        <v>0</v>
      </c>
      <c r="AF24">
        <f t="shared" si="7"/>
        <v>0</v>
      </c>
      <c r="AG24">
        <f t="shared" si="7"/>
        <v>0</v>
      </c>
      <c r="AH24">
        <f t="shared" si="7"/>
        <v>0</v>
      </c>
      <c r="AI24">
        <f t="shared" si="7"/>
        <v>0</v>
      </c>
      <c r="AJ24">
        <f t="shared" si="7"/>
        <v>0</v>
      </c>
      <c r="AK24">
        <f t="shared" si="7"/>
        <v>0</v>
      </c>
      <c r="AL24">
        <f t="shared" si="7"/>
        <v>0</v>
      </c>
      <c r="AM24">
        <f t="shared" si="7"/>
        <v>0</v>
      </c>
      <c r="BC24">
        <f>SUM(BC11:BC23)</f>
        <v>0</v>
      </c>
    </row>
    <row r="25" spans="2:85" x14ac:dyDescent="0.2">
      <c r="B25" t="s">
        <v>1346</v>
      </c>
    </row>
    <row r="26" spans="2:85" x14ac:dyDescent="0.2">
      <c r="B26" t="s">
        <v>1450</v>
      </c>
      <c r="C26">
        <v>240</v>
      </c>
      <c r="D26" t="s">
        <v>248</v>
      </c>
      <c r="E26">
        <f>SUM(AC26:AM26)</f>
        <v>0</v>
      </c>
      <c r="F26">
        <f t="shared" ref="F26:F34" si="8">SUM(G26:V26)</f>
        <v>0</v>
      </c>
      <c r="BC26">
        <f t="shared" ref="BC26:BC34" si="9">E26</f>
        <v>0</v>
      </c>
      <c r="CG26">
        <f t="shared" ref="CG26:CG34" si="10">IF(SUM(AE26:AM26)&lt;=E26,0,1)</f>
        <v>0</v>
      </c>
    </row>
    <row r="27" spans="2:85" x14ac:dyDescent="0.2">
      <c r="B27" t="s">
        <v>1451</v>
      </c>
      <c r="C27">
        <v>250</v>
      </c>
      <c r="D27" t="s">
        <v>248</v>
      </c>
      <c r="E27">
        <f>SUM(E233+E236)</f>
        <v>0</v>
      </c>
      <c r="F27">
        <f t="shared" si="8"/>
        <v>0</v>
      </c>
      <c r="H27">
        <f>SUM(H233+H236)</f>
        <v>0</v>
      </c>
      <c r="AC27">
        <f t="shared" ref="AC27:AM27" si="11">SUM(AC233+AC236)</f>
        <v>0</v>
      </c>
      <c r="AD27">
        <f t="shared" si="11"/>
        <v>0</v>
      </c>
      <c r="AE27">
        <f t="shared" si="11"/>
        <v>0</v>
      </c>
      <c r="AF27">
        <f t="shared" si="11"/>
        <v>0</v>
      </c>
      <c r="AG27">
        <f t="shared" si="11"/>
        <v>0</v>
      </c>
      <c r="AH27">
        <f t="shared" si="11"/>
        <v>0</v>
      </c>
      <c r="AI27">
        <f t="shared" si="11"/>
        <v>0</v>
      </c>
      <c r="AJ27">
        <f t="shared" si="11"/>
        <v>0</v>
      </c>
      <c r="AK27">
        <f t="shared" si="11"/>
        <v>0</v>
      </c>
      <c r="AL27">
        <f t="shared" si="11"/>
        <v>0</v>
      </c>
      <c r="AM27">
        <f t="shared" si="11"/>
        <v>0</v>
      </c>
      <c r="BC27">
        <f t="shared" si="9"/>
        <v>0</v>
      </c>
      <c r="CG27">
        <f t="shared" si="10"/>
        <v>0</v>
      </c>
    </row>
    <row r="28" spans="2:85" x14ac:dyDescent="0.2">
      <c r="B28" t="s">
        <v>1452</v>
      </c>
      <c r="C28">
        <v>260</v>
      </c>
      <c r="D28" t="s">
        <v>248</v>
      </c>
      <c r="E28">
        <f>SUM(E257+E260)</f>
        <v>0</v>
      </c>
      <c r="F28">
        <f t="shared" si="8"/>
        <v>0</v>
      </c>
      <c r="H28">
        <f>SUM(H257+H260)</f>
        <v>0</v>
      </c>
      <c r="AC28">
        <f t="shared" ref="AC28:AM28" si="12">SUM(AC257+AC260)</f>
        <v>0</v>
      </c>
      <c r="AD28">
        <f t="shared" si="12"/>
        <v>0</v>
      </c>
      <c r="AE28">
        <f t="shared" si="12"/>
        <v>0</v>
      </c>
      <c r="AF28">
        <f t="shared" si="12"/>
        <v>0</v>
      </c>
      <c r="AG28">
        <f t="shared" si="12"/>
        <v>0</v>
      </c>
      <c r="AH28">
        <f t="shared" si="12"/>
        <v>0</v>
      </c>
      <c r="AI28">
        <f t="shared" si="12"/>
        <v>0</v>
      </c>
      <c r="AJ28">
        <f t="shared" si="12"/>
        <v>0</v>
      </c>
      <c r="AK28">
        <f t="shared" si="12"/>
        <v>0</v>
      </c>
      <c r="AL28">
        <f t="shared" si="12"/>
        <v>0</v>
      </c>
      <c r="AM28">
        <f t="shared" si="12"/>
        <v>0</v>
      </c>
      <c r="BC28">
        <f t="shared" si="9"/>
        <v>0</v>
      </c>
      <c r="CG28">
        <f t="shared" si="10"/>
        <v>0</v>
      </c>
    </row>
    <row r="29" spans="2:85" x14ac:dyDescent="0.2">
      <c r="B29" t="s">
        <v>1454</v>
      </c>
      <c r="C29">
        <v>270</v>
      </c>
      <c r="D29" t="s">
        <v>248</v>
      </c>
      <c r="F29">
        <f t="shared" si="8"/>
        <v>0</v>
      </c>
      <c r="BC29">
        <f t="shared" si="9"/>
        <v>0</v>
      </c>
      <c r="CG29">
        <f t="shared" si="10"/>
        <v>0</v>
      </c>
    </row>
    <row r="30" spans="2:85" x14ac:dyDescent="0.2">
      <c r="B30" t="s">
        <v>1455</v>
      </c>
      <c r="C30">
        <v>280</v>
      </c>
      <c r="D30" t="s">
        <v>248</v>
      </c>
      <c r="E30">
        <f>SUM(E234+E237+E240)</f>
        <v>0</v>
      </c>
      <c r="F30">
        <f t="shared" si="8"/>
        <v>0</v>
      </c>
      <c r="H30">
        <f>SUM(H234+H237+H240)</f>
        <v>0</v>
      </c>
      <c r="AC30">
        <f t="shared" ref="AC30:AM30" si="13">SUM(AC234+AC237+AC240)</f>
        <v>0</v>
      </c>
      <c r="AD30">
        <f t="shared" si="13"/>
        <v>0</v>
      </c>
      <c r="AE30">
        <f t="shared" si="13"/>
        <v>0</v>
      </c>
      <c r="AF30">
        <f t="shared" si="13"/>
        <v>0</v>
      </c>
      <c r="AG30">
        <f t="shared" si="13"/>
        <v>0</v>
      </c>
      <c r="AH30">
        <f t="shared" si="13"/>
        <v>0</v>
      </c>
      <c r="AI30">
        <f t="shared" si="13"/>
        <v>0</v>
      </c>
      <c r="AJ30">
        <f t="shared" si="13"/>
        <v>0</v>
      </c>
      <c r="AK30">
        <f t="shared" si="13"/>
        <v>0</v>
      </c>
      <c r="AL30">
        <f t="shared" si="13"/>
        <v>0</v>
      </c>
      <c r="AM30">
        <f t="shared" si="13"/>
        <v>0</v>
      </c>
      <c r="BC30">
        <f t="shared" si="9"/>
        <v>0</v>
      </c>
      <c r="CG30">
        <f t="shared" si="10"/>
        <v>0</v>
      </c>
    </row>
    <row r="31" spans="2:85" x14ac:dyDescent="0.2">
      <c r="B31" t="s">
        <v>1456</v>
      </c>
      <c r="C31">
        <v>290</v>
      </c>
      <c r="D31" t="s">
        <v>248</v>
      </c>
      <c r="E31">
        <f>SUM(E258+E261)</f>
        <v>0</v>
      </c>
      <c r="F31">
        <f t="shared" si="8"/>
        <v>0</v>
      </c>
      <c r="H31">
        <f>SUM(H258+H261)</f>
        <v>0</v>
      </c>
      <c r="AC31">
        <f t="shared" ref="AC31:AM31" si="14">SUM(AC258+AC261)</f>
        <v>0</v>
      </c>
      <c r="AD31">
        <f t="shared" si="14"/>
        <v>0</v>
      </c>
      <c r="AE31">
        <f t="shared" si="14"/>
        <v>0</v>
      </c>
      <c r="AF31">
        <f t="shared" si="14"/>
        <v>0</v>
      </c>
      <c r="AG31">
        <f t="shared" si="14"/>
        <v>0</v>
      </c>
      <c r="AH31">
        <f t="shared" si="14"/>
        <v>0</v>
      </c>
      <c r="AI31">
        <f t="shared" si="14"/>
        <v>0</v>
      </c>
      <c r="AJ31">
        <f t="shared" si="14"/>
        <v>0</v>
      </c>
      <c r="AK31">
        <f t="shared" si="14"/>
        <v>0</v>
      </c>
      <c r="AL31">
        <f t="shared" si="14"/>
        <v>0</v>
      </c>
      <c r="AM31">
        <f t="shared" si="14"/>
        <v>0</v>
      </c>
      <c r="BC31">
        <f t="shared" si="9"/>
        <v>0</v>
      </c>
      <c r="CG31">
        <f t="shared" si="10"/>
        <v>0</v>
      </c>
    </row>
    <row r="32" spans="2:85" x14ac:dyDescent="0.2">
      <c r="B32" t="s">
        <v>1339</v>
      </c>
      <c r="C32">
        <v>300</v>
      </c>
      <c r="D32" t="s">
        <v>248</v>
      </c>
      <c r="F32">
        <f t="shared" si="8"/>
        <v>0</v>
      </c>
      <c r="BC32">
        <f t="shared" si="9"/>
        <v>0</v>
      </c>
      <c r="CG32">
        <f t="shared" si="10"/>
        <v>0</v>
      </c>
    </row>
    <row r="33" spans="2:85" x14ac:dyDescent="0.2">
      <c r="B33" t="s">
        <v>1460</v>
      </c>
      <c r="C33">
        <v>310</v>
      </c>
      <c r="D33" t="s">
        <v>248</v>
      </c>
      <c r="F33">
        <f t="shared" si="8"/>
        <v>0</v>
      </c>
      <c r="BC33">
        <f t="shared" si="9"/>
        <v>0</v>
      </c>
      <c r="CG33">
        <f t="shared" si="10"/>
        <v>0</v>
      </c>
    </row>
    <row r="34" spans="2:85" x14ac:dyDescent="0.2">
      <c r="B34" t="s">
        <v>1463</v>
      </c>
      <c r="C34">
        <v>320</v>
      </c>
      <c r="D34" t="s">
        <v>248</v>
      </c>
      <c r="F34">
        <f t="shared" si="8"/>
        <v>0</v>
      </c>
      <c r="BC34">
        <f t="shared" si="9"/>
        <v>0</v>
      </c>
      <c r="CG34">
        <f t="shared" si="10"/>
        <v>0</v>
      </c>
    </row>
    <row r="35" spans="2:85" x14ac:dyDescent="0.2">
      <c r="B35" t="s">
        <v>1464</v>
      </c>
      <c r="C35">
        <v>330</v>
      </c>
      <c r="D35" t="s">
        <v>248</v>
      </c>
      <c r="E35">
        <f>SUM(E26:E34)</f>
        <v>0</v>
      </c>
      <c r="F35">
        <f>SUM(F26:F34)</f>
        <v>0</v>
      </c>
      <c r="H35">
        <f>SUM(H26:H34)</f>
        <v>0</v>
      </c>
      <c r="AC35">
        <f t="shared" ref="AC35:AM35" si="15">SUM(AC26:AC34)</f>
        <v>0</v>
      </c>
      <c r="AD35">
        <f t="shared" si="15"/>
        <v>0</v>
      </c>
      <c r="AE35">
        <f t="shared" si="15"/>
        <v>0</v>
      </c>
      <c r="AF35">
        <f t="shared" si="15"/>
        <v>0</v>
      </c>
      <c r="AG35">
        <f t="shared" si="15"/>
        <v>0</v>
      </c>
      <c r="AH35">
        <f t="shared" si="15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BC35">
        <f>SUM(BC26:BC34)</f>
        <v>0</v>
      </c>
    </row>
    <row r="36" spans="2:85" x14ac:dyDescent="0.2">
      <c r="B36" t="s">
        <v>1465</v>
      </c>
      <c r="C36">
        <v>340</v>
      </c>
      <c r="D36" t="s">
        <v>248</v>
      </c>
      <c r="E36">
        <f>E24+E35</f>
        <v>0</v>
      </c>
      <c r="F36">
        <f>F24+F35</f>
        <v>0</v>
      </c>
      <c r="H36">
        <f>H24+H35</f>
        <v>0</v>
      </c>
      <c r="AC36">
        <f t="shared" ref="AC36:AM36" si="16">AC24+AC35</f>
        <v>0</v>
      </c>
      <c r="AD36">
        <f t="shared" si="16"/>
        <v>0</v>
      </c>
      <c r="AE36">
        <f t="shared" si="16"/>
        <v>0</v>
      </c>
      <c r="AF36">
        <f t="shared" si="16"/>
        <v>0</v>
      </c>
      <c r="AG36">
        <f t="shared" si="16"/>
        <v>0</v>
      </c>
      <c r="AH36">
        <f t="shared" si="16"/>
        <v>0</v>
      </c>
      <c r="AI36">
        <f t="shared" si="16"/>
        <v>0</v>
      </c>
      <c r="AJ36">
        <f t="shared" si="16"/>
        <v>0</v>
      </c>
      <c r="AK36">
        <f t="shared" si="16"/>
        <v>0</v>
      </c>
      <c r="AL36">
        <f t="shared" si="16"/>
        <v>0</v>
      </c>
      <c r="AM36">
        <f t="shared" si="16"/>
        <v>0</v>
      </c>
      <c r="BC36">
        <f>BC24+BC35</f>
        <v>0</v>
      </c>
      <c r="CF36">
        <f>(V36+V65+V102+V149-E36-E65-E102-E149)*-1</f>
        <v>0</v>
      </c>
    </row>
    <row r="37" spans="2:85" x14ac:dyDescent="0.2">
      <c r="B37" t="s">
        <v>1466</v>
      </c>
    </row>
    <row r="38" spans="2:85" x14ac:dyDescent="0.2">
      <c r="B38" t="s">
        <v>3006</v>
      </c>
      <c r="C38">
        <v>350</v>
      </c>
      <c r="D38" t="s">
        <v>248</v>
      </c>
      <c r="F38">
        <f>SUM(G38:V38)</f>
        <v>0</v>
      </c>
      <c r="BC38">
        <f>E38</f>
        <v>0</v>
      </c>
    </row>
    <row r="39" spans="2:85" x14ac:dyDescent="0.2">
      <c r="B39" t="s">
        <v>3007</v>
      </c>
      <c r="C39">
        <v>360</v>
      </c>
      <c r="D39" t="s">
        <v>248</v>
      </c>
      <c r="F39">
        <f>SUM(G39:V39)</f>
        <v>0</v>
      </c>
      <c r="BC39">
        <f>E39</f>
        <v>0</v>
      </c>
    </row>
    <row r="40" spans="2:85" x14ac:dyDescent="0.2">
      <c r="B40" t="s">
        <v>3008</v>
      </c>
      <c r="C40">
        <v>370</v>
      </c>
      <c r="D40" t="s">
        <v>248</v>
      </c>
      <c r="F40">
        <f>SUM(G40:V40)</f>
        <v>0</v>
      </c>
      <c r="BC40">
        <f>E40</f>
        <v>0</v>
      </c>
    </row>
    <row r="41" spans="2:85" x14ac:dyDescent="0.2">
      <c r="B41" t="s">
        <v>1470</v>
      </c>
      <c r="E41" t="s">
        <v>3003</v>
      </c>
      <c r="F41" t="s">
        <v>402</v>
      </c>
      <c r="H41" t="s">
        <v>2999</v>
      </c>
      <c r="I41" t="s">
        <v>1352</v>
      </c>
    </row>
    <row r="42" spans="2:85" x14ac:dyDescent="0.2">
      <c r="B42" t="s">
        <v>1471</v>
      </c>
      <c r="C42">
        <v>380</v>
      </c>
      <c r="D42" t="s">
        <v>251</v>
      </c>
      <c r="H42">
        <f>SUM(E42:F42)</f>
        <v>0</v>
      </c>
    </row>
    <row r="43" spans="2:85" x14ac:dyDescent="0.2">
      <c r="B43" t="s">
        <v>1472</v>
      </c>
      <c r="C43">
        <v>385</v>
      </c>
      <c r="D43" t="s">
        <v>251</v>
      </c>
      <c r="H43">
        <f>SUM(E43:F43)</f>
        <v>0</v>
      </c>
    </row>
    <row r="44" spans="2:85" x14ac:dyDescent="0.2">
      <c r="B44" t="s">
        <v>1465</v>
      </c>
      <c r="C44">
        <v>390</v>
      </c>
      <c r="D44" t="s">
        <v>251</v>
      </c>
      <c r="E44">
        <f>SUM(E42+E43)</f>
        <v>0</v>
      </c>
      <c r="F44">
        <f>SUM(F42+F43)</f>
        <v>0</v>
      </c>
      <c r="H44">
        <f>SUM(H42+H43)</f>
        <v>0</v>
      </c>
      <c r="I44">
        <f>SUM(I42+I43)</f>
        <v>0</v>
      </c>
    </row>
    <row r="51" spans="2:55" x14ac:dyDescent="0.2">
      <c r="E51" t="s">
        <v>1320</v>
      </c>
      <c r="AC51" t="s">
        <v>1322</v>
      </c>
    </row>
    <row r="52" spans="2:55" x14ac:dyDescent="0.2">
      <c r="D52" t="s">
        <v>25</v>
      </c>
      <c r="E52" t="s">
        <v>235</v>
      </c>
      <c r="F52" t="s">
        <v>236</v>
      </c>
      <c r="H52" t="s">
        <v>294</v>
      </c>
      <c r="I52" t="s">
        <v>298</v>
      </c>
      <c r="V52" t="s">
        <v>580</v>
      </c>
      <c r="AC52" t="s">
        <v>823</v>
      </c>
      <c r="AD52" t="s">
        <v>824</v>
      </c>
      <c r="AE52" t="s">
        <v>825</v>
      </c>
      <c r="AF52" t="s">
        <v>826</v>
      </c>
      <c r="AG52" t="s">
        <v>827</v>
      </c>
      <c r="AH52" t="s">
        <v>828</v>
      </c>
      <c r="AI52" t="s">
        <v>829</v>
      </c>
      <c r="AJ52" t="s">
        <v>830</v>
      </c>
      <c r="AK52" t="s">
        <v>831</v>
      </c>
      <c r="AL52" t="s">
        <v>1323</v>
      </c>
      <c r="AM52" t="s">
        <v>1324</v>
      </c>
      <c r="BC52" t="s">
        <v>237</v>
      </c>
    </row>
    <row r="53" spans="2:55" x14ac:dyDescent="0.2">
      <c r="C53" t="s">
        <v>238</v>
      </c>
      <c r="E53" t="s">
        <v>799</v>
      </c>
      <c r="F53" t="s">
        <v>1328</v>
      </c>
      <c r="H53" t="s">
        <v>302</v>
      </c>
      <c r="V53" t="s">
        <v>1033</v>
      </c>
      <c r="AC53" t="s">
        <v>1005</v>
      </c>
      <c r="AD53" t="s">
        <v>1006</v>
      </c>
      <c r="AE53" t="s">
        <v>1007</v>
      </c>
      <c r="AF53" t="s">
        <v>590</v>
      </c>
      <c r="AG53" t="s">
        <v>1008</v>
      </c>
      <c r="AH53" t="s">
        <v>1265</v>
      </c>
      <c r="AI53" t="s">
        <v>1266</v>
      </c>
      <c r="AJ53" t="s">
        <v>1267</v>
      </c>
      <c r="AK53" t="s">
        <v>599</v>
      </c>
      <c r="AL53" t="s">
        <v>1268</v>
      </c>
      <c r="AM53" t="s">
        <v>1269</v>
      </c>
      <c r="BC53" t="s">
        <v>241</v>
      </c>
    </row>
    <row r="54" spans="2:55" x14ac:dyDescent="0.2">
      <c r="B54" t="s">
        <v>323</v>
      </c>
      <c r="C54" t="s">
        <v>242</v>
      </c>
      <c r="E54" t="s">
        <v>243</v>
      </c>
      <c r="F54" t="s">
        <v>243</v>
      </c>
      <c r="H54" t="s">
        <v>243</v>
      </c>
      <c r="I54" t="s">
        <v>243</v>
      </c>
      <c r="V54" t="s">
        <v>243</v>
      </c>
      <c r="AC54" t="s">
        <v>243</v>
      </c>
      <c r="AD54" t="s">
        <v>243</v>
      </c>
      <c r="AE54" t="s">
        <v>243</v>
      </c>
      <c r="AF54" t="s">
        <v>243</v>
      </c>
      <c r="AG54" t="s">
        <v>243</v>
      </c>
      <c r="AH54" t="s">
        <v>243</v>
      </c>
      <c r="AI54" t="s">
        <v>243</v>
      </c>
      <c r="AJ54" t="s">
        <v>243</v>
      </c>
      <c r="AK54" t="s">
        <v>243</v>
      </c>
      <c r="AL54" t="s">
        <v>243</v>
      </c>
      <c r="AM54" t="s">
        <v>243</v>
      </c>
      <c r="BC54" t="s">
        <v>243</v>
      </c>
    </row>
    <row r="55" spans="2:55" x14ac:dyDescent="0.2">
      <c r="B55" t="s">
        <v>1473</v>
      </c>
    </row>
    <row r="56" spans="2:55" x14ac:dyDescent="0.2">
      <c r="B56" t="s">
        <v>1474</v>
      </c>
      <c r="C56">
        <v>400</v>
      </c>
      <c r="D56" t="s">
        <v>248</v>
      </c>
      <c r="F56">
        <f>SUM(G56:V56)</f>
        <v>0</v>
      </c>
      <c r="BC56">
        <f>E56</f>
        <v>0</v>
      </c>
    </row>
    <row r="57" spans="2:55" x14ac:dyDescent="0.2">
      <c r="B57" t="s">
        <v>1475</v>
      </c>
      <c r="C57">
        <v>410</v>
      </c>
      <c r="D57" t="s">
        <v>248</v>
      </c>
      <c r="F57">
        <f>SUM(G57:V57)</f>
        <v>0</v>
      </c>
      <c r="BC57">
        <f>E57</f>
        <v>0</v>
      </c>
    </row>
    <row r="58" spans="2:55" x14ac:dyDescent="0.2">
      <c r="B58" t="s">
        <v>1476</v>
      </c>
      <c r="C58">
        <v>420</v>
      </c>
      <c r="D58" t="s">
        <v>248</v>
      </c>
      <c r="F58">
        <f>SUM(G58:V58)</f>
        <v>0</v>
      </c>
      <c r="BC58">
        <f>E58</f>
        <v>0</v>
      </c>
    </row>
    <row r="59" spans="2:55" x14ac:dyDescent="0.2">
      <c r="B59" t="s">
        <v>1477</v>
      </c>
      <c r="C59">
        <v>430</v>
      </c>
      <c r="D59" t="s">
        <v>248</v>
      </c>
      <c r="E59">
        <f>SUM(E56:E58)</f>
        <v>0</v>
      </c>
      <c r="F59">
        <f>SUM(F56:F58)</f>
        <v>0</v>
      </c>
      <c r="H59">
        <f>SUM(H56:H58)</f>
        <v>0</v>
      </c>
      <c r="AC59">
        <f t="shared" ref="AC59:AM59" si="17">SUM(AC56:AC58)</f>
        <v>0</v>
      </c>
      <c r="AD59">
        <f t="shared" si="17"/>
        <v>0</v>
      </c>
      <c r="AE59">
        <f t="shared" si="17"/>
        <v>0</v>
      </c>
      <c r="AF59">
        <f t="shared" si="17"/>
        <v>0</v>
      </c>
      <c r="AG59">
        <f t="shared" si="17"/>
        <v>0</v>
      </c>
      <c r="AH59">
        <f t="shared" si="17"/>
        <v>0</v>
      </c>
      <c r="AI59">
        <f t="shared" si="17"/>
        <v>0</v>
      </c>
      <c r="AJ59">
        <f t="shared" si="17"/>
        <v>0</v>
      </c>
      <c r="AK59">
        <f t="shared" si="17"/>
        <v>0</v>
      </c>
      <c r="AL59">
        <f t="shared" si="17"/>
        <v>0</v>
      </c>
      <c r="AM59">
        <f t="shared" si="17"/>
        <v>0</v>
      </c>
      <c r="BC59">
        <f>SUM(BC56:BC58)</f>
        <v>0</v>
      </c>
    </row>
    <row r="60" spans="2:55" x14ac:dyDescent="0.2">
      <c r="B60" t="s">
        <v>1478</v>
      </c>
    </row>
    <row r="61" spans="2:55" x14ac:dyDescent="0.2">
      <c r="B61" t="s">
        <v>1474</v>
      </c>
      <c r="C61">
        <v>440</v>
      </c>
      <c r="D61" t="s">
        <v>248</v>
      </c>
      <c r="F61">
        <f>SUM(G61:V61)</f>
        <v>0</v>
      </c>
      <c r="BC61">
        <f>E61</f>
        <v>0</v>
      </c>
    </row>
    <row r="62" spans="2:55" x14ac:dyDescent="0.2">
      <c r="B62" t="s">
        <v>1475</v>
      </c>
      <c r="C62">
        <v>450</v>
      </c>
      <c r="D62" t="s">
        <v>248</v>
      </c>
      <c r="F62">
        <f>SUM(G62:V62)</f>
        <v>0</v>
      </c>
      <c r="BC62">
        <f>E62</f>
        <v>0</v>
      </c>
    </row>
    <row r="63" spans="2:55" x14ac:dyDescent="0.2">
      <c r="B63" t="s">
        <v>1476</v>
      </c>
      <c r="C63">
        <v>460</v>
      </c>
      <c r="D63" t="s">
        <v>248</v>
      </c>
      <c r="F63">
        <f>SUM(G63:V63)</f>
        <v>0</v>
      </c>
      <c r="BC63">
        <f>E63</f>
        <v>0</v>
      </c>
    </row>
    <row r="64" spans="2:55" x14ac:dyDescent="0.2">
      <c r="B64" t="s">
        <v>1477</v>
      </c>
      <c r="C64">
        <v>470</v>
      </c>
      <c r="D64" t="s">
        <v>248</v>
      </c>
      <c r="E64">
        <f>SUM(E61:E63)</f>
        <v>0</v>
      </c>
      <c r="F64">
        <f>SUM(F61:F63)</f>
        <v>0</v>
      </c>
      <c r="H64">
        <f>SUM(H61:H63)</f>
        <v>0</v>
      </c>
      <c r="AC64">
        <f t="shared" ref="AC64:AM64" si="18">SUM(AC61:AC63)</f>
        <v>0</v>
      </c>
      <c r="AD64">
        <f t="shared" si="18"/>
        <v>0</v>
      </c>
      <c r="AE64">
        <f t="shared" si="18"/>
        <v>0</v>
      </c>
      <c r="AF64">
        <f t="shared" si="18"/>
        <v>0</v>
      </c>
      <c r="AG64">
        <f t="shared" si="18"/>
        <v>0</v>
      </c>
      <c r="AH64">
        <f t="shared" si="18"/>
        <v>0</v>
      </c>
      <c r="AI64">
        <f t="shared" si="18"/>
        <v>0</v>
      </c>
      <c r="AJ64">
        <f t="shared" si="18"/>
        <v>0</v>
      </c>
      <c r="AK64">
        <f t="shared" si="18"/>
        <v>0</v>
      </c>
      <c r="AL64">
        <f t="shared" si="18"/>
        <v>0</v>
      </c>
      <c r="AM64">
        <f t="shared" si="18"/>
        <v>0</v>
      </c>
      <c r="BC64">
        <f>SUM(BC61:BC63)</f>
        <v>0</v>
      </c>
    </row>
    <row r="65" spans="2:55" x14ac:dyDescent="0.2">
      <c r="B65" t="s">
        <v>1479</v>
      </c>
      <c r="C65">
        <v>480</v>
      </c>
      <c r="D65" t="s">
        <v>248</v>
      </c>
      <c r="E65">
        <f>E59+E64</f>
        <v>0</v>
      </c>
      <c r="F65">
        <f>F59+F64</f>
        <v>0</v>
      </c>
      <c r="H65">
        <f>H59+H64</f>
        <v>0</v>
      </c>
      <c r="AC65">
        <f t="shared" ref="AC65:AM65" si="19">AC59+AC64</f>
        <v>0</v>
      </c>
      <c r="AD65">
        <f t="shared" si="19"/>
        <v>0</v>
      </c>
      <c r="AE65">
        <f t="shared" si="19"/>
        <v>0</v>
      </c>
      <c r="AF65">
        <f t="shared" si="19"/>
        <v>0</v>
      </c>
      <c r="AG65">
        <f t="shared" si="19"/>
        <v>0</v>
      </c>
      <c r="AH65">
        <f t="shared" si="19"/>
        <v>0</v>
      </c>
      <c r="AI65">
        <f t="shared" si="19"/>
        <v>0</v>
      </c>
      <c r="AJ65">
        <f t="shared" si="19"/>
        <v>0</v>
      </c>
      <c r="AK65">
        <f t="shared" si="19"/>
        <v>0</v>
      </c>
      <c r="AL65">
        <f t="shared" si="19"/>
        <v>0</v>
      </c>
      <c r="AM65">
        <f t="shared" si="19"/>
        <v>0</v>
      </c>
      <c r="BC65">
        <f>BC59+BC64</f>
        <v>0</v>
      </c>
    </row>
    <row r="69" spans="2:55" x14ac:dyDescent="0.2">
      <c r="B69" t="s">
        <v>1470</v>
      </c>
      <c r="E69" t="s">
        <v>3003</v>
      </c>
      <c r="F69" t="s">
        <v>402</v>
      </c>
      <c r="H69" t="s">
        <v>2999</v>
      </c>
      <c r="I69" t="s">
        <v>1352</v>
      </c>
    </row>
    <row r="70" spans="2:55" x14ac:dyDescent="0.2">
      <c r="B70" t="s">
        <v>1480</v>
      </c>
      <c r="C70">
        <v>485</v>
      </c>
      <c r="D70" t="s">
        <v>251</v>
      </c>
      <c r="H70">
        <f>SUM(E70:F70)</f>
        <v>0</v>
      </c>
    </row>
    <row r="71" spans="2:55" x14ac:dyDescent="0.2">
      <c r="B71" t="s">
        <v>1481</v>
      </c>
      <c r="C71">
        <v>490</v>
      </c>
      <c r="D71" t="s">
        <v>251</v>
      </c>
      <c r="H71">
        <f>SUM(E71:F71)</f>
        <v>0</v>
      </c>
    </row>
    <row r="72" spans="2:55" x14ac:dyDescent="0.2">
      <c r="B72" t="s">
        <v>1482</v>
      </c>
      <c r="C72">
        <v>495</v>
      </c>
      <c r="D72" t="s">
        <v>251</v>
      </c>
      <c r="E72">
        <f>SUM(E70+E71)</f>
        <v>0</v>
      </c>
      <c r="F72">
        <f>SUM(F70+F71)</f>
        <v>0</v>
      </c>
      <c r="H72">
        <f>SUM(H70+H71)</f>
        <v>0</v>
      </c>
      <c r="I72">
        <f>SUM(I70+I71)</f>
        <v>0</v>
      </c>
    </row>
    <row r="76" spans="2:55" x14ac:dyDescent="0.2">
      <c r="E76" t="s">
        <v>1320</v>
      </c>
      <c r="AC76" t="s">
        <v>1322</v>
      </c>
    </row>
    <row r="77" spans="2:55" x14ac:dyDescent="0.2">
      <c r="D77" t="s">
        <v>25</v>
      </c>
      <c r="E77" t="s">
        <v>235</v>
      </c>
      <c r="F77" t="s">
        <v>236</v>
      </c>
      <c r="H77" t="s">
        <v>294</v>
      </c>
      <c r="V77" t="s">
        <v>580</v>
      </c>
      <c r="AC77" t="s">
        <v>823</v>
      </c>
      <c r="AD77" t="s">
        <v>824</v>
      </c>
      <c r="AE77" t="s">
        <v>825</v>
      </c>
      <c r="AF77" t="s">
        <v>826</v>
      </c>
      <c r="AG77" t="s">
        <v>827</v>
      </c>
      <c r="AH77" t="s">
        <v>828</v>
      </c>
      <c r="AI77" t="s">
        <v>829</v>
      </c>
      <c r="AJ77" t="s">
        <v>830</v>
      </c>
      <c r="AK77" t="s">
        <v>831</v>
      </c>
      <c r="AL77" t="s">
        <v>1323</v>
      </c>
      <c r="AM77" t="s">
        <v>1324</v>
      </c>
      <c r="BC77" t="s">
        <v>237</v>
      </c>
    </row>
    <row r="78" spans="2:55" x14ac:dyDescent="0.2">
      <c r="B78" t="s">
        <v>324</v>
      </c>
      <c r="C78" t="s">
        <v>238</v>
      </c>
      <c r="E78" t="s">
        <v>799</v>
      </c>
      <c r="F78" t="s">
        <v>1328</v>
      </c>
      <c r="H78" t="s">
        <v>302</v>
      </c>
      <c r="V78" t="s">
        <v>1033</v>
      </c>
      <c r="AC78" t="s">
        <v>1005</v>
      </c>
      <c r="AD78" t="s">
        <v>1006</v>
      </c>
      <c r="AE78" t="s">
        <v>1007</v>
      </c>
      <c r="AF78" t="s">
        <v>590</v>
      </c>
      <c r="AG78" t="s">
        <v>1008</v>
      </c>
      <c r="AH78" t="s">
        <v>1265</v>
      </c>
      <c r="AI78" t="s">
        <v>1266</v>
      </c>
      <c r="AJ78" t="s">
        <v>1267</v>
      </c>
      <c r="AK78" t="s">
        <v>599</v>
      </c>
      <c r="AL78" t="s">
        <v>1268</v>
      </c>
      <c r="AM78" t="s">
        <v>1269</v>
      </c>
      <c r="BC78" t="s">
        <v>241</v>
      </c>
    </row>
    <row r="79" spans="2:55" x14ac:dyDescent="0.2">
      <c r="C79" t="s">
        <v>242</v>
      </c>
      <c r="E79" t="s">
        <v>243</v>
      </c>
      <c r="F79" t="s">
        <v>243</v>
      </c>
      <c r="H79" t="s">
        <v>243</v>
      </c>
      <c r="V79" t="s">
        <v>243</v>
      </c>
      <c r="AC79" t="s">
        <v>243</v>
      </c>
      <c r="AD79" t="s">
        <v>243</v>
      </c>
      <c r="AE79" t="s">
        <v>243</v>
      </c>
      <c r="AF79" t="s">
        <v>243</v>
      </c>
      <c r="AG79" t="s">
        <v>243</v>
      </c>
      <c r="AH79" t="s">
        <v>243</v>
      </c>
      <c r="AI79" t="s">
        <v>243</v>
      </c>
      <c r="AJ79" t="s">
        <v>243</v>
      </c>
      <c r="AK79" t="s">
        <v>243</v>
      </c>
      <c r="AL79" t="s">
        <v>243</v>
      </c>
      <c r="AM79" t="s">
        <v>243</v>
      </c>
      <c r="BC79" t="s">
        <v>243</v>
      </c>
    </row>
    <row r="80" spans="2:55" x14ac:dyDescent="0.2">
      <c r="B80" t="s">
        <v>1248</v>
      </c>
    </row>
    <row r="81" spans="2:84" x14ac:dyDescent="0.2">
      <c r="B81" t="s">
        <v>1483</v>
      </c>
      <c r="C81">
        <v>500</v>
      </c>
      <c r="D81" t="s">
        <v>248</v>
      </c>
      <c r="F81">
        <f t="shared" ref="F81:F90" si="20">SUM(G81:V81)</f>
        <v>0</v>
      </c>
    </row>
    <row r="82" spans="2:84" x14ac:dyDescent="0.2">
      <c r="B82" t="s">
        <v>1484</v>
      </c>
      <c r="C82">
        <v>510</v>
      </c>
      <c r="D82" t="s">
        <v>248</v>
      </c>
      <c r="F82">
        <f t="shared" si="20"/>
        <v>0</v>
      </c>
    </row>
    <row r="83" spans="2:84" x14ac:dyDescent="0.2">
      <c r="B83" t="s">
        <v>1485</v>
      </c>
      <c r="C83">
        <v>520</v>
      </c>
      <c r="D83" t="s">
        <v>248</v>
      </c>
      <c r="E83">
        <f>E128</f>
        <v>0</v>
      </c>
      <c r="F83">
        <f t="shared" si="20"/>
        <v>0</v>
      </c>
      <c r="H83">
        <f>H128</f>
        <v>0</v>
      </c>
      <c r="BC83">
        <f>BC128</f>
        <v>0</v>
      </c>
    </row>
    <row r="84" spans="2:84" x14ac:dyDescent="0.2">
      <c r="B84" t="s">
        <v>1486</v>
      </c>
      <c r="C84">
        <v>530</v>
      </c>
      <c r="D84" t="s">
        <v>248</v>
      </c>
      <c r="F84">
        <f t="shared" si="20"/>
        <v>0</v>
      </c>
      <c r="BC84">
        <f t="shared" ref="BC84:BC90" si="21">E84</f>
        <v>0</v>
      </c>
    </row>
    <row r="85" spans="2:84" x14ac:dyDescent="0.2">
      <c r="B85" t="s">
        <v>1487</v>
      </c>
      <c r="C85">
        <v>540</v>
      </c>
      <c r="D85" t="s">
        <v>248</v>
      </c>
      <c r="F85">
        <f t="shared" si="20"/>
        <v>0</v>
      </c>
      <c r="BC85">
        <f t="shared" si="21"/>
        <v>0</v>
      </c>
      <c r="CD85">
        <f>SUM(E85+E95)</f>
        <v>0</v>
      </c>
      <c r="CE85">
        <f>SUM(E87+E97)</f>
        <v>0</v>
      </c>
      <c r="CF85">
        <f>(E85+E86+E87+E88+E95+E96+E97+E98-(V85+V86+V87+V88+V95+V96+V97+V98))*-1</f>
        <v>0</v>
      </c>
    </row>
    <row r="86" spans="2:84" x14ac:dyDescent="0.2">
      <c r="B86" t="s">
        <v>1488</v>
      </c>
      <c r="C86">
        <v>550</v>
      </c>
      <c r="D86" t="s">
        <v>248</v>
      </c>
      <c r="F86">
        <f t="shared" si="20"/>
        <v>0</v>
      </c>
      <c r="BC86">
        <f t="shared" si="21"/>
        <v>0</v>
      </c>
    </row>
    <row r="87" spans="2:84" x14ac:dyDescent="0.2">
      <c r="B87" t="s">
        <v>1489</v>
      </c>
      <c r="C87">
        <v>560</v>
      </c>
      <c r="D87" t="s">
        <v>248</v>
      </c>
      <c r="F87">
        <f t="shared" si="20"/>
        <v>0</v>
      </c>
      <c r="BC87">
        <f t="shared" si="21"/>
        <v>0</v>
      </c>
    </row>
    <row r="88" spans="2:84" x14ac:dyDescent="0.2">
      <c r="B88" t="s">
        <v>1490</v>
      </c>
      <c r="C88">
        <v>570</v>
      </c>
      <c r="D88" t="s">
        <v>248</v>
      </c>
      <c r="F88">
        <f t="shared" si="20"/>
        <v>0</v>
      </c>
      <c r="BC88">
        <f t="shared" si="21"/>
        <v>0</v>
      </c>
    </row>
    <row r="89" spans="2:84" x14ac:dyDescent="0.2">
      <c r="B89" t="s">
        <v>1491</v>
      </c>
      <c r="C89">
        <v>580</v>
      </c>
      <c r="D89" t="s">
        <v>248</v>
      </c>
      <c r="F89">
        <f t="shared" si="20"/>
        <v>0</v>
      </c>
      <c r="BC89">
        <f t="shared" si="21"/>
        <v>0</v>
      </c>
    </row>
    <row r="90" spans="2:84" x14ac:dyDescent="0.2">
      <c r="B90" t="s">
        <v>1463</v>
      </c>
      <c r="C90">
        <v>590</v>
      </c>
      <c r="D90" t="s">
        <v>248</v>
      </c>
      <c r="F90">
        <f t="shared" si="20"/>
        <v>0</v>
      </c>
      <c r="BC90">
        <f t="shared" si="21"/>
        <v>0</v>
      </c>
    </row>
    <row r="91" spans="2:84" x14ac:dyDescent="0.2">
      <c r="B91" t="s">
        <v>1492</v>
      </c>
      <c r="C91">
        <v>600</v>
      </c>
      <c r="D91" t="s">
        <v>248</v>
      </c>
      <c r="E91">
        <f>SUM(E81:E90)</f>
        <v>0</v>
      </c>
      <c r="F91">
        <f>SUM(F81:F90)</f>
        <v>0</v>
      </c>
      <c r="H91">
        <f>SUM(H81:H90)</f>
        <v>0</v>
      </c>
      <c r="AC91">
        <f t="shared" ref="AC91:AM91" si="22">SUM(AC81:AC90)</f>
        <v>0</v>
      </c>
      <c r="AD91">
        <f t="shared" si="22"/>
        <v>0</v>
      </c>
      <c r="AE91">
        <f t="shared" si="22"/>
        <v>0</v>
      </c>
      <c r="AF91">
        <f t="shared" si="22"/>
        <v>0</v>
      </c>
      <c r="AG91">
        <f t="shared" si="22"/>
        <v>0</v>
      </c>
      <c r="AH91">
        <f t="shared" si="22"/>
        <v>0</v>
      </c>
      <c r="AI91">
        <f t="shared" si="22"/>
        <v>0</v>
      </c>
      <c r="AJ91">
        <f t="shared" si="22"/>
        <v>0</v>
      </c>
      <c r="AK91">
        <f t="shared" si="22"/>
        <v>0</v>
      </c>
      <c r="AL91">
        <f t="shared" si="22"/>
        <v>0</v>
      </c>
      <c r="AM91">
        <f t="shared" si="22"/>
        <v>0</v>
      </c>
      <c r="BC91">
        <f>SUM(BC81:BC90)</f>
        <v>0</v>
      </c>
    </row>
    <row r="92" spans="2:84" x14ac:dyDescent="0.2">
      <c r="B92" t="s">
        <v>1493</v>
      </c>
    </row>
    <row r="93" spans="2:84" x14ac:dyDescent="0.2">
      <c r="B93" t="s">
        <v>1485</v>
      </c>
      <c r="C93">
        <v>610</v>
      </c>
      <c r="D93" t="s">
        <v>248</v>
      </c>
      <c r="E93">
        <f>E132</f>
        <v>0</v>
      </c>
      <c r="F93">
        <f t="shared" ref="F93:F100" si="23">SUM(G93:V93)</f>
        <v>0</v>
      </c>
      <c r="BC93">
        <f>BC132</f>
        <v>0</v>
      </c>
    </row>
    <row r="94" spans="2:84" x14ac:dyDescent="0.2">
      <c r="B94" t="s">
        <v>1486</v>
      </c>
      <c r="C94">
        <v>620</v>
      </c>
      <c r="D94" t="s">
        <v>248</v>
      </c>
      <c r="F94">
        <f t="shared" si="23"/>
        <v>0</v>
      </c>
      <c r="BC94">
        <f t="shared" ref="BC94:BC100" si="24">E94</f>
        <v>0</v>
      </c>
    </row>
    <row r="95" spans="2:84" x14ac:dyDescent="0.2">
      <c r="B95" t="s">
        <v>1487</v>
      </c>
      <c r="C95">
        <v>630</v>
      </c>
      <c r="D95" t="s">
        <v>248</v>
      </c>
      <c r="F95">
        <f t="shared" si="23"/>
        <v>0</v>
      </c>
      <c r="BC95">
        <f t="shared" si="24"/>
        <v>0</v>
      </c>
    </row>
    <row r="96" spans="2:84" x14ac:dyDescent="0.2">
      <c r="B96" t="s">
        <v>1488</v>
      </c>
      <c r="C96">
        <v>640</v>
      </c>
      <c r="D96" t="s">
        <v>248</v>
      </c>
      <c r="F96">
        <f t="shared" si="23"/>
        <v>0</v>
      </c>
      <c r="BC96">
        <f t="shared" si="24"/>
        <v>0</v>
      </c>
    </row>
    <row r="97" spans="2:86" x14ac:dyDescent="0.2">
      <c r="B97" t="s">
        <v>1489</v>
      </c>
      <c r="C97">
        <v>650</v>
      </c>
      <c r="D97" t="s">
        <v>248</v>
      </c>
      <c r="F97">
        <f t="shared" si="23"/>
        <v>0</v>
      </c>
      <c r="BC97">
        <f t="shared" si="24"/>
        <v>0</v>
      </c>
    </row>
    <row r="98" spans="2:86" x14ac:dyDescent="0.2">
      <c r="B98" t="s">
        <v>1490</v>
      </c>
      <c r="C98">
        <v>660</v>
      </c>
      <c r="D98" t="s">
        <v>248</v>
      </c>
      <c r="F98">
        <f t="shared" si="23"/>
        <v>0</v>
      </c>
      <c r="BC98">
        <f t="shared" si="24"/>
        <v>0</v>
      </c>
    </row>
    <row r="99" spans="2:86" x14ac:dyDescent="0.2">
      <c r="B99" t="s">
        <v>1491</v>
      </c>
      <c r="C99">
        <v>670</v>
      </c>
      <c r="D99" t="s">
        <v>248</v>
      </c>
      <c r="F99">
        <f t="shared" si="23"/>
        <v>0</v>
      </c>
      <c r="BC99">
        <f t="shared" si="24"/>
        <v>0</v>
      </c>
    </row>
    <row r="100" spans="2:86" x14ac:dyDescent="0.2">
      <c r="B100" t="s">
        <v>1463</v>
      </c>
      <c r="C100">
        <v>680</v>
      </c>
      <c r="D100" t="s">
        <v>248</v>
      </c>
      <c r="F100">
        <f t="shared" si="23"/>
        <v>0</v>
      </c>
      <c r="BC100">
        <f t="shared" si="24"/>
        <v>0</v>
      </c>
    </row>
    <row r="101" spans="2:86" x14ac:dyDescent="0.2">
      <c r="B101" t="s">
        <v>1494</v>
      </c>
      <c r="C101">
        <v>690</v>
      </c>
      <c r="D101" t="s">
        <v>248</v>
      </c>
      <c r="E101">
        <f>SUM(E93:E100)</f>
        <v>0</v>
      </c>
      <c r="F101">
        <f>SUM(F93:F100)</f>
        <v>0</v>
      </c>
      <c r="H101">
        <f>SUM(H93:H100)</f>
        <v>0</v>
      </c>
      <c r="AC101">
        <f t="shared" ref="AC101:AM101" si="25">SUM(AC93:AC100)</f>
        <v>0</v>
      </c>
      <c r="AD101">
        <f t="shared" si="25"/>
        <v>0</v>
      </c>
      <c r="AE101">
        <f t="shared" si="25"/>
        <v>0</v>
      </c>
      <c r="AF101">
        <f t="shared" si="25"/>
        <v>0</v>
      </c>
      <c r="AG101">
        <f t="shared" si="25"/>
        <v>0</v>
      </c>
      <c r="AH101">
        <f t="shared" si="25"/>
        <v>0</v>
      </c>
      <c r="AI101">
        <f t="shared" si="25"/>
        <v>0</v>
      </c>
      <c r="AJ101">
        <f t="shared" si="25"/>
        <v>0</v>
      </c>
      <c r="AK101">
        <f t="shared" si="25"/>
        <v>0</v>
      </c>
      <c r="AL101">
        <f t="shared" si="25"/>
        <v>0</v>
      </c>
      <c r="AM101">
        <f t="shared" si="25"/>
        <v>0</v>
      </c>
      <c r="BC101">
        <f>SUM(BC93:BC100)</f>
        <v>0</v>
      </c>
    </row>
    <row r="102" spans="2:86" x14ac:dyDescent="0.2">
      <c r="B102" t="s">
        <v>1495</v>
      </c>
      <c r="C102">
        <v>700</v>
      </c>
      <c r="D102" t="s">
        <v>248</v>
      </c>
      <c r="E102">
        <f>E91+E101</f>
        <v>0</v>
      </c>
      <c r="F102">
        <f>F91+F101</f>
        <v>0</v>
      </c>
      <c r="H102">
        <f>H91+H101</f>
        <v>0</v>
      </c>
      <c r="AC102">
        <f t="shared" ref="AC102:AM102" si="26">AC91+AC101</f>
        <v>0</v>
      </c>
      <c r="AD102">
        <f t="shared" si="26"/>
        <v>0</v>
      </c>
      <c r="AE102">
        <f t="shared" si="26"/>
        <v>0</v>
      </c>
      <c r="AF102">
        <f t="shared" si="26"/>
        <v>0</v>
      </c>
      <c r="AG102">
        <f t="shared" si="26"/>
        <v>0</v>
      </c>
      <c r="AH102">
        <f t="shared" si="26"/>
        <v>0</v>
      </c>
      <c r="AI102">
        <f t="shared" si="26"/>
        <v>0</v>
      </c>
      <c r="AJ102">
        <f t="shared" si="26"/>
        <v>0</v>
      </c>
      <c r="AK102">
        <f t="shared" si="26"/>
        <v>0</v>
      </c>
      <c r="AL102">
        <f t="shared" si="26"/>
        <v>0</v>
      </c>
      <c r="AM102">
        <f t="shared" si="26"/>
        <v>0</v>
      </c>
      <c r="BC102">
        <f>BC91+BC101</f>
        <v>0</v>
      </c>
    </row>
    <row r="106" spans="2:86" x14ac:dyDescent="0.2">
      <c r="B106" t="s">
        <v>1496</v>
      </c>
      <c r="E106" t="s">
        <v>1497</v>
      </c>
      <c r="F106" t="s">
        <v>352</v>
      </c>
      <c r="H106" t="s">
        <v>340</v>
      </c>
    </row>
    <row r="107" spans="2:86" x14ac:dyDescent="0.2">
      <c r="E107" t="s">
        <v>243</v>
      </c>
      <c r="F107" t="s">
        <v>243</v>
      </c>
      <c r="H107" t="s">
        <v>243</v>
      </c>
    </row>
    <row r="108" spans="2:86" x14ac:dyDescent="0.2">
      <c r="B108" t="s">
        <v>1498</v>
      </c>
      <c r="C108">
        <v>710</v>
      </c>
      <c r="D108" t="s">
        <v>248</v>
      </c>
      <c r="E108">
        <f>E128</f>
        <v>0</v>
      </c>
      <c r="H108">
        <f>SUM(E108:F108)</f>
        <v>0</v>
      </c>
      <c r="W108">
        <f>SUM(E108:V109)</f>
        <v>0</v>
      </c>
    </row>
    <row r="109" spans="2:86" x14ac:dyDescent="0.2">
      <c r="B109" t="s">
        <v>1499</v>
      </c>
      <c r="C109">
        <v>720</v>
      </c>
      <c r="D109" t="s">
        <v>248</v>
      </c>
      <c r="H109">
        <f>SUM(E109:F109)</f>
        <v>0</v>
      </c>
      <c r="W109">
        <f>SUM(E109:V110)</f>
        <v>0</v>
      </c>
    </row>
    <row r="110" spans="2:86" x14ac:dyDescent="0.2">
      <c r="B110" t="s">
        <v>1500</v>
      </c>
      <c r="C110">
        <v>730</v>
      </c>
      <c r="D110" t="s">
        <v>248</v>
      </c>
      <c r="H110">
        <f>SUM(E110:F110)</f>
        <v>0</v>
      </c>
    </row>
    <row r="111" spans="2:86" x14ac:dyDescent="0.2">
      <c r="B111" t="s">
        <v>1501</v>
      </c>
      <c r="C111">
        <v>740</v>
      </c>
      <c r="D111" t="s">
        <v>248</v>
      </c>
      <c r="H111">
        <f>SUM(E111:F111)</f>
        <v>0</v>
      </c>
      <c r="CH111">
        <f>SUM(E109:E111)</f>
        <v>0</v>
      </c>
    </row>
    <row r="112" spans="2:86" x14ac:dyDescent="0.2">
      <c r="B112" t="s">
        <v>358</v>
      </c>
      <c r="C112">
        <v>750</v>
      </c>
      <c r="D112" t="s">
        <v>248</v>
      </c>
      <c r="E112">
        <f>SUM(E108:E111)</f>
        <v>0</v>
      </c>
      <c r="F112">
        <f>SUM(F108:F111)</f>
        <v>0</v>
      </c>
      <c r="H112">
        <f>SUM(H108:H111)</f>
        <v>0</v>
      </c>
    </row>
    <row r="116" spans="2:55" x14ac:dyDescent="0.2">
      <c r="B116" t="s">
        <v>1470</v>
      </c>
      <c r="E116" t="s">
        <v>3003</v>
      </c>
      <c r="F116" t="s">
        <v>402</v>
      </c>
      <c r="H116" t="s">
        <v>2999</v>
      </c>
      <c r="I116" t="s">
        <v>1352</v>
      </c>
    </row>
    <row r="117" spans="2:55" x14ac:dyDescent="0.2">
      <c r="B117" t="s">
        <v>1502</v>
      </c>
      <c r="C117">
        <v>754</v>
      </c>
      <c r="D117" t="s">
        <v>251</v>
      </c>
      <c r="H117">
        <f>SUM(E117:F117)</f>
        <v>0</v>
      </c>
    </row>
    <row r="118" spans="2:55" x14ac:dyDescent="0.2">
      <c r="B118" t="s">
        <v>1503</v>
      </c>
      <c r="C118">
        <v>756</v>
      </c>
      <c r="D118" t="s">
        <v>251</v>
      </c>
      <c r="H118">
        <f>SUM(E118:F118)</f>
        <v>0</v>
      </c>
    </row>
    <row r="119" spans="2:55" x14ac:dyDescent="0.2">
      <c r="B119" t="s">
        <v>1495</v>
      </c>
      <c r="C119">
        <v>758</v>
      </c>
      <c r="D119" t="s">
        <v>251</v>
      </c>
      <c r="E119">
        <f>SUM(E117+E118)</f>
        <v>0</v>
      </c>
      <c r="F119">
        <f>SUM(F117+F118)</f>
        <v>0</v>
      </c>
      <c r="H119">
        <f>SUM(H117+H118)</f>
        <v>0</v>
      </c>
      <c r="I119">
        <f>SUM(I117+I118)</f>
        <v>0</v>
      </c>
    </row>
    <row r="121" spans="2:55" x14ac:dyDescent="0.2">
      <c r="E121" t="s">
        <v>1320</v>
      </c>
    </row>
    <row r="122" spans="2:55" x14ac:dyDescent="0.2">
      <c r="D122" t="s">
        <v>25</v>
      </c>
      <c r="E122" t="s">
        <v>235</v>
      </c>
      <c r="F122" t="s">
        <v>236</v>
      </c>
      <c r="H122" t="s">
        <v>294</v>
      </c>
      <c r="V122" t="s">
        <v>580</v>
      </c>
      <c r="BC122" t="s">
        <v>237</v>
      </c>
    </row>
    <row r="123" spans="2:55" x14ac:dyDescent="0.2">
      <c r="B123" t="s">
        <v>1504</v>
      </c>
      <c r="C123" t="s">
        <v>238</v>
      </c>
      <c r="E123" t="s">
        <v>239</v>
      </c>
      <c r="F123" t="s">
        <v>1328</v>
      </c>
      <c r="H123" t="s">
        <v>302</v>
      </c>
      <c r="V123" t="s">
        <v>1033</v>
      </c>
      <c r="BC123" t="s">
        <v>241</v>
      </c>
    </row>
    <row r="124" spans="2:55" x14ac:dyDescent="0.2">
      <c r="C124" t="s">
        <v>242</v>
      </c>
      <c r="E124" t="s">
        <v>243</v>
      </c>
      <c r="F124" t="s">
        <v>243</v>
      </c>
      <c r="H124" t="s">
        <v>243</v>
      </c>
      <c r="V124" t="s">
        <v>243</v>
      </c>
      <c r="BC124" t="s">
        <v>243</v>
      </c>
    </row>
    <row r="125" spans="2:55" x14ac:dyDescent="0.2">
      <c r="B125" t="s">
        <v>1505</v>
      </c>
      <c r="C125">
        <v>760</v>
      </c>
      <c r="D125" t="s">
        <v>248</v>
      </c>
    </row>
    <row r="126" spans="2:55" x14ac:dyDescent="0.2">
      <c r="B126" t="s">
        <v>2255</v>
      </c>
      <c r="C126">
        <v>765</v>
      </c>
      <c r="D126" t="s">
        <v>248</v>
      </c>
      <c r="F126">
        <f>SUM(G126:V126)</f>
        <v>0</v>
      </c>
      <c r="BC126">
        <f>E126</f>
        <v>0</v>
      </c>
    </row>
    <row r="127" spans="2:55" x14ac:dyDescent="0.2">
      <c r="B127" t="s">
        <v>1507</v>
      </c>
      <c r="C127">
        <v>770</v>
      </c>
      <c r="D127" t="s">
        <v>248</v>
      </c>
      <c r="F127">
        <f>SUM(G127:V127)</f>
        <v>0</v>
      </c>
      <c r="BC127">
        <f>E127</f>
        <v>0</v>
      </c>
    </row>
    <row r="128" spans="2:55" x14ac:dyDescent="0.2">
      <c r="B128" t="s">
        <v>1508</v>
      </c>
      <c r="C128">
        <v>780</v>
      </c>
      <c r="D128" t="s">
        <v>248</v>
      </c>
      <c r="E128">
        <f>SUM(E125:E127)</f>
        <v>0</v>
      </c>
      <c r="F128">
        <f>SUM(F125:F127)</f>
        <v>0</v>
      </c>
      <c r="H128">
        <f>SUM(H125:H127)</f>
        <v>0</v>
      </c>
      <c r="BC128">
        <f>SUM(BC125:BC127)</f>
        <v>0</v>
      </c>
    </row>
    <row r="129" spans="2:55" x14ac:dyDescent="0.2">
      <c r="B129" t="s">
        <v>1505</v>
      </c>
      <c r="C129">
        <v>790</v>
      </c>
      <c r="D129" t="s">
        <v>248</v>
      </c>
    </row>
    <row r="130" spans="2:55" x14ac:dyDescent="0.2">
      <c r="B130" t="s">
        <v>2255</v>
      </c>
      <c r="C130">
        <v>795</v>
      </c>
      <c r="D130" t="s">
        <v>248</v>
      </c>
      <c r="F130">
        <f>SUM(G130:V130)</f>
        <v>0</v>
      </c>
      <c r="BC130">
        <f>E130</f>
        <v>0</v>
      </c>
    </row>
    <row r="131" spans="2:55" x14ac:dyDescent="0.2">
      <c r="B131" t="s">
        <v>1510</v>
      </c>
      <c r="C131">
        <v>800</v>
      </c>
      <c r="D131" t="s">
        <v>248</v>
      </c>
      <c r="F131">
        <f>SUM(G131:V131)</f>
        <v>0</v>
      </c>
      <c r="BC131">
        <f>E131</f>
        <v>0</v>
      </c>
    </row>
    <row r="132" spans="2:55" x14ac:dyDescent="0.2">
      <c r="B132" t="s">
        <v>1511</v>
      </c>
      <c r="C132">
        <v>810</v>
      </c>
      <c r="D132" t="s">
        <v>248</v>
      </c>
      <c r="E132">
        <f>SUM(E129:E131)</f>
        <v>0</v>
      </c>
      <c r="F132">
        <f>SUM(F129:F131)</f>
        <v>0</v>
      </c>
      <c r="H132">
        <f>SUM(H129:H131)</f>
        <v>0</v>
      </c>
      <c r="BC132">
        <f>SUM(BC129:BC131)</f>
        <v>0</v>
      </c>
    </row>
    <row r="133" spans="2:55" x14ac:dyDescent="0.2">
      <c r="B133" t="s">
        <v>1512</v>
      </c>
      <c r="C133">
        <v>820</v>
      </c>
      <c r="D133" t="s">
        <v>248</v>
      </c>
      <c r="E133">
        <f>E128+E132</f>
        <v>0</v>
      </c>
      <c r="F133">
        <f>F128+F132</f>
        <v>0</v>
      </c>
      <c r="H133">
        <f>H128+H132</f>
        <v>0</v>
      </c>
      <c r="BC133">
        <f>BC128+BC132</f>
        <v>0</v>
      </c>
    </row>
    <row r="135" spans="2:55" x14ac:dyDescent="0.2">
      <c r="E135" t="s">
        <v>1320</v>
      </c>
      <c r="AC135" t="s">
        <v>1322</v>
      </c>
    </row>
    <row r="136" spans="2:55" x14ac:dyDescent="0.2">
      <c r="D136" t="s">
        <v>25</v>
      </c>
      <c r="E136" t="s">
        <v>235</v>
      </c>
      <c r="F136" t="s">
        <v>236</v>
      </c>
      <c r="H136" t="s">
        <v>294</v>
      </c>
      <c r="I136" t="s">
        <v>298</v>
      </c>
      <c r="V136" t="s">
        <v>580</v>
      </c>
      <c r="AC136" t="s">
        <v>823</v>
      </c>
      <c r="AD136" t="s">
        <v>824</v>
      </c>
      <c r="AE136" t="s">
        <v>825</v>
      </c>
      <c r="AF136" t="s">
        <v>826</v>
      </c>
      <c r="AG136" t="s">
        <v>827</v>
      </c>
      <c r="AH136" t="s">
        <v>828</v>
      </c>
      <c r="AI136" t="s">
        <v>829</v>
      </c>
      <c r="AJ136" t="s">
        <v>830</v>
      </c>
      <c r="AK136" t="s">
        <v>831</v>
      </c>
      <c r="AL136" t="s">
        <v>1323</v>
      </c>
      <c r="AM136" t="s">
        <v>1324</v>
      </c>
      <c r="BC136" t="s">
        <v>237</v>
      </c>
    </row>
    <row r="137" spans="2:55" x14ac:dyDescent="0.2">
      <c r="B137" t="s">
        <v>1513</v>
      </c>
      <c r="C137" t="s">
        <v>238</v>
      </c>
      <c r="E137" t="s">
        <v>239</v>
      </c>
      <c r="F137" t="s">
        <v>1328</v>
      </c>
      <c r="H137" t="s">
        <v>302</v>
      </c>
      <c r="V137" t="s">
        <v>1033</v>
      </c>
      <c r="AC137" t="s">
        <v>1005</v>
      </c>
      <c r="AD137" t="s">
        <v>1006</v>
      </c>
      <c r="AE137" t="s">
        <v>1007</v>
      </c>
      <c r="AF137" t="s">
        <v>590</v>
      </c>
      <c r="AG137" t="s">
        <v>1008</v>
      </c>
      <c r="AH137" t="s">
        <v>1265</v>
      </c>
      <c r="AI137" t="s">
        <v>1266</v>
      </c>
      <c r="AJ137" t="s">
        <v>1267</v>
      </c>
      <c r="AK137" t="s">
        <v>599</v>
      </c>
      <c r="AL137" t="s">
        <v>1268</v>
      </c>
      <c r="AM137" t="s">
        <v>1269</v>
      </c>
      <c r="BC137" t="s">
        <v>241</v>
      </c>
    </row>
    <row r="138" spans="2:55" x14ac:dyDescent="0.2">
      <c r="C138" t="s">
        <v>242</v>
      </c>
      <c r="E138" t="s">
        <v>243</v>
      </c>
      <c r="F138" t="s">
        <v>243</v>
      </c>
      <c r="H138" t="s">
        <v>243</v>
      </c>
      <c r="I138" t="s">
        <v>243</v>
      </c>
      <c r="V138" t="s">
        <v>243</v>
      </c>
      <c r="AC138" t="s">
        <v>243</v>
      </c>
      <c r="AD138" t="s">
        <v>243</v>
      </c>
      <c r="AE138" t="s">
        <v>243</v>
      </c>
      <c r="AF138" t="s">
        <v>243</v>
      </c>
      <c r="AG138" t="s">
        <v>243</v>
      </c>
      <c r="AH138" t="s">
        <v>243</v>
      </c>
      <c r="AI138" t="s">
        <v>243</v>
      </c>
      <c r="AJ138" t="s">
        <v>243</v>
      </c>
      <c r="AK138" t="s">
        <v>243</v>
      </c>
      <c r="AL138" t="s">
        <v>243</v>
      </c>
      <c r="AM138" t="s">
        <v>243</v>
      </c>
      <c r="BC138" t="s">
        <v>243</v>
      </c>
    </row>
    <row r="139" spans="2:55" x14ac:dyDescent="0.2">
      <c r="B139" t="s">
        <v>1248</v>
      </c>
    </row>
    <row r="140" spans="2:55" x14ac:dyDescent="0.2">
      <c r="B140" t="s">
        <v>1514</v>
      </c>
      <c r="C140">
        <v>850</v>
      </c>
      <c r="D140" t="s">
        <v>248</v>
      </c>
      <c r="F140">
        <f>SUM(G140:V140)</f>
        <v>0</v>
      </c>
      <c r="BC140">
        <f>E140</f>
        <v>0</v>
      </c>
    </row>
    <row r="141" spans="2:55" x14ac:dyDescent="0.2">
      <c r="B141" t="s">
        <v>1515</v>
      </c>
      <c r="C141">
        <v>860</v>
      </c>
      <c r="D141" t="s">
        <v>248</v>
      </c>
      <c r="F141">
        <f>SUM(G141:V141)</f>
        <v>0</v>
      </c>
      <c r="BC141">
        <f>E141</f>
        <v>0</v>
      </c>
    </row>
    <row r="142" spans="2:55" x14ac:dyDescent="0.2">
      <c r="B142" t="s">
        <v>1516</v>
      </c>
      <c r="C142">
        <v>870</v>
      </c>
      <c r="D142" t="s">
        <v>248</v>
      </c>
      <c r="F142">
        <f>SUM(G142:V142)</f>
        <v>0</v>
      </c>
      <c r="BC142">
        <f>E142</f>
        <v>0</v>
      </c>
    </row>
    <row r="143" spans="2:55" x14ac:dyDescent="0.2">
      <c r="B143" t="s">
        <v>1517</v>
      </c>
      <c r="C143">
        <v>880</v>
      </c>
      <c r="D143" t="s">
        <v>248</v>
      </c>
      <c r="E143">
        <f>SUM(E140:E142)</f>
        <v>0</v>
      </c>
      <c r="F143">
        <f>SUM(F140:F142)</f>
        <v>0</v>
      </c>
      <c r="H143">
        <f>SUM(H140:H142)</f>
        <v>0</v>
      </c>
      <c r="AC143">
        <f t="shared" ref="AC143:AM143" si="27">SUM(AC140:AC142)</f>
        <v>0</v>
      </c>
      <c r="AD143">
        <f t="shared" si="27"/>
        <v>0</v>
      </c>
      <c r="AE143">
        <f t="shared" si="27"/>
        <v>0</v>
      </c>
      <c r="AF143">
        <f t="shared" si="27"/>
        <v>0</v>
      </c>
      <c r="AG143">
        <f t="shared" si="27"/>
        <v>0</v>
      </c>
      <c r="AH143">
        <f t="shared" si="27"/>
        <v>0</v>
      </c>
      <c r="AI143">
        <f t="shared" si="27"/>
        <v>0</v>
      </c>
      <c r="AJ143">
        <f t="shared" si="27"/>
        <v>0</v>
      </c>
      <c r="AK143">
        <f t="shared" si="27"/>
        <v>0</v>
      </c>
      <c r="AL143">
        <f t="shared" si="27"/>
        <v>0</v>
      </c>
      <c r="AM143">
        <f t="shared" si="27"/>
        <v>0</v>
      </c>
      <c r="BC143">
        <f>E143</f>
        <v>0</v>
      </c>
    </row>
    <row r="144" spans="2:55" x14ac:dyDescent="0.2">
      <c r="B144" t="s">
        <v>1440</v>
      </c>
    </row>
    <row r="145" spans="2:55" x14ac:dyDescent="0.2">
      <c r="B145" t="s">
        <v>1514</v>
      </c>
      <c r="C145">
        <v>890</v>
      </c>
      <c r="D145" t="s">
        <v>248</v>
      </c>
      <c r="F145">
        <f>SUM(G145:V145)</f>
        <v>0</v>
      </c>
      <c r="BC145">
        <f>E145</f>
        <v>0</v>
      </c>
    </row>
    <row r="146" spans="2:55" x14ac:dyDescent="0.2">
      <c r="B146" t="s">
        <v>1515</v>
      </c>
      <c r="C146">
        <v>900</v>
      </c>
      <c r="D146" t="s">
        <v>248</v>
      </c>
      <c r="F146">
        <f>SUM(G146:V146)</f>
        <v>0</v>
      </c>
      <c r="BC146">
        <f>E146</f>
        <v>0</v>
      </c>
    </row>
    <row r="147" spans="2:55" x14ac:dyDescent="0.2">
      <c r="B147" t="s">
        <v>1516</v>
      </c>
      <c r="C147">
        <v>910</v>
      </c>
      <c r="D147" t="s">
        <v>248</v>
      </c>
      <c r="F147">
        <f>SUM(G147:V147)</f>
        <v>0</v>
      </c>
      <c r="BC147">
        <f>E147</f>
        <v>0</v>
      </c>
    </row>
    <row r="148" spans="2:55" x14ac:dyDescent="0.2">
      <c r="B148" t="s">
        <v>1518</v>
      </c>
      <c r="C148">
        <v>920</v>
      </c>
      <c r="D148" t="s">
        <v>248</v>
      </c>
      <c r="E148">
        <f>SUM(E145:E147)</f>
        <v>0</v>
      </c>
      <c r="F148">
        <f>SUM(F145:F147)</f>
        <v>0</v>
      </c>
      <c r="H148">
        <f>SUM(H145:H147)</f>
        <v>0</v>
      </c>
      <c r="AC148">
        <f t="shared" ref="AC148:AM148" si="28">SUM(AC145:AC147)</f>
        <v>0</v>
      </c>
      <c r="AD148">
        <f t="shared" si="28"/>
        <v>0</v>
      </c>
      <c r="AE148">
        <f t="shared" si="28"/>
        <v>0</v>
      </c>
      <c r="AF148">
        <f t="shared" si="28"/>
        <v>0</v>
      </c>
      <c r="AG148">
        <f t="shared" si="28"/>
        <v>0</v>
      </c>
      <c r="AH148">
        <f t="shared" si="28"/>
        <v>0</v>
      </c>
      <c r="AI148">
        <f t="shared" si="28"/>
        <v>0</v>
      </c>
      <c r="AJ148">
        <f t="shared" si="28"/>
        <v>0</v>
      </c>
      <c r="AK148">
        <f t="shared" si="28"/>
        <v>0</v>
      </c>
      <c r="AL148">
        <f t="shared" si="28"/>
        <v>0</v>
      </c>
      <c r="AM148">
        <f t="shared" si="28"/>
        <v>0</v>
      </c>
      <c r="BC148">
        <f>E148</f>
        <v>0</v>
      </c>
    </row>
    <row r="149" spans="2:55" x14ac:dyDescent="0.2">
      <c r="B149" t="s">
        <v>1519</v>
      </c>
      <c r="C149">
        <v>930</v>
      </c>
      <c r="D149" t="s">
        <v>248</v>
      </c>
      <c r="E149">
        <f>E143+E148</f>
        <v>0</v>
      </c>
      <c r="F149">
        <f>F143+F148</f>
        <v>0</v>
      </c>
      <c r="H149">
        <f>H143+H148</f>
        <v>0</v>
      </c>
      <c r="AC149">
        <f t="shared" ref="AC149:AM149" si="29">AC143+AC148</f>
        <v>0</v>
      </c>
      <c r="AD149">
        <f t="shared" si="29"/>
        <v>0</v>
      </c>
      <c r="AE149">
        <f t="shared" si="29"/>
        <v>0</v>
      </c>
      <c r="AF149">
        <f t="shared" si="29"/>
        <v>0</v>
      </c>
      <c r="AG149">
        <f t="shared" si="29"/>
        <v>0</v>
      </c>
      <c r="AH149">
        <f t="shared" si="29"/>
        <v>0</v>
      </c>
      <c r="AI149">
        <f t="shared" si="29"/>
        <v>0</v>
      </c>
      <c r="AJ149">
        <f t="shared" si="29"/>
        <v>0</v>
      </c>
      <c r="AK149">
        <f t="shared" si="29"/>
        <v>0</v>
      </c>
      <c r="AL149">
        <f t="shared" si="29"/>
        <v>0</v>
      </c>
      <c r="AM149">
        <f t="shared" si="29"/>
        <v>0</v>
      </c>
      <c r="BC149">
        <f>E149</f>
        <v>0</v>
      </c>
    </row>
    <row r="153" spans="2:55" x14ac:dyDescent="0.2">
      <c r="B153" t="s">
        <v>1470</v>
      </c>
      <c r="E153" t="s">
        <v>3003</v>
      </c>
      <c r="F153" t="s">
        <v>402</v>
      </c>
      <c r="H153" t="s">
        <v>2999</v>
      </c>
      <c r="I153" t="s">
        <v>1352</v>
      </c>
    </row>
    <row r="154" spans="2:55" x14ac:dyDescent="0.2">
      <c r="B154" t="s">
        <v>1520</v>
      </c>
      <c r="C154">
        <v>935</v>
      </c>
      <c r="D154" t="s">
        <v>251</v>
      </c>
      <c r="H154">
        <f>SUM(E154:F154)</f>
        <v>0</v>
      </c>
    </row>
    <row r="155" spans="2:55" x14ac:dyDescent="0.2">
      <c r="B155" t="s">
        <v>1521</v>
      </c>
      <c r="C155">
        <v>940</v>
      </c>
      <c r="D155" t="s">
        <v>251</v>
      </c>
      <c r="H155">
        <f>SUM(E155:F155)</f>
        <v>0</v>
      </c>
    </row>
    <row r="156" spans="2:55" x14ac:dyDescent="0.2">
      <c r="B156" t="s">
        <v>1522</v>
      </c>
      <c r="C156">
        <v>945</v>
      </c>
      <c r="D156" t="s">
        <v>251</v>
      </c>
      <c r="E156">
        <f>SUM(E154+E155)</f>
        <v>0</v>
      </c>
      <c r="F156">
        <f>SUM(F154+F155)</f>
        <v>0</v>
      </c>
      <c r="H156">
        <f>SUM(H154+H155)</f>
        <v>0</v>
      </c>
      <c r="I156">
        <f>SUM(I154+I155)</f>
        <v>0</v>
      </c>
    </row>
    <row r="160" spans="2:55" x14ac:dyDescent="0.2">
      <c r="D160" t="s">
        <v>25</v>
      </c>
      <c r="E160" t="s">
        <v>235</v>
      </c>
      <c r="F160" t="s">
        <v>236</v>
      </c>
    </row>
    <row r="161" spans="2:6" x14ac:dyDescent="0.2">
      <c r="C161" t="s">
        <v>238</v>
      </c>
      <c r="E161" t="s">
        <v>239</v>
      </c>
      <c r="F161" t="s">
        <v>240</v>
      </c>
    </row>
    <row r="162" spans="2:6" x14ac:dyDescent="0.2">
      <c r="B162" t="s">
        <v>1523</v>
      </c>
      <c r="C162" t="s">
        <v>242</v>
      </c>
      <c r="E162" t="s">
        <v>243</v>
      </c>
      <c r="F162" t="s">
        <v>243</v>
      </c>
    </row>
    <row r="163" spans="2:6" x14ac:dyDescent="0.2">
      <c r="B163" t="s">
        <v>1248</v>
      </c>
    </row>
    <row r="164" spans="2:6" x14ac:dyDescent="0.2">
      <c r="B164" t="s">
        <v>1524</v>
      </c>
      <c r="C164">
        <v>950</v>
      </c>
      <c r="D164" t="s">
        <v>248</v>
      </c>
      <c r="E164">
        <f>F167</f>
        <v>0</v>
      </c>
    </row>
    <row r="165" spans="2:6" x14ac:dyDescent="0.2">
      <c r="B165" t="s">
        <v>1525</v>
      </c>
      <c r="C165">
        <v>960</v>
      </c>
      <c r="D165" t="s">
        <v>248</v>
      </c>
    </row>
    <row r="166" spans="2:6" x14ac:dyDescent="0.2">
      <c r="B166" t="s">
        <v>1526</v>
      </c>
      <c r="C166">
        <v>970</v>
      </c>
      <c r="D166" t="s">
        <v>251</v>
      </c>
    </row>
    <row r="167" spans="2:6" x14ac:dyDescent="0.2">
      <c r="B167" t="s">
        <v>1527</v>
      </c>
      <c r="C167">
        <v>980</v>
      </c>
      <c r="D167" t="s">
        <v>248</v>
      </c>
      <c r="E167">
        <f>SUM(E164:E166)</f>
        <v>0</v>
      </c>
    </row>
    <row r="168" spans="2:6" x14ac:dyDescent="0.2">
      <c r="B168" t="s">
        <v>1440</v>
      </c>
    </row>
    <row r="169" spans="2:6" x14ac:dyDescent="0.2">
      <c r="B169" t="s">
        <v>1528</v>
      </c>
      <c r="C169">
        <v>990</v>
      </c>
      <c r="D169" t="s">
        <v>248</v>
      </c>
      <c r="E169">
        <f>F172</f>
        <v>0</v>
      </c>
    </row>
    <row r="170" spans="2:6" x14ac:dyDescent="0.2">
      <c r="B170" t="s">
        <v>1525</v>
      </c>
      <c r="C170">
        <v>1000</v>
      </c>
      <c r="D170" t="s">
        <v>248</v>
      </c>
    </row>
    <row r="171" spans="2:6" x14ac:dyDescent="0.2">
      <c r="B171" t="s">
        <v>1526</v>
      </c>
      <c r="C171">
        <v>1010</v>
      </c>
      <c r="D171" t="s">
        <v>251</v>
      </c>
    </row>
    <row r="172" spans="2:6" x14ac:dyDescent="0.2">
      <c r="B172" t="s">
        <v>1529</v>
      </c>
      <c r="C172">
        <v>1020</v>
      </c>
      <c r="D172" t="s">
        <v>248</v>
      </c>
      <c r="E172">
        <f>SUM(E169:E171)</f>
        <v>0</v>
      </c>
    </row>
    <row r="173" spans="2:6" x14ac:dyDescent="0.2">
      <c r="B173" t="s">
        <v>1530</v>
      </c>
      <c r="C173">
        <v>1030</v>
      </c>
      <c r="D173" t="s">
        <v>248</v>
      </c>
      <c r="E173">
        <f>E167+E172</f>
        <v>0</v>
      </c>
    </row>
    <row r="177" spans="2:4" x14ac:dyDescent="0.2">
      <c r="B177" t="s">
        <v>1531</v>
      </c>
    </row>
    <row r="178" spans="2:4" x14ac:dyDescent="0.2">
      <c r="C178">
        <v>1050</v>
      </c>
      <c r="D178" t="s">
        <v>1532</v>
      </c>
    </row>
    <row r="179" spans="2:4" x14ac:dyDescent="0.2">
      <c r="C179">
        <v>1060</v>
      </c>
      <c r="D179" t="s">
        <v>1532</v>
      </c>
    </row>
    <row r="180" spans="2:4" x14ac:dyDescent="0.2">
      <c r="C180">
        <v>1070</v>
      </c>
      <c r="D180" t="s">
        <v>1532</v>
      </c>
    </row>
    <row r="181" spans="2:4" x14ac:dyDescent="0.2">
      <c r="C181">
        <v>1080</v>
      </c>
      <c r="D181" t="s">
        <v>1532</v>
      </c>
    </row>
    <row r="204" spans="2:39" x14ac:dyDescent="0.2">
      <c r="AC204" t="s">
        <v>1322</v>
      </c>
    </row>
    <row r="205" spans="2:39" x14ac:dyDescent="0.2">
      <c r="D205" t="s">
        <v>25</v>
      </c>
      <c r="AC205" t="s">
        <v>823</v>
      </c>
      <c r="AD205" t="s">
        <v>824</v>
      </c>
      <c r="AE205" t="s">
        <v>825</v>
      </c>
      <c r="AF205" t="s">
        <v>826</v>
      </c>
      <c r="AG205" t="s">
        <v>827</v>
      </c>
      <c r="AH205" t="s">
        <v>828</v>
      </c>
      <c r="AI205" t="s">
        <v>829</v>
      </c>
      <c r="AJ205" t="s">
        <v>830</v>
      </c>
      <c r="AK205" t="s">
        <v>831</v>
      </c>
      <c r="AL205" t="s">
        <v>1323</v>
      </c>
      <c r="AM205" t="s">
        <v>1324</v>
      </c>
    </row>
    <row r="206" spans="2:39" x14ac:dyDescent="0.2">
      <c r="C206" t="s">
        <v>238</v>
      </c>
      <c r="AC206" t="s">
        <v>1005</v>
      </c>
      <c r="AD206" t="s">
        <v>1006</v>
      </c>
      <c r="AE206" t="s">
        <v>1007</v>
      </c>
      <c r="AF206" t="s">
        <v>590</v>
      </c>
      <c r="AG206" t="s">
        <v>1008</v>
      </c>
      <c r="AH206" t="s">
        <v>1265</v>
      </c>
      <c r="AI206" t="s">
        <v>1266</v>
      </c>
      <c r="AJ206" t="s">
        <v>1267</v>
      </c>
      <c r="AK206" t="s">
        <v>599</v>
      </c>
      <c r="AL206" t="s">
        <v>1268</v>
      </c>
      <c r="AM206" t="s">
        <v>1269</v>
      </c>
    </row>
    <row r="207" spans="2:39" x14ac:dyDescent="0.2">
      <c r="B207" t="s">
        <v>1533</v>
      </c>
      <c r="C207" t="s">
        <v>242</v>
      </c>
      <c r="AC207" t="s">
        <v>243</v>
      </c>
      <c r="AD207" t="s">
        <v>243</v>
      </c>
      <c r="AE207" t="s">
        <v>243</v>
      </c>
      <c r="AF207" t="s">
        <v>243</v>
      </c>
      <c r="AG207" t="s">
        <v>243</v>
      </c>
      <c r="AH207" t="s">
        <v>243</v>
      </c>
      <c r="AI207" t="s">
        <v>243</v>
      </c>
      <c r="AJ207" t="s">
        <v>243</v>
      </c>
      <c r="AK207" t="s">
        <v>243</v>
      </c>
      <c r="AL207" t="s">
        <v>243</v>
      </c>
      <c r="AM207" t="s">
        <v>243</v>
      </c>
    </row>
    <row r="208" spans="2:39" x14ac:dyDescent="0.2">
      <c r="B208" t="s">
        <v>1534</v>
      </c>
      <c r="C208">
        <v>1300</v>
      </c>
      <c r="D208" t="s">
        <v>248</v>
      </c>
      <c r="AC208">
        <f t="shared" ref="AC208:AM208" si="30">AC24+AC59+AC91+AC143</f>
        <v>0</v>
      </c>
      <c r="AD208">
        <f t="shared" si="30"/>
        <v>0</v>
      </c>
      <c r="AE208">
        <f t="shared" si="30"/>
        <v>0</v>
      </c>
      <c r="AF208">
        <f t="shared" si="30"/>
        <v>0</v>
      </c>
      <c r="AG208">
        <f t="shared" si="30"/>
        <v>0</v>
      </c>
      <c r="AH208">
        <f t="shared" si="30"/>
        <v>0</v>
      </c>
      <c r="AI208">
        <f t="shared" si="30"/>
        <v>0</v>
      </c>
      <c r="AJ208">
        <f t="shared" si="30"/>
        <v>0</v>
      </c>
      <c r="AK208">
        <f t="shared" si="30"/>
        <v>0</v>
      </c>
      <c r="AL208">
        <f t="shared" si="30"/>
        <v>0</v>
      </c>
      <c r="AM208">
        <f t="shared" si="30"/>
        <v>0</v>
      </c>
    </row>
    <row r="209" spans="2:39" x14ac:dyDescent="0.2">
      <c r="B209" t="s">
        <v>1535</v>
      </c>
      <c r="C209">
        <v>1310</v>
      </c>
      <c r="D209" t="s">
        <v>248</v>
      </c>
      <c r="AC209">
        <f t="shared" ref="AC209:AM209" si="31">AC35+AC64+AC101+AC148</f>
        <v>0</v>
      </c>
      <c r="AD209">
        <f t="shared" si="31"/>
        <v>0</v>
      </c>
      <c r="AE209">
        <f t="shared" si="31"/>
        <v>0</v>
      </c>
      <c r="AF209">
        <f t="shared" si="31"/>
        <v>0</v>
      </c>
      <c r="AG209">
        <f t="shared" si="31"/>
        <v>0</v>
      </c>
      <c r="AH209">
        <f t="shared" si="31"/>
        <v>0</v>
      </c>
      <c r="AI209">
        <f t="shared" si="31"/>
        <v>0</v>
      </c>
      <c r="AJ209">
        <f t="shared" si="31"/>
        <v>0</v>
      </c>
      <c r="AK209">
        <f t="shared" si="31"/>
        <v>0</v>
      </c>
      <c r="AL209">
        <f t="shared" si="31"/>
        <v>0</v>
      </c>
      <c r="AM209">
        <f t="shared" si="31"/>
        <v>0</v>
      </c>
    </row>
    <row r="212" spans="2:39" x14ac:dyDescent="0.2">
      <c r="F212" t="s">
        <v>1320</v>
      </c>
      <c r="AC212" t="s">
        <v>1322</v>
      </c>
    </row>
    <row r="213" spans="2:39" x14ac:dyDescent="0.2">
      <c r="D213" t="s">
        <v>25</v>
      </c>
      <c r="E213" t="s">
        <v>235</v>
      </c>
      <c r="F213" t="s">
        <v>236</v>
      </c>
      <c r="H213" t="s">
        <v>294</v>
      </c>
      <c r="V213" t="s">
        <v>580</v>
      </c>
      <c r="AC213" t="s">
        <v>823</v>
      </c>
      <c r="AD213" t="s">
        <v>824</v>
      </c>
      <c r="AE213" t="s">
        <v>825</v>
      </c>
      <c r="AF213" t="s">
        <v>826</v>
      </c>
      <c r="AG213" t="s">
        <v>827</v>
      </c>
      <c r="AH213" t="s">
        <v>828</v>
      </c>
      <c r="AI213" t="s">
        <v>829</v>
      </c>
      <c r="AJ213" t="s">
        <v>830</v>
      </c>
      <c r="AK213" t="s">
        <v>831</v>
      </c>
      <c r="AL213" t="s">
        <v>1323</v>
      </c>
      <c r="AM213" t="s">
        <v>1324</v>
      </c>
    </row>
    <row r="214" spans="2:39" x14ac:dyDescent="0.2">
      <c r="B214" t="s">
        <v>1536</v>
      </c>
      <c r="C214" t="s">
        <v>238</v>
      </c>
      <c r="E214" t="s">
        <v>799</v>
      </c>
      <c r="F214" t="s">
        <v>1328</v>
      </c>
      <c r="H214" t="s">
        <v>302</v>
      </c>
      <c r="V214" t="s">
        <v>1033</v>
      </c>
      <c r="AC214" t="s">
        <v>1005</v>
      </c>
      <c r="AD214" t="s">
        <v>1006</v>
      </c>
      <c r="AE214" t="s">
        <v>1007</v>
      </c>
      <c r="AF214" t="s">
        <v>590</v>
      </c>
      <c r="AG214" t="s">
        <v>1008</v>
      </c>
      <c r="AH214" t="s">
        <v>1265</v>
      </c>
      <c r="AI214" t="s">
        <v>1266</v>
      </c>
      <c r="AJ214" t="s">
        <v>1267</v>
      </c>
      <c r="AK214" t="s">
        <v>599</v>
      </c>
      <c r="AL214" t="s">
        <v>1268</v>
      </c>
      <c r="AM214" t="s">
        <v>1269</v>
      </c>
    </row>
    <row r="215" spans="2:39" x14ac:dyDescent="0.2">
      <c r="C215" t="s">
        <v>242</v>
      </c>
      <c r="E215" t="s">
        <v>243</v>
      </c>
      <c r="F215" t="s">
        <v>243</v>
      </c>
      <c r="H215" t="s">
        <v>243</v>
      </c>
      <c r="V215" t="s">
        <v>243</v>
      </c>
      <c r="AC215" t="s">
        <v>243</v>
      </c>
      <c r="AD215" t="s">
        <v>243</v>
      </c>
      <c r="AE215" t="s">
        <v>243</v>
      </c>
      <c r="AF215" t="s">
        <v>243</v>
      </c>
      <c r="AG215" t="s">
        <v>243</v>
      </c>
      <c r="AH215" t="s">
        <v>243</v>
      </c>
      <c r="AI215" t="s">
        <v>243</v>
      </c>
      <c r="AJ215" t="s">
        <v>243</v>
      </c>
      <c r="AK215" t="s">
        <v>243</v>
      </c>
      <c r="AL215" t="s">
        <v>243</v>
      </c>
      <c r="AM215" t="s">
        <v>243</v>
      </c>
    </row>
    <row r="217" spans="2:39" x14ac:dyDescent="0.2">
      <c r="B217" t="s">
        <v>1537</v>
      </c>
      <c r="C217">
        <v>1400</v>
      </c>
      <c r="D217" t="s">
        <v>248</v>
      </c>
      <c r="E217">
        <f>SUM(AC217:AM217)</f>
        <v>0</v>
      </c>
    </row>
    <row r="218" spans="2:39" x14ac:dyDescent="0.2">
      <c r="B218" t="s">
        <v>1538</v>
      </c>
      <c r="C218">
        <v>1410</v>
      </c>
      <c r="D218" t="s">
        <v>248</v>
      </c>
    </row>
    <row r="219" spans="2:39" x14ac:dyDescent="0.2">
      <c r="B219" t="s">
        <v>1539</v>
      </c>
      <c r="C219">
        <v>1420</v>
      </c>
      <c r="D219" t="s">
        <v>248</v>
      </c>
      <c r="E219">
        <f>SUM(E217:E218)</f>
        <v>0</v>
      </c>
      <c r="H219">
        <f>SUM(H217:H218)</f>
        <v>0</v>
      </c>
      <c r="AC219">
        <f t="shared" ref="AC219:AM219" si="32">SUM(AC217:AC218)</f>
        <v>0</v>
      </c>
      <c r="AD219">
        <f t="shared" si="32"/>
        <v>0</v>
      </c>
      <c r="AE219">
        <f t="shared" si="32"/>
        <v>0</v>
      </c>
      <c r="AF219">
        <f t="shared" si="32"/>
        <v>0</v>
      </c>
      <c r="AG219">
        <f t="shared" si="32"/>
        <v>0</v>
      </c>
      <c r="AH219">
        <f t="shared" si="32"/>
        <v>0</v>
      </c>
      <c r="AI219">
        <f t="shared" si="32"/>
        <v>0</v>
      </c>
      <c r="AJ219">
        <f t="shared" si="32"/>
        <v>0</v>
      </c>
      <c r="AK219">
        <f t="shared" si="32"/>
        <v>0</v>
      </c>
      <c r="AL219">
        <f t="shared" si="32"/>
        <v>0</v>
      </c>
      <c r="AM219">
        <f t="shared" si="32"/>
        <v>0</v>
      </c>
    </row>
    <row r="220" spans="2:39" x14ac:dyDescent="0.2">
      <c r="B220" t="s">
        <v>1540</v>
      </c>
      <c r="C220">
        <v>1430</v>
      </c>
      <c r="D220" t="s">
        <v>248</v>
      </c>
      <c r="E220">
        <f>SUM(AC220:AM220)</f>
        <v>0</v>
      </c>
    </row>
    <row r="221" spans="2:39" x14ac:dyDescent="0.2">
      <c r="B221" t="s">
        <v>1541</v>
      </c>
      <c r="C221">
        <v>1435</v>
      </c>
      <c r="D221" t="s">
        <v>248</v>
      </c>
    </row>
    <row r="222" spans="2:39" x14ac:dyDescent="0.2">
      <c r="B222" t="s">
        <v>1542</v>
      </c>
      <c r="C222">
        <v>1440</v>
      </c>
      <c r="D222" t="s">
        <v>248</v>
      </c>
      <c r="E222">
        <f>SUM(E220:E221)</f>
        <v>0</v>
      </c>
      <c r="H222">
        <f>SUM(H220:H221)</f>
        <v>0</v>
      </c>
      <c r="AC222">
        <f t="shared" ref="AC222:AM222" si="33">SUM(AC220:AC221)</f>
        <v>0</v>
      </c>
      <c r="AD222">
        <f t="shared" si="33"/>
        <v>0</v>
      </c>
      <c r="AE222">
        <f t="shared" si="33"/>
        <v>0</v>
      </c>
      <c r="AF222">
        <f t="shared" si="33"/>
        <v>0</v>
      </c>
      <c r="AG222">
        <f t="shared" si="33"/>
        <v>0</v>
      </c>
      <c r="AH222">
        <f t="shared" si="33"/>
        <v>0</v>
      </c>
      <c r="AI222">
        <f t="shared" si="33"/>
        <v>0</v>
      </c>
      <c r="AJ222">
        <f t="shared" si="33"/>
        <v>0</v>
      </c>
      <c r="AK222">
        <f t="shared" si="33"/>
        <v>0</v>
      </c>
      <c r="AL222">
        <f t="shared" si="33"/>
        <v>0</v>
      </c>
      <c r="AM222">
        <f t="shared" si="33"/>
        <v>0</v>
      </c>
    </row>
    <row r="223" spans="2:39" x14ac:dyDescent="0.2">
      <c r="B223" t="s">
        <v>1543</v>
      </c>
      <c r="C223">
        <v>1450</v>
      </c>
      <c r="D223" t="s">
        <v>248</v>
      </c>
    </row>
    <row r="224" spans="2:39" x14ac:dyDescent="0.2">
      <c r="B224" t="s">
        <v>1544</v>
      </c>
      <c r="C224">
        <v>1460</v>
      </c>
      <c r="D224" t="s">
        <v>248</v>
      </c>
    </row>
    <row r="225" spans="2:39" x14ac:dyDescent="0.2">
      <c r="B225" t="s">
        <v>1545</v>
      </c>
      <c r="C225">
        <v>1470</v>
      </c>
      <c r="D225" t="s">
        <v>248</v>
      </c>
    </row>
    <row r="228" spans="2:39" x14ac:dyDescent="0.2">
      <c r="F228" t="s">
        <v>1320</v>
      </c>
      <c r="AC228" t="s">
        <v>1322</v>
      </c>
    </row>
    <row r="229" spans="2:39" x14ac:dyDescent="0.2">
      <c r="D229" t="s">
        <v>25</v>
      </c>
      <c r="E229" t="s">
        <v>235</v>
      </c>
      <c r="F229" t="s">
        <v>236</v>
      </c>
      <c r="H229" t="s">
        <v>294</v>
      </c>
      <c r="V229" t="s">
        <v>580</v>
      </c>
      <c r="AC229" t="s">
        <v>823</v>
      </c>
      <c r="AD229" t="s">
        <v>824</v>
      </c>
      <c r="AE229" t="s">
        <v>825</v>
      </c>
      <c r="AF229" t="s">
        <v>826</v>
      </c>
      <c r="AG229" t="s">
        <v>827</v>
      </c>
      <c r="AH229" t="s">
        <v>828</v>
      </c>
      <c r="AI229" t="s">
        <v>829</v>
      </c>
      <c r="AJ229" t="s">
        <v>830</v>
      </c>
      <c r="AK229" t="s">
        <v>831</v>
      </c>
      <c r="AL229" t="s">
        <v>1323</v>
      </c>
      <c r="AM229" t="s">
        <v>1324</v>
      </c>
    </row>
    <row r="230" spans="2:39" x14ac:dyDescent="0.2">
      <c r="B230" t="s">
        <v>159</v>
      </c>
      <c r="C230" t="s">
        <v>238</v>
      </c>
      <c r="E230" t="s">
        <v>799</v>
      </c>
      <c r="F230" t="s">
        <v>1328</v>
      </c>
      <c r="H230" t="s">
        <v>302</v>
      </c>
      <c r="V230" t="s">
        <v>1033</v>
      </c>
      <c r="AC230" t="s">
        <v>1005</v>
      </c>
      <c r="AD230" t="s">
        <v>1006</v>
      </c>
      <c r="AE230" t="s">
        <v>1007</v>
      </c>
      <c r="AF230" t="s">
        <v>590</v>
      </c>
      <c r="AG230" t="s">
        <v>1008</v>
      </c>
      <c r="AH230" t="s">
        <v>1265</v>
      </c>
      <c r="AI230" t="s">
        <v>1266</v>
      </c>
      <c r="AJ230" t="s">
        <v>1267</v>
      </c>
      <c r="AK230" t="s">
        <v>599</v>
      </c>
      <c r="AL230" t="s">
        <v>1268</v>
      </c>
      <c r="AM230" t="s">
        <v>1269</v>
      </c>
    </row>
    <row r="231" spans="2:39" x14ac:dyDescent="0.2">
      <c r="C231" t="s">
        <v>242</v>
      </c>
      <c r="E231" t="s">
        <v>243</v>
      </c>
      <c r="F231" t="s">
        <v>243</v>
      </c>
      <c r="H231" t="s">
        <v>243</v>
      </c>
      <c r="V231" t="s">
        <v>243</v>
      </c>
      <c r="AC231" t="s">
        <v>243</v>
      </c>
      <c r="AD231" t="s">
        <v>243</v>
      </c>
      <c r="AE231" t="s">
        <v>243</v>
      </c>
      <c r="AF231" t="s">
        <v>243</v>
      </c>
      <c r="AG231" t="s">
        <v>243</v>
      </c>
      <c r="AH231" t="s">
        <v>243</v>
      </c>
      <c r="AI231" t="s">
        <v>243</v>
      </c>
      <c r="AJ231" t="s">
        <v>243</v>
      </c>
      <c r="AK231" t="s">
        <v>243</v>
      </c>
      <c r="AL231" t="s">
        <v>243</v>
      </c>
      <c r="AM231" t="s">
        <v>243</v>
      </c>
    </row>
    <row r="233" spans="2:39" x14ac:dyDescent="0.2">
      <c r="B233" t="s">
        <v>1537</v>
      </c>
      <c r="C233">
        <v>1480</v>
      </c>
      <c r="D233" t="s">
        <v>248</v>
      </c>
      <c r="E233">
        <f>SUM(AC233:AM233)</f>
        <v>0</v>
      </c>
    </row>
    <row r="234" spans="2:39" x14ac:dyDescent="0.2">
      <c r="B234" t="s">
        <v>1538</v>
      </c>
      <c r="C234">
        <v>1490</v>
      </c>
      <c r="D234" t="s">
        <v>248</v>
      </c>
    </row>
    <row r="235" spans="2:39" x14ac:dyDescent="0.2">
      <c r="B235" t="s">
        <v>1546</v>
      </c>
      <c r="C235">
        <v>1500</v>
      </c>
      <c r="D235" t="s">
        <v>248</v>
      </c>
      <c r="E235">
        <f>SUM(E233:E234)</f>
        <v>0</v>
      </c>
      <c r="H235">
        <f>SUM(H233:H234)</f>
        <v>0</v>
      </c>
      <c r="AC235">
        <f t="shared" ref="AC235:AM235" si="34">SUM(AC233:AC234)</f>
        <v>0</v>
      </c>
      <c r="AD235">
        <f t="shared" si="34"/>
        <v>0</v>
      </c>
      <c r="AE235">
        <f t="shared" si="34"/>
        <v>0</v>
      </c>
      <c r="AF235">
        <f t="shared" si="34"/>
        <v>0</v>
      </c>
      <c r="AG235">
        <f t="shared" si="34"/>
        <v>0</v>
      </c>
      <c r="AH235">
        <f t="shared" si="34"/>
        <v>0</v>
      </c>
      <c r="AI235">
        <f t="shared" si="34"/>
        <v>0</v>
      </c>
      <c r="AJ235">
        <f t="shared" si="34"/>
        <v>0</v>
      </c>
      <c r="AK235">
        <f t="shared" si="34"/>
        <v>0</v>
      </c>
      <c r="AL235">
        <f t="shared" si="34"/>
        <v>0</v>
      </c>
      <c r="AM235">
        <f t="shared" si="34"/>
        <v>0</v>
      </c>
    </row>
    <row r="236" spans="2:39" x14ac:dyDescent="0.2">
      <c r="B236" t="s">
        <v>1540</v>
      </c>
      <c r="C236">
        <v>1510</v>
      </c>
      <c r="D236" t="s">
        <v>248</v>
      </c>
      <c r="E236">
        <f>SUM(AC236:AM236)</f>
        <v>0</v>
      </c>
    </row>
    <row r="237" spans="2:39" x14ac:dyDescent="0.2">
      <c r="B237" t="s">
        <v>1541</v>
      </c>
      <c r="C237">
        <v>1515</v>
      </c>
      <c r="D237" t="s">
        <v>248</v>
      </c>
    </row>
    <row r="238" spans="2:39" x14ac:dyDescent="0.2">
      <c r="B238" t="s">
        <v>1547</v>
      </c>
      <c r="C238">
        <v>1520</v>
      </c>
      <c r="D238" t="s">
        <v>248</v>
      </c>
      <c r="E238">
        <f>SUM(E236:E237)</f>
        <v>0</v>
      </c>
      <c r="H238">
        <f>SUM(H236:H237)</f>
        <v>0</v>
      </c>
      <c r="AC238">
        <f t="shared" ref="AC238:AM238" si="35">SUM(AC236:AC237)</f>
        <v>0</v>
      </c>
      <c r="AD238">
        <f t="shared" si="35"/>
        <v>0</v>
      </c>
      <c r="AE238">
        <f t="shared" si="35"/>
        <v>0</v>
      </c>
      <c r="AF238">
        <f t="shared" si="35"/>
        <v>0</v>
      </c>
      <c r="AG238">
        <f t="shared" si="35"/>
        <v>0</v>
      </c>
      <c r="AH238">
        <f t="shared" si="35"/>
        <v>0</v>
      </c>
      <c r="AI238">
        <f t="shared" si="35"/>
        <v>0</v>
      </c>
      <c r="AJ238">
        <f t="shared" si="35"/>
        <v>0</v>
      </c>
      <c r="AK238">
        <f t="shared" si="35"/>
        <v>0</v>
      </c>
      <c r="AL238">
        <f t="shared" si="35"/>
        <v>0</v>
      </c>
      <c r="AM238">
        <f t="shared" si="35"/>
        <v>0</v>
      </c>
    </row>
    <row r="239" spans="2:39" x14ac:dyDescent="0.2">
      <c r="B239" t="s">
        <v>1543</v>
      </c>
      <c r="C239">
        <v>1530</v>
      </c>
      <c r="D239" t="s">
        <v>248</v>
      </c>
    </row>
    <row r="240" spans="2:39" x14ac:dyDescent="0.2">
      <c r="B240" t="s">
        <v>1544</v>
      </c>
      <c r="C240">
        <v>1540</v>
      </c>
      <c r="D240" t="s">
        <v>248</v>
      </c>
    </row>
    <row r="241" spans="2:39" x14ac:dyDescent="0.2">
      <c r="B241" t="s">
        <v>1548</v>
      </c>
      <c r="C241">
        <v>1550</v>
      </c>
      <c r="D241" t="s">
        <v>248</v>
      </c>
    </row>
    <row r="245" spans="2:39" x14ac:dyDescent="0.2">
      <c r="F245" t="s">
        <v>1320</v>
      </c>
      <c r="AC245" t="s">
        <v>1322</v>
      </c>
    </row>
    <row r="246" spans="2:39" x14ac:dyDescent="0.2">
      <c r="D246" t="s">
        <v>25</v>
      </c>
      <c r="E246" t="s">
        <v>235</v>
      </c>
      <c r="F246" t="s">
        <v>236</v>
      </c>
      <c r="H246" t="s">
        <v>294</v>
      </c>
      <c r="V246" t="s">
        <v>580</v>
      </c>
      <c r="AC246" t="s">
        <v>823</v>
      </c>
      <c r="AD246" t="s">
        <v>824</v>
      </c>
      <c r="AE246" t="s">
        <v>825</v>
      </c>
      <c r="AF246" t="s">
        <v>826</v>
      </c>
      <c r="AG246" t="s">
        <v>827</v>
      </c>
      <c r="AH246" t="s">
        <v>828</v>
      </c>
      <c r="AI246" t="s">
        <v>829</v>
      </c>
      <c r="AJ246" t="s">
        <v>830</v>
      </c>
      <c r="AK246" t="s">
        <v>831</v>
      </c>
      <c r="AL246" t="s">
        <v>1323</v>
      </c>
      <c r="AM246" t="s">
        <v>1324</v>
      </c>
    </row>
    <row r="247" spans="2:39" x14ac:dyDescent="0.2">
      <c r="B247" t="s">
        <v>1549</v>
      </c>
      <c r="C247" t="s">
        <v>238</v>
      </c>
      <c r="E247" t="s">
        <v>799</v>
      </c>
      <c r="F247" t="s">
        <v>1328</v>
      </c>
      <c r="H247" t="s">
        <v>302</v>
      </c>
      <c r="V247" t="s">
        <v>1033</v>
      </c>
      <c r="AC247" t="s">
        <v>1005</v>
      </c>
      <c r="AD247" t="s">
        <v>1006</v>
      </c>
      <c r="AE247" t="s">
        <v>1007</v>
      </c>
      <c r="AF247" t="s">
        <v>590</v>
      </c>
      <c r="AG247" t="s">
        <v>1008</v>
      </c>
      <c r="AH247" t="s">
        <v>1265</v>
      </c>
      <c r="AI247" t="s">
        <v>1266</v>
      </c>
      <c r="AJ247" t="s">
        <v>1267</v>
      </c>
      <c r="AK247" t="s">
        <v>599</v>
      </c>
      <c r="AL247" t="s">
        <v>1268</v>
      </c>
      <c r="AM247" t="s">
        <v>1269</v>
      </c>
    </row>
    <row r="248" spans="2:39" x14ac:dyDescent="0.2">
      <c r="C248" t="s">
        <v>242</v>
      </c>
      <c r="E248" t="s">
        <v>243</v>
      </c>
      <c r="F248" t="s">
        <v>243</v>
      </c>
      <c r="H248" t="s">
        <v>243</v>
      </c>
      <c r="V248" t="s">
        <v>243</v>
      </c>
      <c r="AC248" t="s">
        <v>243</v>
      </c>
      <c r="AD248" t="s">
        <v>243</v>
      </c>
      <c r="AE248" t="s">
        <v>243</v>
      </c>
      <c r="AF248" t="s">
        <v>243</v>
      </c>
      <c r="AG248" t="s">
        <v>243</v>
      </c>
      <c r="AH248" t="s">
        <v>243</v>
      </c>
      <c r="AI248" t="s">
        <v>243</v>
      </c>
      <c r="AJ248" t="s">
        <v>243</v>
      </c>
      <c r="AK248" t="s">
        <v>243</v>
      </c>
      <c r="AL248" t="s">
        <v>243</v>
      </c>
      <c r="AM248" t="s">
        <v>243</v>
      </c>
    </row>
    <row r="249" spans="2:39" x14ac:dyDescent="0.2">
      <c r="B249" t="s">
        <v>1248</v>
      </c>
    </row>
    <row r="250" spans="2:39" x14ac:dyDescent="0.2">
      <c r="B250" t="s">
        <v>1551</v>
      </c>
      <c r="C250">
        <v>1555</v>
      </c>
      <c r="D250" t="s">
        <v>248</v>
      </c>
      <c r="E250">
        <f>SUM(AC250:AM250)</f>
        <v>0</v>
      </c>
    </row>
    <row r="251" spans="2:39" x14ac:dyDescent="0.2">
      <c r="B251" t="s">
        <v>1552</v>
      </c>
      <c r="C251">
        <v>1560</v>
      </c>
      <c r="D251" t="s">
        <v>248</v>
      </c>
    </row>
    <row r="252" spans="2:39" x14ac:dyDescent="0.2">
      <c r="B252" t="s">
        <v>1553</v>
      </c>
      <c r="C252">
        <v>1565</v>
      </c>
      <c r="D252" t="s">
        <v>248</v>
      </c>
      <c r="E252">
        <f>SUM(E250:E251)</f>
        <v>0</v>
      </c>
      <c r="H252">
        <f>SUM(H250:H251)</f>
        <v>0</v>
      </c>
      <c r="V252">
        <f>SUM(V250:V251)</f>
        <v>0</v>
      </c>
      <c r="AC252">
        <f t="shared" ref="AC252:AM252" si="36">SUM(AC250:AC251)</f>
        <v>0</v>
      </c>
      <c r="AD252">
        <f t="shared" si="36"/>
        <v>0</v>
      </c>
      <c r="AE252">
        <f t="shared" si="36"/>
        <v>0</v>
      </c>
      <c r="AF252">
        <f t="shared" si="36"/>
        <v>0</v>
      </c>
      <c r="AG252">
        <f t="shared" si="36"/>
        <v>0</v>
      </c>
      <c r="AH252">
        <f t="shared" si="36"/>
        <v>0</v>
      </c>
      <c r="AI252">
        <f t="shared" si="36"/>
        <v>0</v>
      </c>
      <c r="AJ252">
        <f t="shared" si="36"/>
        <v>0</v>
      </c>
      <c r="AK252">
        <f t="shared" si="36"/>
        <v>0</v>
      </c>
      <c r="AL252">
        <f t="shared" si="36"/>
        <v>0</v>
      </c>
      <c r="AM252">
        <f t="shared" si="36"/>
        <v>0</v>
      </c>
    </row>
    <row r="253" spans="2:39" x14ac:dyDescent="0.2">
      <c r="B253" t="s">
        <v>1554</v>
      </c>
      <c r="C253">
        <v>1567</v>
      </c>
      <c r="D253" t="s">
        <v>248</v>
      </c>
      <c r="E253">
        <f>SUM(AC253:AM253)</f>
        <v>0</v>
      </c>
    </row>
    <row r="254" spans="2:39" x14ac:dyDescent="0.2">
      <c r="B254" t="s">
        <v>1555</v>
      </c>
      <c r="C254">
        <v>1570</v>
      </c>
      <c r="D254" t="s">
        <v>248</v>
      </c>
    </row>
    <row r="255" spans="2:39" x14ac:dyDescent="0.2">
      <c r="B255" t="s">
        <v>1556</v>
      </c>
      <c r="C255">
        <v>1580</v>
      </c>
      <c r="D255" t="s">
        <v>248</v>
      </c>
      <c r="E255">
        <f>SUM(E253:E254)</f>
        <v>0</v>
      </c>
      <c r="H255">
        <f>SUM(H253:H254)</f>
        <v>0</v>
      </c>
      <c r="V255">
        <f>SUM(V253:V254)</f>
        <v>0</v>
      </c>
      <c r="AC255">
        <f t="shared" ref="AC255:AM255" si="37">SUM(AC253:AC254)</f>
        <v>0</v>
      </c>
      <c r="AD255">
        <f t="shared" si="37"/>
        <v>0</v>
      </c>
      <c r="AE255">
        <f t="shared" si="37"/>
        <v>0</v>
      </c>
      <c r="AF255">
        <f t="shared" si="37"/>
        <v>0</v>
      </c>
      <c r="AG255">
        <f t="shared" si="37"/>
        <v>0</v>
      </c>
      <c r="AH255">
        <f t="shared" si="37"/>
        <v>0</v>
      </c>
      <c r="AI255">
        <f t="shared" si="37"/>
        <v>0</v>
      </c>
      <c r="AJ255">
        <f t="shared" si="37"/>
        <v>0</v>
      </c>
      <c r="AK255">
        <f t="shared" si="37"/>
        <v>0</v>
      </c>
      <c r="AL255">
        <f t="shared" si="37"/>
        <v>0</v>
      </c>
      <c r="AM255">
        <f t="shared" si="37"/>
        <v>0</v>
      </c>
    </row>
    <row r="256" spans="2:39" x14ac:dyDescent="0.2">
      <c r="B256" t="s">
        <v>1346</v>
      </c>
    </row>
    <row r="257" spans="2:39" x14ac:dyDescent="0.2">
      <c r="B257" t="s">
        <v>1551</v>
      </c>
      <c r="C257">
        <v>1585</v>
      </c>
      <c r="D257" t="s">
        <v>248</v>
      </c>
      <c r="E257">
        <f>SUM(AC257:AM257)</f>
        <v>0</v>
      </c>
    </row>
    <row r="258" spans="2:39" x14ac:dyDescent="0.2">
      <c r="B258" t="s">
        <v>1552</v>
      </c>
      <c r="C258">
        <v>1590</v>
      </c>
      <c r="D258" t="s">
        <v>248</v>
      </c>
    </row>
    <row r="259" spans="2:39" x14ac:dyDescent="0.2">
      <c r="B259" t="s">
        <v>1557</v>
      </c>
      <c r="C259">
        <v>1595</v>
      </c>
      <c r="D259" t="s">
        <v>248</v>
      </c>
      <c r="E259">
        <f>SUM(E257:E258)</f>
        <v>0</v>
      </c>
      <c r="H259">
        <f>SUM(H257:H258)</f>
        <v>0</v>
      </c>
      <c r="V259">
        <f>SUM(V257:V258)</f>
        <v>0</v>
      </c>
      <c r="AC259">
        <f t="shared" ref="AC259:AM259" si="38">SUM(AC257:AC258)</f>
        <v>0</v>
      </c>
      <c r="AD259">
        <f t="shared" si="38"/>
        <v>0</v>
      </c>
      <c r="AE259">
        <f t="shared" si="38"/>
        <v>0</v>
      </c>
      <c r="AF259">
        <f t="shared" si="38"/>
        <v>0</v>
      </c>
      <c r="AG259">
        <f t="shared" si="38"/>
        <v>0</v>
      </c>
      <c r="AH259">
        <f t="shared" si="38"/>
        <v>0</v>
      </c>
      <c r="AI259">
        <f t="shared" si="38"/>
        <v>0</v>
      </c>
      <c r="AJ259">
        <f t="shared" si="38"/>
        <v>0</v>
      </c>
      <c r="AK259">
        <f t="shared" si="38"/>
        <v>0</v>
      </c>
      <c r="AL259">
        <f t="shared" si="38"/>
        <v>0</v>
      </c>
      <c r="AM259">
        <f t="shared" si="38"/>
        <v>0</v>
      </c>
    </row>
    <row r="260" spans="2:39" x14ac:dyDescent="0.2">
      <c r="B260" t="s">
        <v>1554</v>
      </c>
      <c r="C260">
        <v>1597</v>
      </c>
      <c r="D260" t="s">
        <v>248</v>
      </c>
      <c r="E260">
        <f>SUM(AC260:AM260)</f>
        <v>0</v>
      </c>
    </row>
    <row r="261" spans="2:39" x14ac:dyDescent="0.2">
      <c r="B261" t="s">
        <v>1555</v>
      </c>
      <c r="C261">
        <v>1600</v>
      </c>
      <c r="D261" t="s">
        <v>248</v>
      </c>
    </row>
    <row r="262" spans="2:39" x14ac:dyDescent="0.2">
      <c r="B262" t="s">
        <v>1558</v>
      </c>
      <c r="C262">
        <v>1610</v>
      </c>
      <c r="D262" t="s">
        <v>248</v>
      </c>
      <c r="E262">
        <f>SUM(E260:E261)</f>
        <v>0</v>
      </c>
      <c r="H262">
        <f>SUM(H260:H261)</f>
        <v>0</v>
      </c>
      <c r="V262">
        <f>SUM(V260:V261)</f>
        <v>0</v>
      </c>
      <c r="AC262">
        <f t="shared" ref="AC262:AM262" si="39">SUM(AC260:AC261)</f>
        <v>0</v>
      </c>
      <c r="AD262">
        <f t="shared" si="39"/>
        <v>0</v>
      </c>
      <c r="AE262">
        <f t="shared" si="39"/>
        <v>0</v>
      </c>
      <c r="AF262">
        <f t="shared" si="39"/>
        <v>0</v>
      </c>
      <c r="AG262">
        <f t="shared" si="39"/>
        <v>0</v>
      </c>
      <c r="AH262">
        <f t="shared" si="39"/>
        <v>0</v>
      </c>
      <c r="AI262">
        <f t="shared" si="39"/>
        <v>0</v>
      </c>
      <c r="AJ262">
        <f t="shared" si="39"/>
        <v>0</v>
      </c>
      <c r="AK262">
        <f t="shared" si="39"/>
        <v>0</v>
      </c>
      <c r="AL262">
        <f t="shared" si="39"/>
        <v>0</v>
      </c>
      <c r="AM262">
        <f t="shared" si="39"/>
        <v>0</v>
      </c>
    </row>
    <row r="266" spans="2:39" x14ac:dyDescent="0.2">
      <c r="E266" t="s">
        <v>235</v>
      </c>
      <c r="F266" t="s">
        <v>236</v>
      </c>
      <c r="H266" t="s">
        <v>294</v>
      </c>
      <c r="V266" t="s">
        <v>580</v>
      </c>
      <c r="AC266" t="s">
        <v>825</v>
      </c>
    </row>
    <row r="267" spans="2:39" x14ac:dyDescent="0.2">
      <c r="B267" t="s">
        <v>1559</v>
      </c>
      <c r="C267" t="s">
        <v>1560</v>
      </c>
      <c r="D267" t="s">
        <v>1561</v>
      </c>
      <c r="E267" t="s">
        <v>1432</v>
      </c>
      <c r="F267" t="s">
        <v>1433</v>
      </c>
      <c r="H267" t="s">
        <v>1434</v>
      </c>
      <c r="V267" t="s">
        <v>1435</v>
      </c>
      <c r="AC267" t="s">
        <v>1436</v>
      </c>
    </row>
    <row r="268" spans="2:39" x14ac:dyDescent="0.2">
      <c r="E268" t="s">
        <v>243</v>
      </c>
      <c r="F268" t="s">
        <v>243</v>
      </c>
      <c r="H268" t="s">
        <v>243</v>
      </c>
      <c r="V268" t="s">
        <v>243</v>
      </c>
      <c r="AC268" t="s">
        <v>243</v>
      </c>
    </row>
    <row r="269" spans="2:39" x14ac:dyDescent="0.2">
      <c r="B269" t="s">
        <v>1562</v>
      </c>
      <c r="C269">
        <v>1620</v>
      </c>
      <c r="D269" t="s">
        <v>248</v>
      </c>
      <c r="E269">
        <f>SUM(E16:E17)+SUM(E29:E30)</f>
        <v>0</v>
      </c>
      <c r="AC269">
        <f>E269-F269-H269-V269</f>
        <v>0</v>
      </c>
    </row>
    <row r="270" spans="2:39" x14ac:dyDescent="0.2">
      <c r="B270" t="s">
        <v>1563</v>
      </c>
      <c r="C270">
        <v>1630</v>
      </c>
      <c r="D270" t="s">
        <v>248</v>
      </c>
      <c r="E270">
        <f>SUM(E12:E13)+SUM(E26:E27)</f>
        <v>0</v>
      </c>
      <c r="AC270">
        <f>E270-F270-H270-V270</f>
        <v>0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82"/>
  <sheetViews>
    <sheetView topLeftCell="A33" zoomScale="70" zoomScaleNormal="70" workbookViewId="0">
      <pane xSplit="4" topLeftCell="E1" activePane="topRight" state="frozen"/>
      <selection pane="topRight"/>
    </sheetView>
  </sheetViews>
  <sheetFormatPr defaultRowHeight="12.75" x14ac:dyDescent="0.2"/>
  <cols>
    <col min="1" max="1" width="5.140625" customWidth="1"/>
    <col min="2" max="2" width="57.7109375" customWidth="1"/>
    <col min="3" max="4" width="10.140625" customWidth="1"/>
    <col min="5" max="6" width="14.5703125" customWidth="1"/>
    <col min="7" max="7" width="7.5703125" customWidth="1"/>
    <col min="8" max="52" width="3.140625" hidden="1" customWidth="1"/>
    <col min="53" max="54" width="2.7109375" hidden="1" customWidth="1"/>
  </cols>
  <sheetData>
    <row r="1" spans="1:54" ht="15.75" x14ac:dyDescent="0.25">
      <c r="A1" s="1131" t="s">
        <v>3726</v>
      </c>
      <c r="B1" s="1139" t="str">
        <f>OrgName</f>
        <v>ZZZ NHS TRUST</v>
      </c>
      <c r="C1" s="1133"/>
      <c r="D1" s="1134"/>
      <c r="E1" s="1177" t="str">
        <f>HYPERLINK(CHAR(35)&amp;"1415TRU_Index_P13"&amp;"!A1","GoTo Index tab")</f>
        <v>GoTo Index tab</v>
      </c>
      <c r="O1" s="105"/>
      <c r="X1" s="104"/>
      <c r="BA1" s="157"/>
      <c r="BB1" s="186"/>
    </row>
    <row r="2" spans="1:54" x14ac:dyDescent="0.2">
      <c r="A2" s="1131" t="s">
        <v>3727</v>
      </c>
      <c r="B2" s="1137" t="str">
        <f>"Org Code: " &amp; Orgcode</f>
        <v>Org Code: ZZZ</v>
      </c>
      <c r="C2" s="1118"/>
      <c r="D2" s="1132"/>
      <c r="E2" s="1135"/>
    </row>
    <row r="3" spans="1:54" x14ac:dyDescent="0.2">
      <c r="A3" s="1131" t="s">
        <v>3729</v>
      </c>
      <c r="B3" s="1138" t="s">
        <v>3725</v>
      </c>
      <c r="C3" s="1125"/>
      <c r="D3" s="1125"/>
      <c r="E3" s="1136"/>
    </row>
    <row r="4" spans="1:54" x14ac:dyDescent="0.2">
      <c r="B4" s="102" t="s">
        <v>229</v>
      </c>
      <c r="C4" s="97"/>
      <c r="D4" s="100"/>
      <c r="E4" s="97"/>
      <c r="F4" s="97"/>
    </row>
    <row r="5" spans="1:54" x14ac:dyDescent="0.2">
      <c r="B5" s="97" t="s">
        <v>66</v>
      </c>
      <c r="C5" s="97"/>
      <c r="D5" s="100"/>
    </row>
    <row r="6" spans="1:54" ht="13.5" thickBot="1" x14ac:dyDescent="0.25">
      <c r="B6" s="108"/>
      <c r="C6" s="97"/>
      <c r="D6" s="187"/>
    </row>
    <row r="7" spans="1:54" ht="18.75" thickTop="1" x14ac:dyDescent="0.25">
      <c r="B7" s="191"/>
      <c r="C7" s="193"/>
      <c r="D7" s="195" t="s">
        <v>25</v>
      </c>
      <c r="E7" s="195" t="s">
        <v>235</v>
      </c>
      <c r="F7" s="197" t="s">
        <v>236</v>
      </c>
      <c r="BA7" s="97"/>
      <c r="BB7" s="97"/>
    </row>
    <row r="8" spans="1:54" x14ac:dyDescent="0.2">
      <c r="B8" s="198" t="s">
        <v>74</v>
      </c>
      <c r="C8" s="199" t="s">
        <v>238</v>
      </c>
      <c r="D8" s="200"/>
      <c r="E8" s="201" t="s">
        <v>239</v>
      </c>
      <c r="F8" s="202" t="s">
        <v>240</v>
      </c>
      <c r="BA8" s="97"/>
      <c r="BB8" s="97"/>
    </row>
    <row r="9" spans="1:54" ht="13.5" thickBot="1" x14ac:dyDescent="0.25">
      <c r="B9" s="198"/>
      <c r="C9" s="204" t="s">
        <v>242</v>
      </c>
      <c r="D9" s="205"/>
      <c r="E9" s="204" t="s">
        <v>243</v>
      </c>
      <c r="F9" s="210" t="s">
        <v>243</v>
      </c>
      <c r="BA9" s="97"/>
      <c r="BB9" s="97"/>
    </row>
    <row r="10" spans="1:54" ht="21.95" customHeight="1" x14ac:dyDescent="0.2">
      <c r="B10" s="189" t="s">
        <v>244</v>
      </c>
      <c r="C10" s="207">
        <v>100</v>
      </c>
      <c r="D10" s="208" t="s">
        <v>245</v>
      </c>
      <c r="E10" s="302">
        <f>('1415TRU09_EMP_P13'!E23*-1)</f>
        <v>0</v>
      </c>
      <c r="F10" s="304"/>
    </row>
    <row r="11" spans="1:54" ht="21.95" customHeight="1" x14ac:dyDescent="0.2">
      <c r="B11" s="213" t="s">
        <v>246</v>
      </c>
      <c r="C11" s="218">
        <v>110</v>
      </c>
      <c r="D11" s="219" t="s">
        <v>245</v>
      </c>
      <c r="E11" s="300">
        <f>('1415TRU06_EXP_P13'!E62*-1)</f>
        <v>0</v>
      </c>
      <c r="F11" s="298"/>
    </row>
    <row r="12" spans="1:54" ht="21.95" customHeight="1" x14ac:dyDescent="0.2">
      <c r="B12" s="213" t="s">
        <v>247</v>
      </c>
      <c r="C12" s="218">
        <v>120</v>
      </c>
      <c r="D12" s="217" t="s">
        <v>248</v>
      </c>
      <c r="E12" s="300">
        <f>'1415TRU05_REV_P13'!E25</f>
        <v>0</v>
      </c>
      <c r="F12" s="298"/>
    </row>
    <row r="13" spans="1:54" ht="21.95" customHeight="1" x14ac:dyDescent="0.2">
      <c r="B13" s="213" t="s">
        <v>249</v>
      </c>
      <c r="C13" s="218">
        <v>130</v>
      </c>
      <c r="D13" s="219" t="s">
        <v>248</v>
      </c>
      <c r="E13" s="300">
        <f>'1415TRU05_REV_P13'!E49</f>
        <v>0</v>
      </c>
      <c r="F13" s="298"/>
    </row>
    <row r="14" spans="1:54" ht="21.95" customHeight="1" x14ac:dyDescent="0.2">
      <c r="B14" s="226" t="s">
        <v>250</v>
      </c>
      <c r="C14" s="218">
        <v>140</v>
      </c>
      <c r="D14" s="219" t="s">
        <v>251</v>
      </c>
      <c r="E14" s="224">
        <f>SUM(E10:E13)</f>
        <v>0</v>
      </c>
      <c r="F14" s="299">
        <f>SUM(F10:F13)</f>
        <v>0</v>
      </c>
    </row>
    <row r="15" spans="1:54" ht="21.95" customHeight="1" x14ac:dyDescent="0.2">
      <c r="B15" s="213" t="s">
        <v>111</v>
      </c>
      <c r="C15" s="218">
        <v>150</v>
      </c>
      <c r="D15" s="219" t="s">
        <v>248</v>
      </c>
      <c r="E15" s="300">
        <f>'1415TRU11_IGF_P13'!E23</f>
        <v>0</v>
      </c>
      <c r="F15" s="298"/>
    </row>
    <row r="16" spans="1:54" ht="21.95" customHeight="1" x14ac:dyDescent="0.2">
      <c r="B16" s="213" t="s">
        <v>112</v>
      </c>
      <c r="C16" s="218">
        <v>160</v>
      </c>
      <c r="D16" s="219" t="s">
        <v>251</v>
      </c>
      <c r="E16" s="300">
        <f>'1415TRU11_IGF_P13'!E48</f>
        <v>0</v>
      </c>
      <c r="F16" s="298"/>
    </row>
    <row r="17" spans="1:6" ht="21.95" customHeight="1" x14ac:dyDescent="0.2">
      <c r="B17" s="213" t="s">
        <v>113</v>
      </c>
      <c r="C17" s="218">
        <v>170</v>
      </c>
      <c r="D17" s="219" t="s">
        <v>245</v>
      </c>
      <c r="E17" s="300">
        <f>('1415TRU11_IGF_P13'!E69*-1)</f>
        <v>0</v>
      </c>
      <c r="F17" s="298"/>
    </row>
    <row r="18" spans="1:6" ht="21.95" customHeight="1" x14ac:dyDescent="0.2">
      <c r="B18" s="226" t="s">
        <v>252</v>
      </c>
      <c r="C18" s="218">
        <v>180</v>
      </c>
      <c r="D18" s="219" t="s">
        <v>251</v>
      </c>
      <c r="E18" s="224">
        <f>SUM(E14:E17)</f>
        <v>0</v>
      </c>
      <c r="F18" s="299">
        <f>SUM(F14:F17)</f>
        <v>0</v>
      </c>
    </row>
    <row r="19" spans="1:6" ht="21.95" customHeight="1" x14ac:dyDescent="0.2">
      <c r="B19" s="213" t="s">
        <v>253</v>
      </c>
      <c r="C19" s="218">
        <v>190</v>
      </c>
      <c r="D19" s="219" t="s">
        <v>245</v>
      </c>
      <c r="E19" s="228"/>
      <c r="F19" s="298"/>
    </row>
    <row r="20" spans="1:6" ht="21.95" customHeight="1" x14ac:dyDescent="0.2">
      <c r="B20" s="231" t="s">
        <v>254</v>
      </c>
      <c r="C20" s="218">
        <v>191</v>
      </c>
      <c r="D20" s="219" t="s">
        <v>248</v>
      </c>
      <c r="E20" s="228"/>
      <c r="F20" s="298"/>
    </row>
    <row r="21" spans="1:6" ht="21.95" customHeight="1" x14ac:dyDescent="0.2">
      <c r="B21" s="231" t="s">
        <v>255</v>
      </c>
      <c r="C21" s="218">
        <v>192</v>
      </c>
      <c r="D21" s="219" t="s">
        <v>245</v>
      </c>
      <c r="E21" s="228"/>
      <c r="F21" s="298"/>
    </row>
    <row r="22" spans="1:6" ht="30" customHeight="1" x14ac:dyDescent="0.2">
      <c r="B22" s="336" t="s">
        <v>256</v>
      </c>
      <c r="C22" s="234">
        <v>195</v>
      </c>
      <c r="D22" s="237" t="s">
        <v>251</v>
      </c>
      <c r="E22" s="239">
        <f>SUM(E20:E21)</f>
        <v>0</v>
      </c>
      <c r="F22" s="299">
        <f>SUM(F20:F21)</f>
        <v>0</v>
      </c>
    </row>
    <row r="23" spans="1:6" ht="21.95" customHeight="1" thickBot="1" x14ac:dyDescent="0.25">
      <c r="B23" s="233" t="s">
        <v>257</v>
      </c>
      <c r="C23" s="236">
        <v>200</v>
      </c>
      <c r="D23" s="238" t="s">
        <v>251</v>
      </c>
      <c r="E23" s="240">
        <f>SUM(E18:E19)+E22</f>
        <v>0</v>
      </c>
      <c r="F23" s="301">
        <f>SUM(F18:F19)+F22</f>
        <v>0</v>
      </c>
    </row>
    <row r="24" spans="1:6" ht="13.5" hidden="1" thickTop="1" x14ac:dyDescent="0.2">
      <c r="D24" s="100"/>
    </row>
    <row r="25" spans="1:6" ht="13.5" hidden="1" thickTop="1" x14ac:dyDescent="0.2"/>
    <row r="26" spans="1:6" ht="13.5" hidden="1" thickTop="1" x14ac:dyDescent="0.2">
      <c r="A26" s="99"/>
      <c r="C26" s="97"/>
      <c r="D26" s="108"/>
    </row>
    <row r="27" spans="1:6" ht="13.5" hidden="1" thickTop="1" x14ac:dyDescent="0.2">
      <c r="A27" s="98"/>
      <c r="B27" s="97" t="s">
        <v>258</v>
      </c>
    </row>
    <row r="28" spans="1:6" ht="13.5" hidden="1" thickTop="1" x14ac:dyDescent="0.2">
      <c r="A28" s="157"/>
      <c r="B28" t="s">
        <v>254</v>
      </c>
      <c r="C28" s="172">
        <v>222</v>
      </c>
      <c r="D28" s="157" t="s">
        <v>248</v>
      </c>
    </row>
    <row r="29" spans="1:6" ht="13.5" hidden="1" thickTop="1" x14ac:dyDescent="0.2">
      <c r="A29" s="157"/>
      <c r="B29" t="s">
        <v>255</v>
      </c>
      <c r="C29" s="172">
        <v>224</v>
      </c>
      <c r="D29" s="157" t="s">
        <v>245</v>
      </c>
    </row>
    <row r="30" spans="1:6" ht="13.5" hidden="1" thickTop="1" x14ac:dyDescent="0.2">
      <c r="A30" s="157"/>
      <c r="B30" s="97" t="s">
        <v>256</v>
      </c>
      <c r="C30" s="172">
        <v>226</v>
      </c>
      <c r="D30" s="157" t="s">
        <v>251</v>
      </c>
    </row>
    <row r="31" spans="1:6" ht="13.5" hidden="1" thickTop="1" x14ac:dyDescent="0.2"/>
    <row r="32" spans="1:6" ht="13.5" hidden="1" thickTop="1" x14ac:dyDescent="0.2"/>
    <row r="33" spans="1:6" ht="14.25" thickTop="1" thickBot="1" x14ac:dyDescent="0.25"/>
    <row r="34" spans="1:6" ht="13.5" thickTop="1" x14ac:dyDescent="0.2">
      <c r="B34" s="242"/>
      <c r="C34" s="193"/>
      <c r="D34" s="195" t="s">
        <v>25</v>
      </c>
      <c r="E34" s="195" t="s">
        <v>235</v>
      </c>
      <c r="F34" s="197" t="s">
        <v>236</v>
      </c>
    </row>
    <row r="35" spans="1:6" x14ac:dyDescent="0.2">
      <c r="B35" s="198" t="s">
        <v>77</v>
      </c>
      <c r="C35" s="199" t="s">
        <v>238</v>
      </c>
      <c r="D35" s="200"/>
      <c r="E35" s="201" t="s">
        <v>239</v>
      </c>
      <c r="F35" s="202" t="s">
        <v>240</v>
      </c>
    </row>
    <row r="36" spans="1:6" ht="13.5" thickBot="1" x14ac:dyDescent="0.25">
      <c r="B36" s="198"/>
      <c r="C36" s="204" t="s">
        <v>242</v>
      </c>
      <c r="D36" s="205"/>
      <c r="E36" s="204" t="s">
        <v>243</v>
      </c>
      <c r="F36" s="210" t="s">
        <v>243</v>
      </c>
    </row>
    <row r="37" spans="1:6" ht="27" customHeight="1" x14ac:dyDescent="0.2">
      <c r="B37" s="243" t="s">
        <v>259</v>
      </c>
      <c r="C37" s="207">
        <v>250</v>
      </c>
      <c r="D37" s="208" t="s">
        <v>251</v>
      </c>
      <c r="E37" s="302">
        <f>'1415TRU03_STE_P13'!H25</f>
        <v>0</v>
      </c>
      <c r="F37" s="304"/>
    </row>
    <row r="38" spans="1:6" ht="27" customHeight="1" x14ac:dyDescent="0.2">
      <c r="B38" s="245" t="s">
        <v>260</v>
      </c>
      <c r="C38" s="218">
        <v>260</v>
      </c>
      <c r="D38" s="219" t="s">
        <v>251</v>
      </c>
      <c r="E38" s="300">
        <f>'1415TRU03_STE_P13'!J21</f>
        <v>0</v>
      </c>
      <c r="F38" s="298"/>
    </row>
    <row r="39" spans="1:6" ht="21.95" customHeight="1" x14ac:dyDescent="0.2">
      <c r="B39" s="231" t="s">
        <v>261</v>
      </c>
      <c r="C39" s="218">
        <v>270</v>
      </c>
      <c r="D39" s="219" t="s">
        <v>251</v>
      </c>
      <c r="E39" s="300">
        <f>'1415TRU03_STE_P13'!J22</f>
        <v>0</v>
      </c>
      <c r="F39" s="298"/>
    </row>
    <row r="40" spans="1:6" ht="21.95" customHeight="1" x14ac:dyDescent="0.2">
      <c r="B40" s="231" t="s">
        <v>262</v>
      </c>
      <c r="C40" s="218">
        <v>280</v>
      </c>
      <c r="D40" s="219" t="s">
        <v>251</v>
      </c>
      <c r="E40" s="300">
        <f>'1415TRU03_STE_P13'!J23</f>
        <v>0</v>
      </c>
      <c r="F40" s="298"/>
    </row>
    <row r="41" spans="1:6" ht="21.95" customHeight="1" x14ac:dyDescent="0.2">
      <c r="B41" s="246" t="s">
        <v>263</v>
      </c>
      <c r="C41" s="218">
        <v>290</v>
      </c>
      <c r="D41" s="219" t="s">
        <v>251</v>
      </c>
      <c r="E41" s="300">
        <f>'1415TRU03_STE_P13'!J26</f>
        <v>0</v>
      </c>
      <c r="F41" s="298"/>
    </row>
    <row r="42" spans="1:6" ht="27" customHeight="1" x14ac:dyDescent="0.2">
      <c r="B42" s="244" t="s">
        <v>264</v>
      </c>
      <c r="C42" s="218">
        <v>300</v>
      </c>
      <c r="D42" s="219" t="s">
        <v>251</v>
      </c>
      <c r="E42" s="300">
        <f>'1415TRU03_STE_P13'!J24</f>
        <v>0</v>
      </c>
      <c r="F42" s="305"/>
    </row>
    <row r="43" spans="1:6" hidden="1" x14ac:dyDescent="0.2">
      <c r="A43" s="105"/>
      <c r="B43" s="108" t="s">
        <v>265</v>
      </c>
      <c r="C43" s="172">
        <v>305</v>
      </c>
      <c r="D43" s="247" t="s">
        <v>251</v>
      </c>
    </row>
    <row r="44" spans="1:6" ht="21.95" customHeight="1" x14ac:dyDescent="0.2">
      <c r="B44" s="254" t="s">
        <v>266</v>
      </c>
      <c r="C44" s="251">
        <v>310</v>
      </c>
      <c r="D44" s="252" t="s">
        <v>251</v>
      </c>
      <c r="E44" s="306">
        <f>'1415TRU03_STE_P13'!J43</f>
        <v>0</v>
      </c>
      <c r="F44" s="307"/>
    </row>
    <row r="45" spans="1:6" ht="21.95" customHeight="1" x14ac:dyDescent="0.2">
      <c r="B45" s="213" t="s">
        <v>267</v>
      </c>
      <c r="C45" s="218">
        <v>315</v>
      </c>
      <c r="D45" s="217" t="s">
        <v>251</v>
      </c>
      <c r="E45" s="300">
        <f>'1415TRU03_STE_P13'!J44</f>
        <v>0</v>
      </c>
      <c r="F45" s="298"/>
    </row>
    <row r="46" spans="1:6" ht="21.95" customHeight="1" x14ac:dyDescent="0.2">
      <c r="B46" s="226" t="s">
        <v>268</v>
      </c>
      <c r="C46" s="256"/>
      <c r="D46" s="257"/>
      <c r="E46" s="258"/>
      <c r="F46" s="259"/>
    </row>
    <row r="47" spans="1:6" ht="21.95" customHeight="1" x14ac:dyDescent="0.2">
      <c r="B47" s="188" t="s">
        <v>269</v>
      </c>
      <c r="C47" s="199">
        <v>320</v>
      </c>
      <c r="D47" s="132" t="s">
        <v>251</v>
      </c>
      <c r="E47" s="303">
        <f>'1415TRU03_STE_P13'!J34</f>
        <v>0</v>
      </c>
      <c r="F47" s="307"/>
    </row>
    <row r="48" spans="1:6" ht="30" customHeight="1" thickBot="1" x14ac:dyDescent="0.25">
      <c r="B48" s="1096" t="s">
        <v>270</v>
      </c>
      <c r="C48" s="236">
        <v>330</v>
      </c>
      <c r="D48" s="238" t="s">
        <v>251</v>
      </c>
      <c r="E48" s="240">
        <f>E23+SUM(E37:E47)</f>
        <v>0</v>
      </c>
      <c r="F48" s="301">
        <f>F23+SUM(F37:F47)</f>
        <v>0</v>
      </c>
    </row>
    <row r="49" spans="2:54" ht="13.5" thickTop="1" x14ac:dyDescent="0.2">
      <c r="C49" s="97"/>
      <c r="D49" s="100"/>
    </row>
    <row r="50" spans="2:54" ht="13.5" thickBot="1" x14ac:dyDescent="0.25">
      <c r="D50" s="100"/>
      <c r="BA50" s="97"/>
      <c r="BB50" s="97"/>
    </row>
    <row r="51" spans="2:54" ht="13.5" thickTop="1" x14ac:dyDescent="0.2">
      <c r="B51" s="261"/>
      <c r="C51" s="262"/>
      <c r="D51" s="195" t="s">
        <v>25</v>
      </c>
      <c r="E51" s="195" t="s">
        <v>235</v>
      </c>
      <c r="F51" s="197" t="s">
        <v>236</v>
      </c>
      <c r="BA51" s="97"/>
      <c r="BB51" s="97"/>
    </row>
    <row r="52" spans="2:54" x14ac:dyDescent="0.2">
      <c r="B52" s="264" t="s">
        <v>79</v>
      </c>
      <c r="C52" s="199" t="s">
        <v>238</v>
      </c>
      <c r="D52" s="200"/>
      <c r="E52" s="201" t="s">
        <v>239</v>
      </c>
      <c r="F52" s="202" t="s">
        <v>240</v>
      </c>
      <c r="BA52" s="97"/>
      <c r="BB52" s="97"/>
    </row>
    <row r="53" spans="2:54" ht="13.5" thickBot="1" x14ac:dyDescent="0.25">
      <c r="B53" s="264"/>
      <c r="C53" s="204" t="s">
        <v>242</v>
      </c>
      <c r="D53" s="205"/>
      <c r="E53" s="204" t="s">
        <v>243</v>
      </c>
      <c r="F53" s="210" t="s">
        <v>243</v>
      </c>
      <c r="BA53" s="97"/>
      <c r="BB53" s="97"/>
    </row>
    <row r="54" spans="2:54" ht="21.95" customHeight="1" x14ac:dyDescent="0.2">
      <c r="B54" s="189" t="s">
        <v>271</v>
      </c>
      <c r="C54" s="207">
        <v>350</v>
      </c>
      <c r="D54" s="206" t="s">
        <v>251</v>
      </c>
      <c r="E54" s="209">
        <f>E23</f>
        <v>0</v>
      </c>
      <c r="F54" s="304"/>
    </row>
    <row r="55" spans="2:54" ht="27" customHeight="1" x14ac:dyDescent="0.2">
      <c r="B55" s="266" t="s">
        <v>272</v>
      </c>
      <c r="C55" s="218">
        <v>355</v>
      </c>
      <c r="D55" s="219" t="s">
        <v>251</v>
      </c>
      <c r="E55" s="220">
        <f>E81</f>
        <v>0</v>
      </c>
      <c r="F55" s="298"/>
    </row>
    <row r="56" spans="2:54" ht="21.95" customHeight="1" x14ac:dyDescent="0.2">
      <c r="B56" s="213" t="s">
        <v>273</v>
      </c>
      <c r="C56" s="218">
        <v>356</v>
      </c>
      <c r="D56" s="217" t="s">
        <v>251</v>
      </c>
      <c r="E56" s="300">
        <f>('1415TRU20_PFI_P13'!F150+'1415TRU20_PFI_P13'!F151)</f>
        <v>0</v>
      </c>
      <c r="F56" s="298"/>
    </row>
    <row r="57" spans="2:54" ht="21.95" customHeight="1" x14ac:dyDescent="0.2">
      <c r="B57" s="213" t="s">
        <v>274</v>
      </c>
      <c r="C57" s="218">
        <v>357</v>
      </c>
      <c r="D57" s="217" t="s">
        <v>251</v>
      </c>
      <c r="E57" s="300">
        <f>('1415TRU20_PFI_P13'!F157-E56)</f>
        <v>0</v>
      </c>
      <c r="F57" s="298"/>
    </row>
    <row r="58" spans="2:54" ht="21.95" customHeight="1" x14ac:dyDescent="0.2">
      <c r="B58" s="213" t="s">
        <v>275</v>
      </c>
      <c r="C58" s="218">
        <v>360</v>
      </c>
      <c r="D58" s="217" t="s">
        <v>251</v>
      </c>
      <c r="E58" s="220">
        <f>IF(E57&lt;0,(0+E56),E56+E57)</f>
        <v>0</v>
      </c>
      <c r="F58" s="298"/>
    </row>
    <row r="59" spans="2:54" ht="27" customHeight="1" x14ac:dyDescent="0.2">
      <c r="B59" s="245" t="s">
        <v>276</v>
      </c>
      <c r="C59" s="218">
        <v>370</v>
      </c>
      <c r="D59" s="217" t="s">
        <v>251</v>
      </c>
      <c r="E59" s="300">
        <f>('1415TRU14_IMP_P13'!E105-E56)</f>
        <v>0</v>
      </c>
      <c r="F59" s="298"/>
    </row>
    <row r="60" spans="2:54" ht="27" customHeight="1" x14ac:dyDescent="0.2">
      <c r="B60" s="245" t="s">
        <v>277</v>
      </c>
      <c r="C60" s="218">
        <v>380</v>
      </c>
      <c r="D60" s="217" t="s">
        <v>251</v>
      </c>
      <c r="E60" s="300">
        <v>0</v>
      </c>
      <c r="F60" s="298"/>
    </row>
    <row r="61" spans="2:54" ht="21.95" customHeight="1" x14ac:dyDescent="0.2">
      <c r="B61" s="266" t="s">
        <v>278</v>
      </c>
      <c r="C61" s="234">
        <v>385</v>
      </c>
      <c r="D61" s="267" t="s">
        <v>251</v>
      </c>
      <c r="E61" s="268">
        <f>E22*-1</f>
        <v>0</v>
      </c>
      <c r="F61" s="298"/>
    </row>
    <row r="62" spans="2:54" ht="21.95" customHeight="1" thickBot="1" x14ac:dyDescent="0.25">
      <c r="B62" s="233" t="s">
        <v>279</v>
      </c>
      <c r="C62" s="236">
        <v>390</v>
      </c>
      <c r="D62" s="235" t="s">
        <v>251</v>
      </c>
      <c r="E62" s="269">
        <f>SUM(E54+E55+E58+E59+E60+E61)</f>
        <v>0</v>
      </c>
      <c r="F62" s="308"/>
    </row>
    <row r="63" spans="2:54" ht="26.25" thickTop="1" x14ac:dyDescent="0.2">
      <c r="B63" s="180" t="s">
        <v>280</v>
      </c>
      <c r="E63" s="180"/>
      <c r="F63" s="179"/>
    </row>
    <row r="64" spans="2:54" x14ac:dyDescent="0.2">
      <c r="B64" s="180"/>
      <c r="E64" s="180"/>
      <c r="F64" s="272"/>
    </row>
    <row r="65" spans="2:6" hidden="1" x14ac:dyDescent="0.2">
      <c r="B65" t="s">
        <v>281</v>
      </c>
    </row>
    <row r="66" spans="2:6" hidden="1" x14ac:dyDescent="0.2"/>
    <row r="67" spans="2:6" ht="13.5" hidden="1" thickBot="1" x14ac:dyDescent="0.25"/>
    <row r="68" spans="2:6" ht="13.5" hidden="1" thickTop="1" x14ac:dyDescent="0.2">
      <c r="B68" s="273"/>
      <c r="C68" s="274"/>
      <c r="D68" s="274" t="s">
        <v>25</v>
      </c>
      <c r="E68" s="275" t="s">
        <v>235</v>
      </c>
      <c r="F68" s="276" t="s">
        <v>236</v>
      </c>
    </row>
    <row r="69" spans="2:6" ht="25.5" hidden="1" x14ac:dyDescent="0.2">
      <c r="B69" s="130" t="s">
        <v>282</v>
      </c>
      <c r="C69" s="199" t="s">
        <v>238</v>
      </c>
      <c r="D69" s="199"/>
      <c r="E69" s="201" t="s">
        <v>283</v>
      </c>
      <c r="F69" s="277" t="s">
        <v>284</v>
      </c>
    </row>
    <row r="70" spans="2:6" ht="13.5" hidden="1" thickBot="1" x14ac:dyDescent="0.25">
      <c r="B70" s="150"/>
      <c r="C70" s="204" t="s">
        <v>242</v>
      </c>
      <c r="D70" s="204"/>
      <c r="E70" s="278" t="s">
        <v>243</v>
      </c>
      <c r="F70" s="279" t="s">
        <v>243</v>
      </c>
    </row>
    <row r="71" spans="2:6" ht="27" hidden="1" customHeight="1" x14ac:dyDescent="0.2">
      <c r="B71" s="1097" t="s">
        <v>285</v>
      </c>
      <c r="C71" s="207">
        <v>400</v>
      </c>
      <c r="D71" s="208" t="s">
        <v>251</v>
      </c>
      <c r="E71" s="309">
        <f>'1314TRU01_CNE_P16'!F72</f>
        <v>0</v>
      </c>
      <c r="F71" s="282"/>
    </row>
    <row r="72" spans="2:6" ht="27" hidden="1" customHeight="1" thickBot="1" x14ac:dyDescent="0.25">
      <c r="B72" s="1087" t="s">
        <v>286</v>
      </c>
      <c r="C72" s="289">
        <v>410</v>
      </c>
      <c r="D72" s="290" t="s">
        <v>251</v>
      </c>
      <c r="E72" s="291"/>
      <c r="F72" s="292" t="e">
        <f>E71+E19-#REF!</f>
        <v>#REF!</v>
      </c>
    </row>
    <row r="73" spans="2:6" ht="13.5" hidden="1" thickTop="1" x14ac:dyDescent="0.2"/>
    <row r="74" spans="2:6" hidden="1" x14ac:dyDescent="0.2"/>
    <row r="75" spans="2:6" ht="13.5" hidden="1" thickBot="1" x14ac:dyDescent="0.25"/>
    <row r="76" spans="2:6" ht="13.5" hidden="1" thickTop="1" x14ac:dyDescent="0.2">
      <c r="B76" s="190"/>
      <c r="C76" s="195"/>
      <c r="D76" s="195" t="s">
        <v>25</v>
      </c>
      <c r="E76" s="293" t="s">
        <v>235</v>
      </c>
    </row>
    <row r="77" spans="2:6" x14ac:dyDescent="0.2">
      <c r="B77" s="198" t="s">
        <v>287</v>
      </c>
      <c r="C77" s="199" t="s">
        <v>238</v>
      </c>
      <c r="D77" s="199"/>
      <c r="E77" s="202" t="s">
        <v>239</v>
      </c>
    </row>
    <row r="78" spans="2:6" ht="13.5" thickBot="1" x14ac:dyDescent="0.25">
      <c r="B78" s="188"/>
      <c r="C78" s="204" t="s">
        <v>242</v>
      </c>
      <c r="D78" s="204"/>
      <c r="E78" s="202" t="s">
        <v>243</v>
      </c>
    </row>
    <row r="79" spans="2:6" ht="21.95" customHeight="1" x14ac:dyDescent="0.2">
      <c r="B79" s="189" t="s">
        <v>288</v>
      </c>
      <c r="C79" s="207">
        <v>450</v>
      </c>
      <c r="D79" s="208" t="s">
        <v>251</v>
      </c>
      <c r="E79" s="295"/>
    </row>
    <row r="80" spans="2:6" ht="21.95" customHeight="1" x14ac:dyDescent="0.2">
      <c r="B80" s="213" t="s">
        <v>289</v>
      </c>
      <c r="C80" s="234">
        <v>460</v>
      </c>
      <c r="D80" s="267" t="s">
        <v>251</v>
      </c>
      <c r="E80" s="297"/>
    </row>
    <row r="81" spans="2:5" ht="21.95" customHeight="1" thickBot="1" x14ac:dyDescent="0.25">
      <c r="B81" s="233" t="s">
        <v>290</v>
      </c>
      <c r="C81" s="236">
        <v>470</v>
      </c>
      <c r="D81" s="238" t="s">
        <v>251</v>
      </c>
      <c r="E81" s="241">
        <f>SUM(E79+E80)</f>
        <v>0</v>
      </c>
    </row>
    <row r="82" spans="2:5" ht="13.5" thickTop="1" x14ac:dyDescent="0.2"/>
  </sheetData>
  <sheetProtection password="AEBB" sheet="1" objects="1" scenarios="1" selectLockedCells="1" selectUnlockedCells="1"/>
  <dataValidations count="2">
    <dataValidation type="decimal" allowBlank="1" showErrorMessage="1" errorTitle="Number Only" error="Error : This cell can only accept a numeric value with a max of 12 digits." sqref="O1 E81 F72 E71 E54:F62 E47:E48 F46:F48 E44:F45 A43 E37:F42 E22:E23 F19:F23 E10:F18 BB1 X1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79:E80 E19:E21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73" orientation="landscape" horizontalDpi="90" verticalDpi="90" r:id="rId1"/>
  <rowBreaks count="1" manualBreakCount="1">
    <brk id="49" max="5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CH270"/>
  <sheetViews>
    <sheetView zoomScale="70" zoomScaleNormal="70" workbookViewId="0"/>
  </sheetViews>
  <sheetFormatPr defaultRowHeight="12.75" x14ac:dyDescent="0.2"/>
  <sheetData>
    <row r="1" spans="1:86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6" x14ac:dyDescent="0.2">
      <c r="A2" t="s">
        <v>3727</v>
      </c>
    </row>
    <row r="3" spans="1:86" x14ac:dyDescent="0.2">
      <c r="A3" t="s">
        <v>3775</v>
      </c>
    </row>
    <row r="4" spans="1:86" x14ac:dyDescent="0.2">
      <c r="B4" t="s">
        <v>1442</v>
      </c>
    </row>
    <row r="5" spans="1:86" x14ac:dyDescent="0.2">
      <c r="B5" t="s">
        <v>66</v>
      </c>
      <c r="CA5" t="s">
        <v>230</v>
      </c>
      <c r="CB5">
        <f>0</f>
        <v>0</v>
      </c>
    </row>
    <row r="6" spans="1:86" x14ac:dyDescent="0.2">
      <c r="E6" t="s">
        <v>1320</v>
      </c>
      <c r="AC6" t="s">
        <v>1443</v>
      </c>
      <c r="CA6" t="s">
        <v>231</v>
      </c>
      <c r="CB6" t="s">
        <v>232</v>
      </c>
      <c r="CC6" t="s">
        <v>1444</v>
      </c>
      <c r="CD6" t="s">
        <v>1445</v>
      </c>
      <c r="CE6" t="s">
        <v>1446</v>
      </c>
      <c r="CF6" t="s">
        <v>1318</v>
      </c>
      <c r="CG6" t="s">
        <v>1447</v>
      </c>
      <c r="CH6" t="s">
        <v>1448</v>
      </c>
    </row>
    <row r="7" spans="1:86" x14ac:dyDescent="0.2">
      <c r="D7" t="s">
        <v>25</v>
      </c>
      <c r="E7" t="s">
        <v>235</v>
      </c>
      <c r="F7" t="s">
        <v>236</v>
      </c>
      <c r="H7" t="s">
        <v>294</v>
      </c>
      <c r="I7" t="s">
        <v>298</v>
      </c>
      <c r="V7" t="s">
        <v>580</v>
      </c>
      <c r="AC7" t="s">
        <v>823</v>
      </c>
      <c r="AD7" t="s">
        <v>824</v>
      </c>
      <c r="AE7" t="s">
        <v>825</v>
      </c>
      <c r="AF7" t="s">
        <v>826</v>
      </c>
      <c r="AG7" t="s">
        <v>827</v>
      </c>
      <c r="AH7" t="s">
        <v>828</v>
      </c>
      <c r="AI7" t="s">
        <v>829</v>
      </c>
      <c r="AJ7" t="s">
        <v>830</v>
      </c>
      <c r="AK7" t="s">
        <v>831</v>
      </c>
      <c r="AL7" t="s">
        <v>1323</v>
      </c>
      <c r="AM7" t="s">
        <v>1324</v>
      </c>
      <c r="BC7" t="s">
        <v>237</v>
      </c>
      <c r="CG7">
        <f>SUM(CG8:CG120)</f>
        <v>0</v>
      </c>
    </row>
    <row r="8" spans="1:86" x14ac:dyDescent="0.2">
      <c r="C8" t="s">
        <v>238</v>
      </c>
      <c r="E8" t="s">
        <v>799</v>
      </c>
      <c r="F8" t="s">
        <v>1328</v>
      </c>
      <c r="H8" t="s">
        <v>302</v>
      </c>
      <c r="V8" t="s">
        <v>1033</v>
      </c>
      <c r="AC8" t="s">
        <v>1005</v>
      </c>
      <c r="AD8" t="s">
        <v>1006</v>
      </c>
      <c r="AE8" t="s">
        <v>1007</v>
      </c>
      <c r="AF8" t="s">
        <v>590</v>
      </c>
      <c r="AG8" t="s">
        <v>1008</v>
      </c>
      <c r="AH8" t="s">
        <v>1265</v>
      </c>
      <c r="AI8" t="s">
        <v>1266</v>
      </c>
      <c r="AJ8" t="s">
        <v>1267</v>
      </c>
      <c r="AK8" t="s">
        <v>599</v>
      </c>
      <c r="AL8" t="s">
        <v>1268</v>
      </c>
      <c r="AM8" t="s">
        <v>1269</v>
      </c>
      <c r="BC8" t="s">
        <v>241</v>
      </c>
    </row>
    <row r="9" spans="1:86" x14ac:dyDescent="0.2">
      <c r="B9" t="s">
        <v>322</v>
      </c>
      <c r="C9" t="s">
        <v>242</v>
      </c>
      <c r="E9" t="s">
        <v>243</v>
      </c>
      <c r="F9" t="s">
        <v>243</v>
      </c>
      <c r="H9" t="s">
        <v>243</v>
      </c>
      <c r="I9" t="s">
        <v>243</v>
      </c>
      <c r="V9" t="s">
        <v>243</v>
      </c>
      <c r="AC9" t="s">
        <v>243</v>
      </c>
      <c r="AD9" t="s">
        <v>243</v>
      </c>
      <c r="AE9" t="s">
        <v>243</v>
      </c>
      <c r="AF9" t="s">
        <v>243</v>
      </c>
      <c r="AG9" t="s">
        <v>243</v>
      </c>
      <c r="AH9" t="s">
        <v>243</v>
      </c>
      <c r="AI9" t="s">
        <v>243</v>
      </c>
      <c r="AJ9" t="s">
        <v>243</v>
      </c>
      <c r="AK9" t="s">
        <v>243</v>
      </c>
      <c r="AL9" t="s">
        <v>243</v>
      </c>
      <c r="AM9" t="s">
        <v>243</v>
      </c>
      <c r="BC9" t="s">
        <v>243</v>
      </c>
    </row>
    <row r="10" spans="1:86" x14ac:dyDescent="0.2">
      <c r="B10" t="s">
        <v>1248</v>
      </c>
    </row>
    <row r="11" spans="1:86" x14ac:dyDescent="0.2">
      <c r="B11" t="s">
        <v>1449</v>
      </c>
      <c r="C11">
        <v>100</v>
      </c>
      <c r="D11" t="s">
        <v>248</v>
      </c>
    </row>
    <row r="12" spans="1:86" x14ac:dyDescent="0.2">
      <c r="B12" t="s">
        <v>1450</v>
      </c>
      <c r="C12">
        <v>110</v>
      </c>
      <c r="D12" t="s">
        <v>248</v>
      </c>
      <c r="CC12">
        <f>SUM(E12+E13+E14+E26+E27+E28)</f>
        <v>0</v>
      </c>
      <c r="CG12">
        <f>IF(SUM(AC12:AM12)&lt;=E12,0,1)</f>
        <v>0</v>
      </c>
    </row>
    <row r="13" spans="1:86" x14ac:dyDescent="0.2">
      <c r="B13" t="s">
        <v>1451</v>
      </c>
      <c r="C13">
        <v>120</v>
      </c>
      <c r="D13" t="s">
        <v>248</v>
      </c>
      <c r="CF13">
        <f>(E13+E17+E27+E30-V13-V17-V27-V30)*-1</f>
        <v>0</v>
      </c>
      <c r="CG13">
        <f>IF(SUM(AC13:AM13)&lt;=E13,0,1)</f>
        <v>0</v>
      </c>
    </row>
    <row r="14" spans="1:86" x14ac:dyDescent="0.2">
      <c r="B14" t="s">
        <v>1452</v>
      </c>
      <c r="C14">
        <v>130</v>
      </c>
      <c r="D14" t="s">
        <v>248</v>
      </c>
      <c r="CG14">
        <f>IF(SUM(AC14:AM14)&lt;=E14,0,1)</f>
        <v>0</v>
      </c>
    </row>
    <row r="15" spans="1:86" x14ac:dyDescent="0.2">
      <c r="B15" t="s">
        <v>1453</v>
      </c>
      <c r="C15">
        <v>140</v>
      </c>
      <c r="D15" t="s">
        <v>248</v>
      </c>
    </row>
    <row r="16" spans="1:86" x14ac:dyDescent="0.2">
      <c r="B16" t="s">
        <v>1454</v>
      </c>
      <c r="C16">
        <v>150</v>
      </c>
      <c r="D16" t="s">
        <v>248</v>
      </c>
      <c r="CG16">
        <f t="shared" ref="CG16:CG23" si="0">IF(SUM(AC16:AM16)&lt;=E16,0,1)</f>
        <v>0</v>
      </c>
    </row>
    <row r="17" spans="2:85" x14ac:dyDescent="0.2">
      <c r="B17" t="s">
        <v>1455</v>
      </c>
      <c r="C17">
        <v>160</v>
      </c>
      <c r="D17" t="s">
        <v>248</v>
      </c>
      <c r="CG17">
        <f t="shared" si="0"/>
        <v>0</v>
      </c>
    </row>
    <row r="18" spans="2:85" x14ac:dyDescent="0.2">
      <c r="B18" t="s">
        <v>1456</v>
      </c>
      <c r="C18">
        <v>170</v>
      </c>
      <c r="D18" t="s">
        <v>248</v>
      </c>
      <c r="CG18">
        <f t="shared" si="0"/>
        <v>0</v>
      </c>
    </row>
    <row r="19" spans="2:85" x14ac:dyDescent="0.2">
      <c r="B19" t="s">
        <v>1457</v>
      </c>
      <c r="C19">
        <v>180</v>
      </c>
      <c r="D19" t="s">
        <v>248</v>
      </c>
      <c r="CG19">
        <f t="shared" si="0"/>
        <v>0</v>
      </c>
    </row>
    <row r="20" spans="2:85" x14ac:dyDescent="0.2">
      <c r="B20" t="s">
        <v>1339</v>
      </c>
      <c r="C20">
        <v>190</v>
      </c>
      <c r="D20" t="s">
        <v>248</v>
      </c>
      <c r="CG20">
        <f t="shared" si="0"/>
        <v>0</v>
      </c>
    </row>
    <row r="21" spans="2:85" x14ac:dyDescent="0.2">
      <c r="B21" t="s">
        <v>1459</v>
      </c>
      <c r="C21">
        <v>200</v>
      </c>
      <c r="D21" t="s">
        <v>248</v>
      </c>
      <c r="CG21">
        <f t="shared" si="0"/>
        <v>0</v>
      </c>
    </row>
    <row r="22" spans="2:85" x14ac:dyDescent="0.2">
      <c r="B22" t="s">
        <v>1460</v>
      </c>
      <c r="C22">
        <v>210</v>
      </c>
      <c r="D22" t="s">
        <v>248</v>
      </c>
      <c r="CG22">
        <f t="shared" si="0"/>
        <v>0</v>
      </c>
    </row>
    <row r="23" spans="2:85" x14ac:dyDescent="0.2">
      <c r="B23" t="s">
        <v>1461</v>
      </c>
      <c r="C23">
        <v>220</v>
      </c>
      <c r="D23" t="s">
        <v>248</v>
      </c>
      <c r="CG23">
        <f t="shared" si="0"/>
        <v>0</v>
      </c>
    </row>
    <row r="24" spans="2:85" x14ac:dyDescent="0.2">
      <c r="B24" t="s">
        <v>1462</v>
      </c>
      <c r="C24">
        <v>230</v>
      </c>
      <c r="D24" t="s">
        <v>248</v>
      </c>
    </row>
    <row r="25" spans="2:85" x14ac:dyDescent="0.2">
      <c r="B25" t="s">
        <v>1346</v>
      </c>
    </row>
    <row r="26" spans="2:85" x14ac:dyDescent="0.2">
      <c r="B26" t="s">
        <v>1450</v>
      </c>
      <c r="C26">
        <v>240</v>
      </c>
      <c r="D26" t="s">
        <v>248</v>
      </c>
      <c r="CG26">
        <f t="shared" ref="CG26:CG34" si="1">IF(SUM(AE26:AM26)&lt;=E26,0,1)</f>
        <v>0</v>
      </c>
    </row>
    <row r="27" spans="2:85" x14ac:dyDescent="0.2">
      <c r="B27" t="s">
        <v>1451</v>
      </c>
      <c r="C27">
        <v>250</v>
      </c>
      <c r="D27" t="s">
        <v>248</v>
      </c>
      <c r="CG27">
        <f t="shared" si="1"/>
        <v>0</v>
      </c>
    </row>
    <row r="28" spans="2:85" x14ac:dyDescent="0.2">
      <c r="B28" t="s">
        <v>1452</v>
      </c>
      <c r="C28">
        <v>260</v>
      </c>
      <c r="D28" t="s">
        <v>248</v>
      </c>
      <c r="CG28">
        <f t="shared" si="1"/>
        <v>0</v>
      </c>
    </row>
    <row r="29" spans="2:85" x14ac:dyDescent="0.2">
      <c r="B29" t="s">
        <v>1454</v>
      </c>
      <c r="C29">
        <v>270</v>
      </c>
      <c r="D29" t="s">
        <v>248</v>
      </c>
      <c r="CG29">
        <f t="shared" si="1"/>
        <v>0</v>
      </c>
    </row>
    <row r="30" spans="2:85" x14ac:dyDescent="0.2">
      <c r="B30" t="s">
        <v>1455</v>
      </c>
      <c r="C30">
        <v>280</v>
      </c>
      <c r="D30" t="s">
        <v>248</v>
      </c>
      <c r="CG30">
        <f t="shared" si="1"/>
        <v>0</v>
      </c>
    </row>
    <row r="31" spans="2:85" x14ac:dyDescent="0.2">
      <c r="B31" t="s">
        <v>1456</v>
      </c>
      <c r="C31">
        <v>290</v>
      </c>
      <c r="D31" t="s">
        <v>248</v>
      </c>
      <c r="CG31">
        <f t="shared" si="1"/>
        <v>0</v>
      </c>
    </row>
    <row r="32" spans="2:85" x14ac:dyDescent="0.2">
      <c r="B32" t="s">
        <v>1339</v>
      </c>
      <c r="C32">
        <v>300</v>
      </c>
      <c r="D32" t="s">
        <v>248</v>
      </c>
      <c r="CG32">
        <f t="shared" si="1"/>
        <v>0</v>
      </c>
    </row>
    <row r="33" spans="2:85" x14ac:dyDescent="0.2">
      <c r="B33" t="s">
        <v>1460</v>
      </c>
      <c r="C33">
        <v>310</v>
      </c>
      <c r="D33" t="s">
        <v>248</v>
      </c>
      <c r="CG33">
        <f t="shared" si="1"/>
        <v>0</v>
      </c>
    </row>
    <row r="34" spans="2:85" x14ac:dyDescent="0.2">
      <c r="B34" t="s">
        <v>1463</v>
      </c>
      <c r="C34">
        <v>320</v>
      </c>
      <c r="D34" t="s">
        <v>248</v>
      </c>
      <c r="CG34">
        <f t="shared" si="1"/>
        <v>0</v>
      </c>
    </row>
    <row r="35" spans="2:85" x14ac:dyDescent="0.2">
      <c r="B35" t="s">
        <v>1464</v>
      </c>
      <c r="C35">
        <v>330</v>
      </c>
      <c r="D35" t="s">
        <v>248</v>
      </c>
    </row>
    <row r="36" spans="2:85" x14ac:dyDescent="0.2">
      <c r="B36" t="s">
        <v>1465</v>
      </c>
      <c r="C36">
        <v>340</v>
      </c>
      <c r="D36" t="s">
        <v>248</v>
      </c>
      <c r="CF36">
        <f>(V36+V65+V102+V149-E36-E65-E102-E149)*-1</f>
        <v>0</v>
      </c>
    </row>
    <row r="37" spans="2:85" x14ac:dyDescent="0.2">
      <c r="B37" t="s">
        <v>1466</v>
      </c>
    </row>
    <row r="38" spans="2:85" x14ac:dyDescent="0.2">
      <c r="B38" t="s">
        <v>3006</v>
      </c>
      <c r="C38">
        <v>350</v>
      </c>
      <c r="D38" t="s">
        <v>248</v>
      </c>
    </row>
    <row r="39" spans="2:85" x14ac:dyDescent="0.2">
      <c r="B39" t="s">
        <v>3007</v>
      </c>
      <c r="C39">
        <v>360</v>
      </c>
      <c r="D39" t="s">
        <v>248</v>
      </c>
    </row>
    <row r="40" spans="2:85" x14ac:dyDescent="0.2">
      <c r="B40" t="s">
        <v>3008</v>
      </c>
      <c r="C40">
        <v>370</v>
      </c>
      <c r="D40" t="s">
        <v>248</v>
      </c>
    </row>
    <row r="41" spans="2:85" x14ac:dyDescent="0.2">
      <c r="B41" t="s">
        <v>1470</v>
      </c>
      <c r="E41" t="s">
        <v>3003</v>
      </c>
      <c r="F41" t="s">
        <v>402</v>
      </c>
      <c r="H41" t="s">
        <v>2999</v>
      </c>
      <c r="I41" t="s">
        <v>1352</v>
      </c>
    </row>
    <row r="42" spans="2:85" x14ac:dyDescent="0.2">
      <c r="B42" t="s">
        <v>1471</v>
      </c>
      <c r="C42">
        <v>380</v>
      </c>
      <c r="D42" t="s">
        <v>251</v>
      </c>
    </row>
    <row r="43" spans="2:85" x14ac:dyDescent="0.2">
      <c r="B43" t="s">
        <v>1472</v>
      </c>
      <c r="C43">
        <v>385</v>
      </c>
      <c r="D43" t="s">
        <v>251</v>
      </c>
    </row>
    <row r="44" spans="2:85" x14ac:dyDescent="0.2">
      <c r="B44" t="s">
        <v>1465</v>
      </c>
      <c r="C44">
        <v>390</v>
      </c>
      <c r="D44" t="s">
        <v>251</v>
      </c>
    </row>
    <row r="51" spans="2:55" x14ac:dyDescent="0.2">
      <c r="E51" t="s">
        <v>1320</v>
      </c>
      <c r="AC51" t="s">
        <v>1322</v>
      </c>
    </row>
    <row r="52" spans="2:55" x14ac:dyDescent="0.2">
      <c r="D52" t="s">
        <v>25</v>
      </c>
      <c r="E52" t="s">
        <v>235</v>
      </c>
      <c r="F52" t="s">
        <v>236</v>
      </c>
      <c r="H52" t="s">
        <v>294</v>
      </c>
      <c r="I52" t="s">
        <v>298</v>
      </c>
      <c r="V52" t="s">
        <v>580</v>
      </c>
      <c r="AC52" t="s">
        <v>823</v>
      </c>
      <c r="AD52" t="s">
        <v>824</v>
      </c>
      <c r="AE52" t="s">
        <v>825</v>
      </c>
      <c r="AF52" t="s">
        <v>826</v>
      </c>
      <c r="AG52" t="s">
        <v>827</v>
      </c>
      <c r="AH52" t="s">
        <v>828</v>
      </c>
      <c r="AI52" t="s">
        <v>829</v>
      </c>
      <c r="AJ52" t="s">
        <v>830</v>
      </c>
      <c r="AK52" t="s">
        <v>831</v>
      </c>
      <c r="AL52" t="s">
        <v>1323</v>
      </c>
      <c r="AM52" t="s">
        <v>1324</v>
      </c>
      <c r="BC52" t="s">
        <v>237</v>
      </c>
    </row>
    <row r="53" spans="2:55" x14ac:dyDescent="0.2">
      <c r="C53" t="s">
        <v>238</v>
      </c>
      <c r="E53" t="s">
        <v>799</v>
      </c>
      <c r="F53" t="s">
        <v>1328</v>
      </c>
      <c r="H53" t="s">
        <v>302</v>
      </c>
      <c r="V53" t="s">
        <v>1033</v>
      </c>
      <c r="AC53" t="s">
        <v>1005</v>
      </c>
      <c r="AD53" t="s">
        <v>1006</v>
      </c>
      <c r="AE53" t="s">
        <v>1007</v>
      </c>
      <c r="AF53" t="s">
        <v>590</v>
      </c>
      <c r="AG53" t="s">
        <v>1008</v>
      </c>
      <c r="AH53" t="s">
        <v>1265</v>
      </c>
      <c r="AI53" t="s">
        <v>1266</v>
      </c>
      <c r="AJ53" t="s">
        <v>1267</v>
      </c>
      <c r="AK53" t="s">
        <v>599</v>
      </c>
      <c r="AL53" t="s">
        <v>1268</v>
      </c>
      <c r="AM53" t="s">
        <v>1269</v>
      </c>
      <c r="BC53" t="s">
        <v>241</v>
      </c>
    </row>
    <row r="54" spans="2:55" x14ac:dyDescent="0.2">
      <c r="B54" t="s">
        <v>323</v>
      </c>
      <c r="C54" t="s">
        <v>242</v>
      </c>
      <c r="E54" t="s">
        <v>243</v>
      </c>
      <c r="F54" t="s">
        <v>243</v>
      </c>
      <c r="H54" t="s">
        <v>243</v>
      </c>
      <c r="I54" t="s">
        <v>243</v>
      </c>
      <c r="V54" t="s">
        <v>243</v>
      </c>
      <c r="AC54" t="s">
        <v>243</v>
      </c>
      <c r="AD54" t="s">
        <v>243</v>
      </c>
      <c r="AE54" t="s">
        <v>243</v>
      </c>
      <c r="AF54" t="s">
        <v>243</v>
      </c>
      <c r="AG54" t="s">
        <v>243</v>
      </c>
      <c r="AH54" t="s">
        <v>243</v>
      </c>
      <c r="AI54" t="s">
        <v>243</v>
      </c>
      <c r="AJ54" t="s">
        <v>243</v>
      </c>
      <c r="AK54" t="s">
        <v>243</v>
      </c>
      <c r="AL54" t="s">
        <v>243</v>
      </c>
      <c r="AM54" t="s">
        <v>243</v>
      </c>
      <c r="BC54" t="s">
        <v>243</v>
      </c>
    </row>
    <row r="55" spans="2:55" x14ac:dyDescent="0.2">
      <c r="B55" t="s">
        <v>1473</v>
      </c>
    </row>
    <row r="56" spans="2:55" x14ac:dyDescent="0.2">
      <c r="B56" t="s">
        <v>1474</v>
      </c>
      <c r="C56">
        <v>400</v>
      </c>
      <c r="D56" t="s">
        <v>248</v>
      </c>
    </row>
    <row r="57" spans="2:55" x14ac:dyDescent="0.2">
      <c r="B57" t="s">
        <v>1475</v>
      </c>
      <c r="C57">
        <v>410</v>
      </c>
      <c r="D57" t="s">
        <v>248</v>
      </c>
    </row>
    <row r="58" spans="2:55" x14ac:dyDescent="0.2">
      <c r="B58" t="s">
        <v>1476</v>
      </c>
      <c r="C58">
        <v>420</v>
      </c>
      <c r="D58" t="s">
        <v>248</v>
      </c>
    </row>
    <row r="59" spans="2:55" x14ac:dyDescent="0.2">
      <c r="B59" t="s">
        <v>1477</v>
      </c>
      <c r="C59">
        <v>430</v>
      </c>
      <c r="D59" t="s">
        <v>248</v>
      </c>
    </row>
    <row r="60" spans="2:55" x14ac:dyDescent="0.2">
      <c r="B60" t="s">
        <v>1478</v>
      </c>
    </row>
    <row r="61" spans="2:55" x14ac:dyDescent="0.2">
      <c r="B61" t="s">
        <v>1474</v>
      </c>
      <c r="C61">
        <v>440</v>
      </c>
      <c r="D61" t="s">
        <v>248</v>
      </c>
    </row>
    <row r="62" spans="2:55" x14ac:dyDescent="0.2">
      <c r="B62" t="s">
        <v>1475</v>
      </c>
      <c r="C62">
        <v>450</v>
      </c>
      <c r="D62" t="s">
        <v>248</v>
      </c>
    </row>
    <row r="63" spans="2:55" x14ac:dyDescent="0.2">
      <c r="B63" t="s">
        <v>1476</v>
      </c>
      <c r="C63">
        <v>460</v>
      </c>
      <c r="D63" t="s">
        <v>248</v>
      </c>
    </row>
    <row r="64" spans="2:55" x14ac:dyDescent="0.2">
      <c r="B64" t="s">
        <v>1477</v>
      </c>
      <c r="C64">
        <v>470</v>
      </c>
      <c r="D64" t="s">
        <v>248</v>
      </c>
    </row>
    <row r="65" spans="2:55" x14ac:dyDescent="0.2">
      <c r="B65" t="s">
        <v>1479</v>
      </c>
      <c r="C65">
        <v>480</v>
      </c>
      <c r="D65" t="s">
        <v>248</v>
      </c>
    </row>
    <row r="69" spans="2:55" x14ac:dyDescent="0.2">
      <c r="B69" t="s">
        <v>1470</v>
      </c>
      <c r="E69" t="s">
        <v>3003</v>
      </c>
      <c r="F69" t="s">
        <v>402</v>
      </c>
      <c r="H69" t="s">
        <v>2999</v>
      </c>
      <c r="I69" t="s">
        <v>1352</v>
      </c>
    </row>
    <row r="70" spans="2:55" x14ac:dyDescent="0.2">
      <c r="B70" t="s">
        <v>1480</v>
      </c>
      <c r="C70">
        <v>485</v>
      </c>
      <c r="D70" t="s">
        <v>251</v>
      </c>
    </row>
    <row r="71" spans="2:55" x14ac:dyDescent="0.2">
      <c r="B71" t="s">
        <v>1481</v>
      </c>
      <c r="C71">
        <v>490</v>
      </c>
      <c r="D71" t="s">
        <v>251</v>
      </c>
    </row>
    <row r="72" spans="2:55" x14ac:dyDescent="0.2">
      <c r="B72" t="s">
        <v>1482</v>
      </c>
      <c r="C72">
        <v>495</v>
      </c>
      <c r="D72" t="s">
        <v>251</v>
      </c>
    </row>
    <row r="76" spans="2:55" x14ac:dyDescent="0.2">
      <c r="E76" t="s">
        <v>1320</v>
      </c>
      <c r="AC76" t="s">
        <v>1322</v>
      </c>
    </row>
    <row r="77" spans="2:55" x14ac:dyDescent="0.2">
      <c r="D77" t="s">
        <v>25</v>
      </c>
      <c r="E77" t="s">
        <v>235</v>
      </c>
      <c r="F77" t="s">
        <v>236</v>
      </c>
      <c r="H77" t="s">
        <v>294</v>
      </c>
      <c r="V77" t="s">
        <v>580</v>
      </c>
      <c r="AC77" t="s">
        <v>823</v>
      </c>
      <c r="AD77" t="s">
        <v>824</v>
      </c>
      <c r="AE77" t="s">
        <v>825</v>
      </c>
      <c r="AF77" t="s">
        <v>826</v>
      </c>
      <c r="AG77" t="s">
        <v>827</v>
      </c>
      <c r="AH77" t="s">
        <v>828</v>
      </c>
      <c r="AI77" t="s">
        <v>829</v>
      </c>
      <c r="AJ77" t="s">
        <v>830</v>
      </c>
      <c r="AK77" t="s">
        <v>831</v>
      </c>
      <c r="AL77" t="s">
        <v>1323</v>
      </c>
      <c r="AM77" t="s">
        <v>1324</v>
      </c>
      <c r="BC77" t="s">
        <v>237</v>
      </c>
    </row>
    <row r="78" spans="2:55" x14ac:dyDescent="0.2">
      <c r="B78" t="s">
        <v>324</v>
      </c>
      <c r="C78" t="s">
        <v>238</v>
      </c>
      <c r="E78" t="s">
        <v>799</v>
      </c>
      <c r="F78" t="s">
        <v>1328</v>
      </c>
      <c r="H78" t="s">
        <v>302</v>
      </c>
      <c r="V78" t="s">
        <v>1033</v>
      </c>
      <c r="AC78" t="s">
        <v>1005</v>
      </c>
      <c r="AD78" t="s">
        <v>1006</v>
      </c>
      <c r="AE78" t="s">
        <v>1007</v>
      </c>
      <c r="AF78" t="s">
        <v>590</v>
      </c>
      <c r="AG78" t="s">
        <v>1008</v>
      </c>
      <c r="AH78" t="s">
        <v>1265</v>
      </c>
      <c r="AI78" t="s">
        <v>1266</v>
      </c>
      <c r="AJ78" t="s">
        <v>1267</v>
      </c>
      <c r="AK78" t="s">
        <v>599</v>
      </c>
      <c r="AL78" t="s">
        <v>1268</v>
      </c>
      <c r="AM78" t="s">
        <v>1269</v>
      </c>
      <c r="BC78" t="s">
        <v>241</v>
      </c>
    </row>
    <row r="79" spans="2:55" x14ac:dyDescent="0.2">
      <c r="C79" t="s">
        <v>242</v>
      </c>
      <c r="E79" t="s">
        <v>243</v>
      </c>
      <c r="F79" t="s">
        <v>243</v>
      </c>
      <c r="H79" t="s">
        <v>243</v>
      </c>
      <c r="V79" t="s">
        <v>243</v>
      </c>
      <c r="AC79" t="s">
        <v>243</v>
      </c>
      <c r="AD79" t="s">
        <v>243</v>
      </c>
      <c r="AE79" t="s">
        <v>243</v>
      </c>
      <c r="AF79" t="s">
        <v>243</v>
      </c>
      <c r="AG79" t="s">
        <v>243</v>
      </c>
      <c r="AH79" t="s">
        <v>243</v>
      </c>
      <c r="AI79" t="s">
        <v>243</v>
      </c>
      <c r="AJ79" t="s">
        <v>243</v>
      </c>
      <c r="AK79" t="s">
        <v>243</v>
      </c>
      <c r="AL79" t="s">
        <v>243</v>
      </c>
      <c r="AM79" t="s">
        <v>243</v>
      </c>
      <c r="BC79" t="s">
        <v>243</v>
      </c>
    </row>
    <row r="80" spans="2:55" x14ac:dyDescent="0.2">
      <c r="B80" t="s">
        <v>1248</v>
      </c>
    </row>
    <row r="81" spans="2:84" x14ac:dyDescent="0.2">
      <c r="B81" t="s">
        <v>1483</v>
      </c>
      <c r="C81">
        <v>500</v>
      </c>
      <c r="D81" t="s">
        <v>248</v>
      </c>
    </row>
    <row r="82" spans="2:84" x14ac:dyDescent="0.2">
      <c r="B82" t="s">
        <v>1484</v>
      </c>
      <c r="C82">
        <v>510</v>
      </c>
      <c r="D82" t="s">
        <v>248</v>
      </c>
    </row>
    <row r="83" spans="2:84" x14ac:dyDescent="0.2">
      <c r="B83" t="s">
        <v>1485</v>
      </c>
      <c r="C83">
        <v>520</v>
      </c>
      <c r="D83" t="s">
        <v>248</v>
      </c>
    </row>
    <row r="84" spans="2:84" x14ac:dyDescent="0.2">
      <c r="B84" t="s">
        <v>1486</v>
      </c>
      <c r="C84">
        <v>530</v>
      </c>
      <c r="D84" t="s">
        <v>248</v>
      </c>
    </row>
    <row r="85" spans="2:84" x14ac:dyDescent="0.2">
      <c r="B85" t="s">
        <v>1487</v>
      </c>
      <c r="C85">
        <v>540</v>
      </c>
      <c r="D85" t="s">
        <v>248</v>
      </c>
      <c r="CD85">
        <f>SUM(E85+E95)</f>
        <v>0</v>
      </c>
      <c r="CE85">
        <f>SUM(E87+E97)</f>
        <v>0</v>
      </c>
      <c r="CF85">
        <f>(E85+E86+E87+E88+E95+E96+E97+E98-(V85+V86+V87+V88+V95+V96+V97+V98))*-1</f>
        <v>0</v>
      </c>
    </row>
    <row r="86" spans="2:84" x14ac:dyDescent="0.2">
      <c r="B86" t="s">
        <v>1488</v>
      </c>
      <c r="C86">
        <v>550</v>
      </c>
      <c r="D86" t="s">
        <v>248</v>
      </c>
    </row>
    <row r="87" spans="2:84" x14ac:dyDescent="0.2">
      <c r="B87" t="s">
        <v>1489</v>
      </c>
      <c r="C87">
        <v>560</v>
      </c>
      <c r="D87" t="s">
        <v>248</v>
      </c>
    </row>
    <row r="88" spans="2:84" x14ac:dyDescent="0.2">
      <c r="B88" t="s">
        <v>1490</v>
      </c>
      <c r="C88">
        <v>570</v>
      </c>
      <c r="D88" t="s">
        <v>248</v>
      </c>
    </row>
    <row r="89" spans="2:84" x14ac:dyDescent="0.2">
      <c r="B89" t="s">
        <v>1491</v>
      </c>
      <c r="C89">
        <v>580</v>
      </c>
      <c r="D89" t="s">
        <v>248</v>
      </c>
    </row>
    <row r="90" spans="2:84" x14ac:dyDescent="0.2">
      <c r="B90" t="s">
        <v>1463</v>
      </c>
      <c r="C90">
        <v>590</v>
      </c>
      <c r="D90" t="s">
        <v>248</v>
      </c>
    </row>
    <row r="91" spans="2:84" x14ac:dyDescent="0.2">
      <c r="B91" t="s">
        <v>1492</v>
      </c>
      <c r="C91">
        <v>600</v>
      </c>
      <c r="D91" t="s">
        <v>248</v>
      </c>
    </row>
    <row r="92" spans="2:84" x14ac:dyDescent="0.2">
      <c r="B92" t="s">
        <v>1493</v>
      </c>
    </row>
    <row r="93" spans="2:84" x14ac:dyDescent="0.2">
      <c r="B93" t="s">
        <v>1485</v>
      </c>
      <c r="C93">
        <v>610</v>
      </c>
      <c r="D93" t="s">
        <v>248</v>
      </c>
    </row>
    <row r="94" spans="2:84" x14ac:dyDescent="0.2">
      <c r="B94" t="s">
        <v>1486</v>
      </c>
      <c r="C94">
        <v>620</v>
      </c>
      <c r="D94" t="s">
        <v>248</v>
      </c>
    </row>
    <row r="95" spans="2:84" x14ac:dyDescent="0.2">
      <c r="B95" t="s">
        <v>1487</v>
      </c>
      <c r="C95">
        <v>630</v>
      </c>
      <c r="D95" t="s">
        <v>248</v>
      </c>
    </row>
    <row r="96" spans="2:84" x14ac:dyDescent="0.2">
      <c r="B96" t="s">
        <v>1488</v>
      </c>
      <c r="C96">
        <v>640</v>
      </c>
      <c r="D96" t="s">
        <v>248</v>
      </c>
    </row>
    <row r="97" spans="2:8" x14ac:dyDescent="0.2">
      <c r="B97" t="s">
        <v>1489</v>
      </c>
      <c r="C97">
        <v>650</v>
      </c>
      <c r="D97" t="s">
        <v>248</v>
      </c>
    </row>
    <row r="98" spans="2:8" x14ac:dyDescent="0.2">
      <c r="B98" t="s">
        <v>1490</v>
      </c>
      <c r="C98">
        <v>660</v>
      </c>
      <c r="D98" t="s">
        <v>248</v>
      </c>
    </row>
    <row r="99" spans="2:8" x14ac:dyDescent="0.2">
      <c r="B99" t="s">
        <v>1491</v>
      </c>
      <c r="C99">
        <v>670</v>
      </c>
      <c r="D99" t="s">
        <v>248</v>
      </c>
    </row>
    <row r="100" spans="2:8" x14ac:dyDescent="0.2">
      <c r="B100" t="s">
        <v>1463</v>
      </c>
      <c r="C100">
        <v>680</v>
      </c>
      <c r="D100" t="s">
        <v>248</v>
      </c>
    </row>
    <row r="101" spans="2:8" x14ac:dyDescent="0.2">
      <c r="B101" t="s">
        <v>1494</v>
      </c>
      <c r="C101">
        <v>690</v>
      </c>
      <c r="D101" t="s">
        <v>248</v>
      </c>
    </row>
    <row r="102" spans="2:8" x14ac:dyDescent="0.2">
      <c r="B102" t="s">
        <v>1495</v>
      </c>
      <c r="C102">
        <v>700</v>
      </c>
      <c r="D102" t="s">
        <v>248</v>
      </c>
    </row>
    <row r="106" spans="2:8" x14ac:dyDescent="0.2">
      <c r="B106" t="s">
        <v>1496</v>
      </c>
      <c r="E106" t="s">
        <v>1497</v>
      </c>
      <c r="F106" t="s">
        <v>352</v>
      </c>
      <c r="H106" t="s">
        <v>340</v>
      </c>
    </row>
    <row r="107" spans="2:8" x14ac:dyDescent="0.2">
      <c r="E107" t="s">
        <v>243</v>
      </c>
      <c r="F107" t="s">
        <v>243</v>
      </c>
      <c r="H107" t="s">
        <v>243</v>
      </c>
    </row>
    <row r="108" spans="2:8" x14ac:dyDescent="0.2">
      <c r="B108" t="s">
        <v>1498</v>
      </c>
      <c r="C108">
        <v>710</v>
      </c>
      <c r="D108" t="s">
        <v>248</v>
      </c>
    </row>
    <row r="109" spans="2:8" x14ac:dyDescent="0.2">
      <c r="B109" t="s">
        <v>1499</v>
      </c>
      <c r="C109">
        <v>720</v>
      </c>
      <c r="D109" t="s">
        <v>248</v>
      </c>
    </row>
    <row r="110" spans="2:8" x14ac:dyDescent="0.2">
      <c r="B110" t="s">
        <v>1500</v>
      </c>
      <c r="C110">
        <v>730</v>
      </c>
      <c r="D110" t="s">
        <v>248</v>
      </c>
    </row>
    <row r="111" spans="2:8" x14ac:dyDescent="0.2">
      <c r="B111" t="s">
        <v>1501</v>
      </c>
      <c r="C111">
        <v>740</v>
      </c>
      <c r="D111" t="s">
        <v>248</v>
      </c>
    </row>
    <row r="112" spans="2:8" x14ac:dyDescent="0.2">
      <c r="B112" t="s">
        <v>358</v>
      </c>
      <c r="C112">
        <v>750</v>
      </c>
      <c r="D112" t="s">
        <v>248</v>
      </c>
    </row>
    <row r="116" spans="2:55" x14ac:dyDescent="0.2">
      <c r="B116" t="s">
        <v>1470</v>
      </c>
      <c r="E116" t="s">
        <v>3003</v>
      </c>
      <c r="F116" t="s">
        <v>402</v>
      </c>
      <c r="H116" t="s">
        <v>2999</v>
      </c>
      <c r="I116" t="s">
        <v>1352</v>
      </c>
    </row>
    <row r="117" spans="2:55" x14ac:dyDescent="0.2">
      <c r="B117" t="s">
        <v>1502</v>
      </c>
      <c r="C117">
        <v>754</v>
      </c>
      <c r="D117" t="s">
        <v>251</v>
      </c>
    </row>
    <row r="118" spans="2:55" x14ac:dyDescent="0.2">
      <c r="B118" t="s">
        <v>1503</v>
      </c>
      <c r="C118">
        <v>756</v>
      </c>
      <c r="D118" t="s">
        <v>251</v>
      </c>
    </row>
    <row r="119" spans="2:55" x14ac:dyDescent="0.2">
      <c r="B119" t="s">
        <v>1495</v>
      </c>
      <c r="C119">
        <v>758</v>
      </c>
      <c r="D119" t="s">
        <v>251</v>
      </c>
    </row>
    <row r="121" spans="2:55" x14ac:dyDescent="0.2">
      <c r="E121" t="s">
        <v>1320</v>
      </c>
    </row>
    <row r="122" spans="2:55" x14ac:dyDescent="0.2">
      <c r="D122" t="s">
        <v>25</v>
      </c>
      <c r="E122" t="s">
        <v>235</v>
      </c>
      <c r="F122" t="s">
        <v>236</v>
      </c>
      <c r="H122" t="s">
        <v>294</v>
      </c>
      <c r="V122" t="s">
        <v>580</v>
      </c>
      <c r="BC122" t="s">
        <v>237</v>
      </c>
    </row>
    <row r="123" spans="2:55" x14ac:dyDescent="0.2">
      <c r="B123" t="s">
        <v>1504</v>
      </c>
      <c r="C123" t="s">
        <v>238</v>
      </c>
      <c r="E123" t="s">
        <v>239</v>
      </c>
      <c r="F123" t="s">
        <v>1328</v>
      </c>
      <c r="H123" t="s">
        <v>302</v>
      </c>
      <c r="V123" t="s">
        <v>1033</v>
      </c>
      <c r="BC123" t="s">
        <v>241</v>
      </c>
    </row>
    <row r="124" spans="2:55" x14ac:dyDescent="0.2">
      <c r="C124" t="s">
        <v>242</v>
      </c>
      <c r="E124" t="s">
        <v>243</v>
      </c>
      <c r="F124" t="s">
        <v>243</v>
      </c>
      <c r="H124" t="s">
        <v>243</v>
      </c>
      <c r="V124" t="s">
        <v>243</v>
      </c>
      <c r="BC124" t="s">
        <v>243</v>
      </c>
    </row>
    <row r="125" spans="2:55" x14ac:dyDescent="0.2">
      <c r="B125" t="s">
        <v>1505</v>
      </c>
      <c r="C125">
        <v>760</v>
      </c>
      <c r="D125" t="s">
        <v>248</v>
      </c>
    </row>
    <row r="126" spans="2:55" x14ac:dyDescent="0.2">
      <c r="B126" t="s">
        <v>2255</v>
      </c>
      <c r="C126">
        <v>765</v>
      </c>
      <c r="D126" t="s">
        <v>248</v>
      </c>
    </row>
    <row r="127" spans="2:55" x14ac:dyDescent="0.2">
      <c r="B127" t="s">
        <v>1507</v>
      </c>
      <c r="C127">
        <v>770</v>
      </c>
      <c r="D127" t="s">
        <v>248</v>
      </c>
    </row>
    <row r="128" spans="2:55" x14ac:dyDescent="0.2">
      <c r="B128" t="s">
        <v>1508</v>
      </c>
      <c r="C128">
        <v>780</v>
      </c>
      <c r="D128" t="s">
        <v>248</v>
      </c>
    </row>
    <row r="129" spans="2:55" x14ac:dyDescent="0.2">
      <c r="B129" t="s">
        <v>1505</v>
      </c>
      <c r="C129">
        <v>790</v>
      </c>
      <c r="D129" t="s">
        <v>248</v>
      </c>
    </row>
    <row r="130" spans="2:55" x14ac:dyDescent="0.2">
      <c r="B130" t="s">
        <v>2255</v>
      </c>
      <c r="C130">
        <v>795</v>
      </c>
      <c r="D130" t="s">
        <v>248</v>
      </c>
    </row>
    <row r="131" spans="2:55" x14ac:dyDescent="0.2">
      <c r="B131" t="s">
        <v>1510</v>
      </c>
      <c r="C131">
        <v>800</v>
      </c>
      <c r="D131" t="s">
        <v>248</v>
      </c>
    </row>
    <row r="132" spans="2:55" x14ac:dyDescent="0.2">
      <c r="B132" t="s">
        <v>1511</v>
      </c>
      <c r="C132">
        <v>810</v>
      </c>
      <c r="D132" t="s">
        <v>248</v>
      </c>
    </row>
    <row r="133" spans="2:55" x14ac:dyDescent="0.2">
      <c r="B133" t="s">
        <v>1512</v>
      </c>
      <c r="C133">
        <v>820</v>
      </c>
      <c r="D133" t="s">
        <v>248</v>
      </c>
    </row>
    <row r="135" spans="2:55" x14ac:dyDescent="0.2">
      <c r="E135" t="s">
        <v>1320</v>
      </c>
      <c r="AC135" t="s">
        <v>1322</v>
      </c>
    </row>
    <row r="136" spans="2:55" x14ac:dyDescent="0.2">
      <c r="D136" t="s">
        <v>25</v>
      </c>
      <c r="E136" t="s">
        <v>235</v>
      </c>
      <c r="F136" t="s">
        <v>236</v>
      </c>
      <c r="H136" t="s">
        <v>294</v>
      </c>
      <c r="I136" t="s">
        <v>298</v>
      </c>
      <c r="V136" t="s">
        <v>580</v>
      </c>
      <c r="AC136" t="s">
        <v>823</v>
      </c>
      <c r="AD136" t="s">
        <v>824</v>
      </c>
      <c r="AE136" t="s">
        <v>825</v>
      </c>
      <c r="AF136" t="s">
        <v>826</v>
      </c>
      <c r="AG136" t="s">
        <v>827</v>
      </c>
      <c r="AH136" t="s">
        <v>828</v>
      </c>
      <c r="AI136" t="s">
        <v>829</v>
      </c>
      <c r="AJ136" t="s">
        <v>830</v>
      </c>
      <c r="AK136" t="s">
        <v>831</v>
      </c>
      <c r="AL136" t="s">
        <v>1323</v>
      </c>
      <c r="AM136" t="s">
        <v>1324</v>
      </c>
      <c r="BC136" t="s">
        <v>237</v>
      </c>
    </row>
    <row r="137" spans="2:55" x14ac:dyDescent="0.2">
      <c r="B137" t="s">
        <v>1513</v>
      </c>
      <c r="C137" t="s">
        <v>238</v>
      </c>
      <c r="E137" t="s">
        <v>239</v>
      </c>
      <c r="F137" t="s">
        <v>1328</v>
      </c>
      <c r="H137" t="s">
        <v>302</v>
      </c>
      <c r="V137" t="s">
        <v>1033</v>
      </c>
      <c r="AC137" t="s">
        <v>1005</v>
      </c>
      <c r="AD137" t="s">
        <v>1006</v>
      </c>
      <c r="AE137" t="s">
        <v>1007</v>
      </c>
      <c r="AF137" t="s">
        <v>590</v>
      </c>
      <c r="AG137" t="s">
        <v>1008</v>
      </c>
      <c r="AH137" t="s">
        <v>1265</v>
      </c>
      <c r="AI137" t="s">
        <v>1266</v>
      </c>
      <c r="AJ137" t="s">
        <v>1267</v>
      </c>
      <c r="AK137" t="s">
        <v>599</v>
      </c>
      <c r="AL137" t="s">
        <v>1268</v>
      </c>
      <c r="AM137" t="s">
        <v>1269</v>
      </c>
      <c r="BC137" t="s">
        <v>241</v>
      </c>
    </row>
    <row r="138" spans="2:55" x14ac:dyDescent="0.2">
      <c r="C138" t="s">
        <v>242</v>
      </c>
      <c r="E138" t="s">
        <v>243</v>
      </c>
      <c r="F138" t="s">
        <v>243</v>
      </c>
      <c r="H138" t="s">
        <v>243</v>
      </c>
      <c r="I138" t="s">
        <v>243</v>
      </c>
      <c r="V138" t="s">
        <v>243</v>
      </c>
      <c r="AC138" t="s">
        <v>243</v>
      </c>
      <c r="AD138" t="s">
        <v>243</v>
      </c>
      <c r="AE138" t="s">
        <v>243</v>
      </c>
      <c r="AF138" t="s">
        <v>243</v>
      </c>
      <c r="AG138" t="s">
        <v>243</v>
      </c>
      <c r="AH138" t="s">
        <v>243</v>
      </c>
      <c r="AI138" t="s">
        <v>243</v>
      </c>
      <c r="AJ138" t="s">
        <v>243</v>
      </c>
      <c r="AK138" t="s">
        <v>243</v>
      </c>
      <c r="AL138" t="s">
        <v>243</v>
      </c>
      <c r="AM138" t="s">
        <v>243</v>
      </c>
      <c r="BC138" t="s">
        <v>243</v>
      </c>
    </row>
    <row r="139" spans="2:55" x14ac:dyDescent="0.2">
      <c r="B139" t="s">
        <v>1248</v>
      </c>
    </row>
    <row r="140" spans="2:55" x14ac:dyDescent="0.2">
      <c r="B140" t="s">
        <v>1514</v>
      </c>
      <c r="C140">
        <v>850</v>
      </c>
      <c r="D140" t="s">
        <v>248</v>
      </c>
    </row>
    <row r="141" spans="2:55" x14ac:dyDescent="0.2">
      <c r="B141" t="s">
        <v>1515</v>
      </c>
      <c r="C141">
        <v>860</v>
      </c>
      <c r="D141" t="s">
        <v>248</v>
      </c>
    </row>
    <row r="142" spans="2:55" x14ac:dyDescent="0.2">
      <c r="B142" t="s">
        <v>1516</v>
      </c>
      <c r="C142">
        <v>870</v>
      </c>
      <c r="D142" t="s">
        <v>248</v>
      </c>
    </row>
    <row r="143" spans="2:55" x14ac:dyDescent="0.2">
      <c r="B143" t="s">
        <v>1517</v>
      </c>
      <c r="C143">
        <v>880</v>
      </c>
      <c r="D143" t="s">
        <v>248</v>
      </c>
    </row>
    <row r="144" spans="2:55" x14ac:dyDescent="0.2">
      <c r="B144" t="s">
        <v>1440</v>
      </c>
    </row>
    <row r="145" spans="2:9" x14ac:dyDescent="0.2">
      <c r="B145" t="s">
        <v>1514</v>
      </c>
      <c r="C145">
        <v>890</v>
      </c>
      <c r="D145" t="s">
        <v>248</v>
      </c>
    </row>
    <row r="146" spans="2:9" x14ac:dyDescent="0.2">
      <c r="B146" t="s">
        <v>1515</v>
      </c>
      <c r="C146">
        <v>900</v>
      </c>
      <c r="D146" t="s">
        <v>248</v>
      </c>
    </row>
    <row r="147" spans="2:9" x14ac:dyDescent="0.2">
      <c r="B147" t="s">
        <v>1516</v>
      </c>
      <c r="C147">
        <v>910</v>
      </c>
      <c r="D147" t="s">
        <v>248</v>
      </c>
    </row>
    <row r="148" spans="2:9" x14ac:dyDescent="0.2">
      <c r="B148" t="s">
        <v>1518</v>
      </c>
      <c r="C148">
        <v>920</v>
      </c>
      <c r="D148" t="s">
        <v>248</v>
      </c>
    </row>
    <row r="149" spans="2:9" x14ac:dyDescent="0.2">
      <c r="B149" t="s">
        <v>1519</v>
      </c>
      <c r="C149">
        <v>930</v>
      </c>
      <c r="D149" t="s">
        <v>248</v>
      </c>
    </row>
    <row r="153" spans="2:9" x14ac:dyDescent="0.2">
      <c r="B153" t="s">
        <v>1470</v>
      </c>
      <c r="E153" t="s">
        <v>3003</v>
      </c>
      <c r="F153" t="s">
        <v>402</v>
      </c>
      <c r="H153" t="s">
        <v>2999</v>
      </c>
      <c r="I153" t="s">
        <v>1352</v>
      </c>
    </row>
    <row r="154" spans="2:9" x14ac:dyDescent="0.2">
      <c r="B154" t="s">
        <v>1520</v>
      </c>
      <c r="C154">
        <v>935</v>
      </c>
      <c r="D154" t="s">
        <v>251</v>
      </c>
    </row>
    <row r="155" spans="2:9" x14ac:dyDescent="0.2">
      <c r="B155" t="s">
        <v>1521</v>
      </c>
      <c r="C155">
        <v>940</v>
      </c>
      <c r="D155" t="s">
        <v>251</v>
      </c>
    </row>
    <row r="156" spans="2:9" x14ac:dyDescent="0.2">
      <c r="B156" t="s">
        <v>1522</v>
      </c>
      <c r="C156">
        <v>945</v>
      </c>
      <c r="D156" t="s">
        <v>251</v>
      </c>
    </row>
    <row r="160" spans="2:9" x14ac:dyDescent="0.2">
      <c r="D160" t="s">
        <v>25</v>
      </c>
      <c r="E160" t="s">
        <v>235</v>
      </c>
      <c r="F160" t="s">
        <v>236</v>
      </c>
    </row>
    <row r="161" spans="2:6" x14ac:dyDescent="0.2">
      <c r="C161" t="s">
        <v>238</v>
      </c>
      <c r="E161" t="s">
        <v>239</v>
      </c>
      <c r="F161" t="s">
        <v>240</v>
      </c>
    </row>
    <row r="162" spans="2:6" x14ac:dyDescent="0.2">
      <c r="B162" t="s">
        <v>1523</v>
      </c>
      <c r="C162" t="s">
        <v>242</v>
      </c>
      <c r="E162" t="s">
        <v>243</v>
      </c>
      <c r="F162" t="s">
        <v>243</v>
      </c>
    </row>
    <row r="163" spans="2:6" x14ac:dyDescent="0.2">
      <c r="B163" t="s">
        <v>1248</v>
      </c>
    </row>
    <row r="164" spans="2:6" x14ac:dyDescent="0.2">
      <c r="B164" t="s">
        <v>1524</v>
      </c>
      <c r="C164">
        <v>950</v>
      </c>
      <c r="D164" t="s">
        <v>248</v>
      </c>
    </row>
    <row r="165" spans="2:6" x14ac:dyDescent="0.2">
      <c r="B165" t="s">
        <v>1525</v>
      </c>
      <c r="C165">
        <v>960</v>
      </c>
      <c r="D165" t="s">
        <v>248</v>
      </c>
    </row>
    <row r="166" spans="2:6" x14ac:dyDescent="0.2">
      <c r="B166" t="s">
        <v>1526</v>
      </c>
      <c r="C166">
        <v>970</v>
      </c>
      <c r="D166" t="s">
        <v>251</v>
      </c>
    </row>
    <row r="167" spans="2:6" x14ac:dyDescent="0.2">
      <c r="B167" t="s">
        <v>1527</v>
      </c>
      <c r="C167">
        <v>980</v>
      </c>
      <c r="D167" t="s">
        <v>248</v>
      </c>
    </row>
    <row r="168" spans="2:6" x14ac:dyDescent="0.2">
      <c r="B168" t="s">
        <v>1440</v>
      </c>
    </row>
    <row r="169" spans="2:6" x14ac:dyDescent="0.2">
      <c r="B169" t="s">
        <v>1528</v>
      </c>
      <c r="C169">
        <v>990</v>
      </c>
      <c r="D169" t="s">
        <v>248</v>
      </c>
    </row>
    <row r="170" spans="2:6" x14ac:dyDescent="0.2">
      <c r="B170" t="s">
        <v>1525</v>
      </c>
      <c r="C170">
        <v>1000</v>
      </c>
      <c r="D170" t="s">
        <v>248</v>
      </c>
    </row>
    <row r="171" spans="2:6" x14ac:dyDescent="0.2">
      <c r="B171" t="s">
        <v>1526</v>
      </c>
      <c r="C171">
        <v>1010</v>
      </c>
      <c r="D171" t="s">
        <v>251</v>
      </c>
    </row>
    <row r="172" spans="2:6" x14ac:dyDescent="0.2">
      <c r="B172" t="s">
        <v>1529</v>
      </c>
      <c r="C172">
        <v>1020</v>
      </c>
      <c r="D172" t="s">
        <v>248</v>
      </c>
    </row>
    <row r="173" spans="2:6" x14ac:dyDescent="0.2">
      <c r="B173" t="s">
        <v>1530</v>
      </c>
      <c r="C173">
        <v>1030</v>
      </c>
      <c r="D173" t="s">
        <v>248</v>
      </c>
    </row>
    <row r="177" spans="2:4" x14ac:dyDescent="0.2">
      <c r="B177" t="s">
        <v>1531</v>
      </c>
    </row>
    <row r="178" spans="2:4" x14ac:dyDescent="0.2">
      <c r="C178">
        <v>1050</v>
      </c>
      <c r="D178" t="s">
        <v>1532</v>
      </c>
    </row>
    <row r="179" spans="2:4" x14ac:dyDescent="0.2">
      <c r="C179">
        <v>1060</v>
      </c>
      <c r="D179" t="s">
        <v>1532</v>
      </c>
    </row>
    <row r="180" spans="2:4" x14ac:dyDescent="0.2">
      <c r="C180">
        <v>1070</v>
      </c>
      <c r="D180" t="s">
        <v>1532</v>
      </c>
    </row>
    <row r="181" spans="2:4" x14ac:dyDescent="0.2">
      <c r="C181">
        <v>1080</v>
      </c>
      <c r="D181" t="s">
        <v>1532</v>
      </c>
    </row>
    <row r="204" spans="2:39" x14ac:dyDescent="0.2">
      <c r="AC204" t="s">
        <v>1322</v>
      </c>
    </row>
    <row r="205" spans="2:39" x14ac:dyDescent="0.2">
      <c r="D205" t="s">
        <v>25</v>
      </c>
      <c r="AC205" t="s">
        <v>823</v>
      </c>
      <c r="AD205" t="s">
        <v>824</v>
      </c>
      <c r="AE205" t="s">
        <v>825</v>
      </c>
      <c r="AF205" t="s">
        <v>826</v>
      </c>
      <c r="AG205" t="s">
        <v>827</v>
      </c>
      <c r="AH205" t="s">
        <v>828</v>
      </c>
      <c r="AI205" t="s">
        <v>829</v>
      </c>
      <c r="AJ205" t="s">
        <v>830</v>
      </c>
      <c r="AK205" t="s">
        <v>831</v>
      </c>
      <c r="AL205" t="s">
        <v>1323</v>
      </c>
      <c r="AM205" t="s">
        <v>1324</v>
      </c>
    </row>
    <row r="206" spans="2:39" x14ac:dyDescent="0.2">
      <c r="C206" t="s">
        <v>238</v>
      </c>
      <c r="AC206" t="s">
        <v>1005</v>
      </c>
      <c r="AD206" t="s">
        <v>1006</v>
      </c>
      <c r="AE206" t="s">
        <v>1007</v>
      </c>
      <c r="AF206" t="s">
        <v>590</v>
      </c>
      <c r="AG206" t="s">
        <v>1008</v>
      </c>
      <c r="AH206" t="s">
        <v>1265</v>
      </c>
      <c r="AI206" t="s">
        <v>1266</v>
      </c>
      <c r="AJ206" t="s">
        <v>1267</v>
      </c>
      <c r="AK206" t="s">
        <v>599</v>
      </c>
      <c r="AL206" t="s">
        <v>1268</v>
      </c>
      <c r="AM206" t="s">
        <v>1269</v>
      </c>
    </row>
    <row r="207" spans="2:39" x14ac:dyDescent="0.2">
      <c r="B207" t="s">
        <v>1533</v>
      </c>
      <c r="C207" t="s">
        <v>242</v>
      </c>
      <c r="AC207" t="s">
        <v>243</v>
      </c>
      <c r="AD207" t="s">
        <v>243</v>
      </c>
      <c r="AE207" t="s">
        <v>243</v>
      </c>
      <c r="AF207" t="s">
        <v>243</v>
      </c>
      <c r="AG207" t="s">
        <v>243</v>
      </c>
      <c r="AH207" t="s">
        <v>243</v>
      </c>
      <c r="AI207" t="s">
        <v>243</v>
      </c>
      <c r="AJ207" t="s">
        <v>243</v>
      </c>
      <c r="AK207" t="s">
        <v>243</v>
      </c>
      <c r="AL207" t="s">
        <v>243</v>
      </c>
      <c r="AM207" t="s">
        <v>243</v>
      </c>
    </row>
    <row r="208" spans="2:39" x14ac:dyDescent="0.2">
      <c r="B208" t="s">
        <v>1534</v>
      </c>
      <c r="C208">
        <v>1300</v>
      </c>
      <c r="D208" t="s">
        <v>248</v>
      </c>
    </row>
    <row r="209" spans="2:39" x14ac:dyDescent="0.2">
      <c r="B209" t="s">
        <v>1535</v>
      </c>
      <c r="C209">
        <v>1310</v>
      </c>
      <c r="D209" t="s">
        <v>248</v>
      </c>
    </row>
    <row r="212" spans="2:39" x14ac:dyDescent="0.2">
      <c r="F212" t="s">
        <v>1320</v>
      </c>
      <c r="AC212" t="s">
        <v>1322</v>
      </c>
    </row>
    <row r="213" spans="2:39" x14ac:dyDescent="0.2">
      <c r="D213" t="s">
        <v>25</v>
      </c>
      <c r="E213" t="s">
        <v>235</v>
      </c>
      <c r="F213" t="s">
        <v>236</v>
      </c>
      <c r="H213" t="s">
        <v>294</v>
      </c>
      <c r="V213" t="s">
        <v>580</v>
      </c>
      <c r="AC213" t="s">
        <v>823</v>
      </c>
      <c r="AD213" t="s">
        <v>824</v>
      </c>
      <c r="AE213" t="s">
        <v>825</v>
      </c>
      <c r="AF213" t="s">
        <v>826</v>
      </c>
      <c r="AG213" t="s">
        <v>827</v>
      </c>
      <c r="AH213" t="s">
        <v>828</v>
      </c>
      <c r="AI213" t="s">
        <v>829</v>
      </c>
      <c r="AJ213" t="s">
        <v>830</v>
      </c>
      <c r="AK213" t="s">
        <v>831</v>
      </c>
      <c r="AL213" t="s">
        <v>1323</v>
      </c>
      <c r="AM213" t="s">
        <v>1324</v>
      </c>
    </row>
    <row r="214" spans="2:39" x14ac:dyDescent="0.2">
      <c r="B214" t="s">
        <v>1536</v>
      </c>
      <c r="C214" t="s">
        <v>238</v>
      </c>
      <c r="E214" t="s">
        <v>799</v>
      </c>
      <c r="F214" t="s">
        <v>1328</v>
      </c>
      <c r="H214" t="s">
        <v>302</v>
      </c>
      <c r="V214" t="s">
        <v>1033</v>
      </c>
      <c r="AC214" t="s">
        <v>1005</v>
      </c>
      <c r="AD214" t="s">
        <v>1006</v>
      </c>
      <c r="AE214" t="s">
        <v>1007</v>
      </c>
      <c r="AF214" t="s">
        <v>590</v>
      </c>
      <c r="AG214" t="s">
        <v>1008</v>
      </c>
      <c r="AH214" t="s">
        <v>1265</v>
      </c>
      <c r="AI214" t="s">
        <v>1266</v>
      </c>
      <c r="AJ214" t="s">
        <v>1267</v>
      </c>
      <c r="AK214" t="s">
        <v>599</v>
      </c>
      <c r="AL214" t="s">
        <v>1268</v>
      </c>
      <c r="AM214" t="s">
        <v>1269</v>
      </c>
    </row>
    <row r="215" spans="2:39" x14ac:dyDescent="0.2">
      <c r="C215" t="s">
        <v>242</v>
      </c>
      <c r="E215" t="s">
        <v>243</v>
      </c>
      <c r="F215" t="s">
        <v>243</v>
      </c>
      <c r="H215" t="s">
        <v>243</v>
      </c>
      <c r="V215" t="s">
        <v>243</v>
      </c>
      <c r="AC215" t="s">
        <v>243</v>
      </c>
      <c r="AD215" t="s">
        <v>243</v>
      </c>
      <c r="AE215" t="s">
        <v>243</v>
      </c>
      <c r="AF215" t="s">
        <v>243</v>
      </c>
      <c r="AG215" t="s">
        <v>243</v>
      </c>
      <c r="AH215" t="s">
        <v>243</v>
      </c>
      <c r="AI215" t="s">
        <v>243</v>
      </c>
      <c r="AJ215" t="s">
        <v>243</v>
      </c>
      <c r="AK215" t="s">
        <v>243</v>
      </c>
      <c r="AL215" t="s">
        <v>243</v>
      </c>
      <c r="AM215" t="s">
        <v>243</v>
      </c>
    </row>
    <row r="217" spans="2:39" x14ac:dyDescent="0.2">
      <c r="B217" t="s">
        <v>1537</v>
      </c>
      <c r="C217">
        <v>1400</v>
      </c>
      <c r="D217" t="s">
        <v>248</v>
      </c>
    </row>
    <row r="218" spans="2:39" x14ac:dyDescent="0.2">
      <c r="B218" t="s">
        <v>1538</v>
      </c>
      <c r="C218">
        <v>1410</v>
      </c>
      <c r="D218" t="s">
        <v>248</v>
      </c>
    </row>
    <row r="219" spans="2:39" x14ac:dyDescent="0.2">
      <c r="B219" t="s">
        <v>1539</v>
      </c>
      <c r="C219">
        <v>1420</v>
      </c>
      <c r="D219" t="s">
        <v>248</v>
      </c>
    </row>
    <row r="220" spans="2:39" x14ac:dyDescent="0.2">
      <c r="B220" t="s">
        <v>1540</v>
      </c>
      <c r="C220">
        <v>1430</v>
      </c>
      <c r="D220" t="s">
        <v>248</v>
      </c>
    </row>
    <row r="221" spans="2:39" x14ac:dyDescent="0.2">
      <c r="B221" t="s">
        <v>1541</v>
      </c>
      <c r="C221">
        <v>1435</v>
      </c>
      <c r="D221" t="s">
        <v>248</v>
      </c>
    </row>
    <row r="222" spans="2:39" x14ac:dyDescent="0.2">
      <c r="B222" t="s">
        <v>1542</v>
      </c>
      <c r="C222">
        <v>1440</v>
      </c>
      <c r="D222" t="s">
        <v>248</v>
      </c>
    </row>
    <row r="223" spans="2:39" x14ac:dyDescent="0.2">
      <c r="B223" t="s">
        <v>1543</v>
      </c>
      <c r="C223">
        <v>1450</v>
      </c>
      <c r="D223" t="s">
        <v>248</v>
      </c>
    </row>
    <row r="224" spans="2:39" x14ac:dyDescent="0.2">
      <c r="B224" t="s">
        <v>1544</v>
      </c>
      <c r="C224">
        <v>1460</v>
      </c>
      <c r="D224" t="s">
        <v>248</v>
      </c>
    </row>
    <row r="225" spans="2:39" x14ac:dyDescent="0.2">
      <c r="B225" t="s">
        <v>1545</v>
      </c>
      <c r="C225">
        <v>1470</v>
      </c>
      <c r="D225" t="s">
        <v>248</v>
      </c>
    </row>
    <row r="228" spans="2:39" x14ac:dyDescent="0.2">
      <c r="F228" t="s">
        <v>1320</v>
      </c>
      <c r="AC228" t="s">
        <v>1322</v>
      </c>
    </row>
    <row r="229" spans="2:39" x14ac:dyDescent="0.2">
      <c r="D229" t="s">
        <v>25</v>
      </c>
      <c r="E229" t="s">
        <v>235</v>
      </c>
      <c r="F229" t="s">
        <v>236</v>
      </c>
      <c r="H229" t="s">
        <v>294</v>
      </c>
      <c r="V229" t="s">
        <v>580</v>
      </c>
      <c r="AC229" t="s">
        <v>823</v>
      </c>
      <c r="AD229" t="s">
        <v>824</v>
      </c>
      <c r="AE229" t="s">
        <v>825</v>
      </c>
      <c r="AF229" t="s">
        <v>826</v>
      </c>
      <c r="AG229" t="s">
        <v>827</v>
      </c>
      <c r="AH229" t="s">
        <v>828</v>
      </c>
      <c r="AI229" t="s">
        <v>829</v>
      </c>
      <c r="AJ229" t="s">
        <v>830</v>
      </c>
      <c r="AK229" t="s">
        <v>831</v>
      </c>
      <c r="AL229" t="s">
        <v>1323</v>
      </c>
      <c r="AM229" t="s">
        <v>1324</v>
      </c>
    </row>
    <row r="230" spans="2:39" x14ac:dyDescent="0.2">
      <c r="B230" t="s">
        <v>159</v>
      </c>
      <c r="C230" t="s">
        <v>238</v>
      </c>
      <c r="E230" t="s">
        <v>799</v>
      </c>
      <c r="F230" t="s">
        <v>1328</v>
      </c>
      <c r="H230" t="s">
        <v>302</v>
      </c>
      <c r="V230" t="s">
        <v>1033</v>
      </c>
      <c r="AC230" t="s">
        <v>1005</v>
      </c>
      <c r="AD230" t="s">
        <v>1006</v>
      </c>
      <c r="AE230" t="s">
        <v>1007</v>
      </c>
      <c r="AF230" t="s">
        <v>590</v>
      </c>
      <c r="AG230" t="s">
        <v>1008</v>
      </c>
      <c r="AH230" t="s">
        <v>1265</v>
      </c>
      <c r="AI230" t="s">
        <v>1266</v>
      </c>
      <c r="AJ230" t="s">
        <v>1267</v>
      </c>
      <c r="AK230" t="s">
        <v>599</v>
      </c>
      <c r="AL230" t="s">
        <v>1268</v>
      </c>
      <c r="AM230" t="s">
        <v>1269</v>
      </c>
    </row>
    <row r="231" spans="2:39" x14ac:dyDescent="0.2">
      <c r="C231" t="s">
        <v>242</v>
      </c>
      <c r="E231" t="s">
        <v>243</v>
      </c>
      <c r="F231" t="s">
        <v>243</v>
      </c>
      <c r="H231" t="s">
        <v>243</v>
      </c>
      <c r="V231" t="s">
        <v>243</v>
      </c>
      <c r="AC231" t="s">
        <v>243</v>
      </c>
      <c r="AD231" t="s">
        <v>243</v>
      </c>
      <c r="AE231" t="s">
        <v>243</v>
      </c>
      <c r="AF231" t="s">
        <v>243</v>
      </c>
      <c r="AG231" t="s">
        <v>243</v>
      </c>
      <c r="AH231" t="s">
        <v>243</v>
      </c>
      <c r="AI231" t="s">
        <v>243</v>
      </c>
      <c r="AJ231" t="s">
        <v>243</v>
      </c>
      <c r="AK231" t="s">
        <v>243</v>
      </c>
      <c r="AL231" t="s">
        <v>243</v>
      </c>
      <c r="AM231" t="s">
        <v>243</v>
      </c>
    </row>
    <row r="233" spans="2:39" x14ac:dyDescent="0.2">
      <c r="B233" t="s">
        <v>1537</v>
      </c>
      <c r="C233">
        <v>1480</v>
      </c>
      <c r="D233" t="s">
        <v>248</v>
      </c>
    </row>
    <row r="234" spans="2:39" x14ac:dyDescent="0.2">
      <c r="B234" t="s">
        <v>1538</v>
      </c>
      <c r="C234">
        <v>1490</v>
      </c>
      <c r="D234" t="s">
        <v>248</v>
      </c>
    </row>
    <row r="235" spans="2:39" x14ac:dyDescent="0.2">
      <c r="B235" t="s">
        <v>1546</v>
      </c>
      <c r="C235">
        <v>1500</v>
      </c>
      <c r="D235" t="s">
        <v>248</v>
      </c>
    </row>
    <row r="236" spans="2:39" x14ac:dyDescent="0.2">
      <c r="B236" t="s">
        <v>1540</v>
      </c>
      <c r="C236">
        <v>1510</v>
      </c>
      <c r="D236" t="s">
        <v>248</v>
      </c>
    </row>
    <row r="237" spans="2:39" x14ac:dyDescent="0.2">
      <c r="B237" t="s">
        <v>1541</v>
      </c>
      <c r="C237">
        <v>1515</v>
      </c>
      <c r="D237" t="s">
        <v>248</v>
      </c>
    </row>
    <row r="238" spans="2:39" x14ac:dyDescent="0.2">
      <c r="B238" t="s">
        <v>1547</v>
      </c>
      <c r="C238">
        <v>1520</v>
      </c>
      <c r="D238" t="s">
        <v>248</v>
      </c>
    </row>
    <row r="239" spans="2:39" x14ac:dyDescent="0.2">
      <c r="B239" t="s">
        <v>1543</v>
      </c>
      <c r="C239">
        <v>1530</v>
      </c>
      <c r="D239" t="s">
        <v>248</v>
      </c>
    </row>
    <row r="240" spans="2:39" x14ac:dyDescent="0.2">
      <c r="B240" t="s">
        <v>1544</v>
      </c>
      <c r="C240">
        <v>1540</v>
      </c>
      <c r="D240" t="s">
        <v>248</v>
      </c>
    </row>
    <row r="241" spans="2:39" x14ac:dyDescent="0.2">
      <c r="B241" t="s">
        <v>1548</v>
      </c>
      <c r="C241">
        <v>1550</v>
      </c>
      <c r="D241" t="s">
        <v>248</v>
      </c>
    </row>
    <row r="245" spans="2:39" x14ac:dyDescent="0.2">
      <c r="F245" t="s">
        <v>1320</v>
      </c>
      <c r="AC245" t="s">
        <v>1322</v>
      </c>
    </row>
    <row r="246" spans="2:39" x14ac:dyDescent="0.2">
      <c r="D246" t="s">
        <v>25</v>
      </c>
      <c r="E246" t="s">
        <v>235</v>
      </c>
      <c r="F246" t="s">
        <v>236</v>
      </c>
      <c r="H246" t="s">
        <v>294</v>
      </c>
      <c r="V246" t="s">
        <v>580</v>
      </c>
      <c r="AC246" t="s">
        <v>823</v>
      </c>
      <c r="AD246" t="s">
        <v>824</v>
      </c>
      <c r="AE246" t="s">
        <v>825</v>
      </c>
      <c r="AF246" t="s">
        <v>826</v>
      </c>
      <c r="AG246" t="s">
        <v>827</v>
      </c>
      <c r="AH246" t="s">
        <v>828</v>
      </c>
      <c r="AI246" t="s">
        <v>829</v>
      </c>
      <c r="AJ246" t="s">
        <v>830</v>
      </c>
      <c r="AK246" t="s">
        <v>831</v>
      </c>
      <c r="AL246" t="s">
        <v>1323</v>
      </c>
      <c r="AM246" t="s">
        <v>1324</v>
      </c>
    </row>
    <row r="247" spans="2:39" x14ac:dyDescent="0.2">
      <c r="B247" t="s">
        <v>1549</v>
      </c>
      <c r="C247" t="s">
        <v>238</v>
      </c>
      <c r="E247" t="s">
        <v>799</v>
      </c>
      <c r="F247" t="s">
        <v>1328</v>
      </c>
      <c r="H247" t="s">
        <v>302</v>
      </c>
      <c r="V247" t="s">
        <v>1033</v>
      </c>
      <c r="AC247" t="s">
        <v>1005</v>
      </c>
      <c r="AD247" t="s">
        <v>1006</v>
      </c>
      <c r="AE247" t="s">
        <v>1007</v>
      </c>
      <c r="AF247" t="s">
        <v>590</v>
      </c>
      <c r="AG247" t="s">
        <v>1008</v>
      </c>
      <c r="AH247" t="s">
        <v>1265</v>
      </c>
      <c r="AI247" t="s">
        <v>1266</v>
      </c>
      <c r="AJ247" t="s">
        <v>1267</v>
      </c>
      <c r="AK247" t="s">
        <v>599</v>
      </c>
      <c r="AL247" t="s">
        <v>1268</v>
      </c>
      <c r="AM247" t="s">
        <v>1269</v>
      </c>
    </row>
    <row r="248" spans="2:39" x14ac:dyDescent="0.2">
      <c r="C248" t="s">
        <v>242</v>
      </c>
      <c r="E248" t="s">
        <v>243</v>
      </c>
      <c r="F248" t="s">
        <v>243</v>
      </c>
      <c r="H248" t="s">
        <v>243</v>
      </c>
      <c r="V248" t="s">
        <v>243</v>
      </c>
      <c r="AC248" t="s">
        <v>243</v>
      </c>
      <c r="AD248" t="s">
        <v>243</v>
      </c>
      <c r="AE248" t="s">
        <v>243</v>
      </c>
      <c r="AF248" t="s">
        <v>243</v>
      </c>
      <c r="AG248" t="s">
        <v>243</v>
      </c>
      <c r="AH248" t="s">
        <v>243</v>
      </c>
      <c r="AI248" t="s">
        <v>243</v>
      </c>
      <c r="AJ248" t="s">
        <v>243</v>
      </c>
      <c r="AK248" t="s">
        <v>243</v>
      </c>
      <c r="AL248" t="s">
        <v>243</v>
      </c>
      <c r="AM248" t="s">
        <v>243</v>
      </c>
    </row>
    <row r="249" spans="2:39" x14ac:dyDescent="0.2">
      <c r="B249" t="s">
        <v>1248</v>
      </c>
    </row>
    <row r="250" spans="2:39" x14ac:dyDescent="0.2">
      <c r="B250" t="s">
        <v>1551</v>
      </c>
      <c r="C250">
        <v>1555</v>
      </c>
      <c r="D250" t="s">
        <v>248</v>
      </c>
    </row>
    <row r="251" spans="2:39" x14ac:dyDescent="0.2">
      <c r="B251" t="s">
        <v>1552</v>
      </c>
      <c r="C251">
        <v>1560</v>
      </c>
      <c r="D251" t="s">
        <v>248</v>
      </c>
    </row>
    <row r="252" spans="2:39" x14ac:dyDescent="0.2">
      <c r="B252" t="s">
        <v>1553</v>
      </c>
      <c r="C252">
        <v>1565</v>
      </c>
      <c r="D252" t="s">
        <v>248</v>
      </c>
    </row>
    <row r="253" spans="2:39" x14ac:dyDescent="0.2">
      <c r="B253" t="s">
        <v>1554</v>
      </c>
      <c r="C253">
        <v>1567</v>
      </c>
      <c r="D253" t="s">
        <v>248</v>
      </c>
    </row>
    <row r="254" spans="2:39" x14ac:dyDescent="0.2">
      <c r="B254" t="s">
        <v>1555</v>
      </c>
      <c r="C254">
        <v>1570</v>
      </c>
      <c r="D254" t="s">
        <v>248</v>
      </c>
    </row>
    <row r="255" spans="2:39" x14ac:dyDescent="0.2">
      <c r="B255" t="s">
        <v>1556</v>
      </c>
      <c r="C255">
        <v>1580</v>
      </c>
      <c r="D255" t="s">
        <v>248</v>
      </c>
    </row>
    <row r="256" spans="2:39" x14ac:dyDescent="0.2">
      <c r="B256" t="s">
        <v>1346</v>
      </c>
    </row>
    <row r="257" spans="2:29" x14ac:dyDescent="0.2">
      <c r="B257" t="s">
        <v>1551</v>
      </c>
      <c r="C257">
        <v>1585</v>
      </c>
      <c r="D257" t="s">
        <v>248</v>
      </c>
    </row>
    <row r="258" spans="2:29" x14ac:dyDescent="0.2">
      <c r="B258" t="s">
        <v>1552</v>
      </c>
      <c r="C258">
        <v>1590</v>
      </c>
      <c r="D258" t="s">
        <v>248</v>
      </c>
    </row>
    <row r="259" spans="2:29" x14ac:dyDescent="0.2">
      <c r="B259" t="s">
        <v>1557</v>
      </c>
      <c r="C259">
        <v>1595</v>
      </c>
      <c r="D259" t="s">
        <v>248</v>
      </c>
    </row>
    <row r="260" spans="2:29" x14ac:dyDescent="0.2">
      <c r="B260" t="s">
        <v>1554</v>
      </c>
      <c r="C260">
        <v>1597</v>
      </c>
      <c r="D260" t="s">
        <v>248</v>
      </c>
    </row>
    <row r="261" spans="2:29" x14ac:dyDescent="0.2">
      <c r="B261" t="s">
        <v>1555</v>
      </c>
      <c r="C261">
        <v>1600</v>
      </c>
      <c r="D261" t="s">
        <v>248</v>
      </c>
    </row>
    <row r="262" spans="2:29" x14ac:dyDescent="0.2">
      <c r="B262" t="s">
        <v>1558</v>
      </c>
      <c r="C262">
        <v>1610</v>
      </c>
      <c r="D262" t="s">
        <v>248</v>
      </c>
    </row>
    <row r="266" spans="2:29" x14ac:dyDescent="0.2">
      <c r="E266" t="s">
        <v>235</v>
      </c>
      <c r="F266" t="s">
        <v>236</v>
      </c>
      <c r="H266" t="s">
        <v>294</v>
      </c>
      <c r="V266" t="s">
        <v>580</v>
      </c>
      <c r="AC266" t="s">
        <v>825</v>
      </c>
    </row>
    <row r="267" spans="2:29" x14ac:dyDescent="0.2">
      <c r="B267" t="s">
        <v>1559</v>
      </c>
      <c r="C267" t="s">
        <v>1560</v>
      </c>
      <c r="D267" t="s">
        <v>1561</v>
      </c>
      <c r="E267" t="s">
        <v>1432</v>
      </c>
      <c r="F267" t="s">
        <v>1433</v>
      </c>
      <c r="H267" t="s">
        <v>1434</v>
      </c>
      <c r="V267" t="s">
        <v>1435</v>
      </c>
      <c r="AC267" t="s">
        <v>1436</v>
      </c>
    </row>
    <row r="268" spans="2:29" x14ac:dyDescent="0.2">
      <c r="E268" t="s">
        <v>243</v>
      </c>
      <c r="F268" t="s">
        <v>243</v>
      </c>
      <c r="H268" t="s">
        <v>243</v>
      </c>
      <c r="V268" t="s">
        <v>243</v>
      </c>
      <c r="AC268" t="s">
        <v>243</v>
      </c>
    </row>
    <row r="269" spans="2:29" x14ac:dyDescent="0.2">
      <c r="B269" t="s">
        <v>1562</v>
      </c>
      <c r="C269">
        <v>1620</v>
      </c>
      <c r="D269" t="s">
        <v>248</v>
      </c>
    </row>
    <row r="270" spans="2:29" x14ac:dyDescent="0.2">
      <c r="B270" t="s">
        <v>1563</v>
      </c>
      <c r="C270">
        <v>1630</v>
      </c>
      <c r="D270" t="s">
        <v>248</v>
      </c>
    </row>
  </sheetData>
  <sheetProtection sheet="1" objects="1" scenarios="1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CE139"/>
  <sheetViews>
    <sheetView zoomScale="70" zoomScaleNormal="70" workbookViewId="0"/>
  </sheetViews>
  <sheetFormatPr defaultRowHeight="12.75" x14ac:dyDescent="0.2"/>
  <sheetData>
    <row r="1" spans="1:83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3" x14ac:dyDescent="0.2">
      <c r="A2" t="s">
        <v>3727</v>
      </c>
    </row>
    <row r="3" spans="1:83" x14ac:dyDescent="0.2">
      <c r="A3" t="s">
        <v>3776</v>
      </c>
    </row>
    <row r="4" spans="1:83" x14ac:dyDescent="0.2">
      <c r="B4" t="s">
        <v>1564</v>
      </c>
    </row>
    <row r="5" spans="1:83" x14ac:dyDescent="0.2">
      <c r="B5" t="s">
        <v>66</v>
      </c>
      <c r="CA5" t="s">
        <v>230</v>
      </c>
      <c r="CB5">
        <f>0</f>
        <v>0</v>
      </c>
    </row>
    <row r="6" spans="1:83" x14ac:dyDescent="0.2">
      <c r="CA6" t="s">
        <v>231</v>
      </c>
      <c r="CB6" t="s">
        <v>232</v>
      </c>
      <c r="CC6" t="s">
        <v>1565</v>
      </c>
      <c r="CE6" t="s">
        <v>1566</v>
      </c>
    </row>
    <row r="7" spans="1:83" x14ac:dyDescent="0.2">
      <c r="D7" t="s">
        <v>25</v>
      </c>
      <c r="E7" t="s">
        <v>235</v>
      </c>
      <c r="F7" t="s">
        <v>236</v>
      </c>
      <c r="G7" t="s">
        <v>293</v>
      </c>
      <c r="H7" t="s">
        <v>294</v>
      </c>
      <c r="I7" t="s">
        <v>295</v>
      </c>
      <c r="J7" t="s">
        <v>296</v>
      </c>
      <c r="K7" t="s">
        <v>342</v>
      </c>
      <c r="L7" t="s">
        <v>297</v>
      </c>
      <c r="CA7">
        <f>SUM(CA11:CA107)</f>
        <v>0</v>
      </c>
      <c r="CC7">
        <f>SUM(CC11:CC83)</f>
        <v>0</v>
      </c>
    </row>
    <row r="8" spans="1:83" x14ac:dyDescent="0.2">
      <c r="B8" t="s">
        <v>1567</v>
      </c>
      <c r="E8" t="s">
        <v>1568</v>
      </c>
      <c r="F8" t="s">
        <v>3009</v>
      </c>
      <c r="G8" t="s">
        <v>1570</v>
      </c>
      <c r="H8" t="s">
        <v>1571</v>
      </c>
      <c r="I8" t="s">
        <v>1572</v>
      </c>
      <c r="J8" t="s">
        <v>1573</v>
      </c>
      <c r="K8" t="s">
        <v>804</v>
      </c>
      <c r="L8" t="s">
        <v>1571</v>
      </c>
    </row>
    <row r="9" spans="1:83" x14ac:dyDescent="0.2">
      <c r="C9" t="s">
        <v>238</v>
      </c>
      <c r="E9" t="s">
        <v>300</v>
      </c>
      <c r="F9" t="s">
        <v>300</v>
      </c>
      <c r="G9" t="s">
        <v>300</v>
      </c>
      <c r="H9" t="s">
        <v>300</v>
      </c>
      <c r="I9" t="s">
        <v>300</v>
      </c>
      <c r="J9" t="s">
        <v>300</v>
      </c>
      <c r="K9" t="s">
        <v>240</v>
      </c>
      <c r="L9" t="s">
        <v>240</v>
      </c>
    </row>
    <row r="10" spans="1:83" x14ac:dyDescent="0.2">
      <c r="B10" t="s">
        <v>1574</v>
      </c>
      <c r="C10" t="s">
        <v>242</v>
      </c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K10" t="s">
        <v>243</v>
      </c>
      <c r="L10" t="s">
        <v>243</v>
      </c>
    </row>
    <row r="11" spans="1:83" x14ac:dyDescent="0.2">
      <c r="B11" t="s">
        <v>1575</v>
      </c>
      <c r="C11">
        <v>100</v>
      </c>
      <c r="D11" t="s">
        <v>248</v>
      </c>
      <c r="G11">
        <f>E11-F11</f>
        <v>0</v>
      </c>
      <c r="J11">
        <f>H11-I11</f>
        <v>0</v>
      </c>
    </row>
    <row r="12" spans="1:83" x14ac:dyDescent="0.2">
      <c r="B12" t="s">
        <v>1576</v>
      </c>
      <c r="C12">
        <v>110</v>
      </c>
      <c r="D12" t="s">
        <v>248</v>
      </c>
      <c r="G12">
        <f>E12-F12</f>
        <v>0</v>
      </c>
      <c r="J12">
        <f>H12-I12</f>
        <v>0</v>
      </c>
    </row>
    <row r="13" spans="1:83" x14ac:dyDescent="0.2">
      <c r="B13" t="s">
        <v>1577</v>
      </c>
      <c r="C13">
        <v>120</v>
      </c>
      <c r="D13" t="s">
        <v>248</v>
      </c>
      <c r="G13">
        <f>E13-F13</f>
        <v>0</v>
      </c>
      <c r="J13">
        <f>H13-I13</f>
        <v>0</v>
      </c>
    </row>
    <row r="14" spans="1:83" x14ac:dyDescent="0.2">
      <c r="B14" t="s">
        <v>1578</v>
      </c>
      <c r="C14">
        <v>130</v>
      </c>
      <c r="D14" t="s">
        <v>245</v>
      </c>
      <c r="G14">
        <f>E14-F14</f>
        <v>0</v>
      </c>
      <c r="CA14">
        <f>IF(OR(E14&gt;0,F14&gt;0),1,0)</f>
        <v>0</v>
      </c>
    </row>
    <row r="15" spans="1:83" x14ac:dyDescent="0.2">
      <c r="B15" t="s">
        <v>1579</v>
      </c>
      <c r="C15">
        <v>140</v>
      </c>
      <c r="D15" t="s">
        <v>248</v>
      </c>
      <c r="E15">
        <f t="shared" ref="E15:J15" si="0">SUM(E11:E14)</f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CC15">
        <f>IF(E15&lt;&gt;H15,1,0)</f>
        <v>0</v>
      </c>
      <c r="CE15">
        <f>SUM(H17+H26+H35)</f>
        <v>0</v>
      </c>
    </row>
    <row r="16" spans="1:83" x14ac:dyDescent="0.2">
      <c r="B16" t="s">
        <v>1580</v>
      </c>
      <c r="CE16">
        <f>SUM(H18+H27+H36)</f>
        <v>0</v>
      </c>
    </row>
    <row r="17" spans="2:81" x14ac:dyDescent="0.2">
      <c r="B17" t="s">
        <v>1502</v>
      </c>
      <c r="C17">
        <v>150</v>
      </c>
      <c r="D17" t="s">
        <v>248</v>
      </c>
      <c r="H17">
        <f>H11</f>
        <v>0</v>
      </c>
      <c r="I17">
        <f>I11</f>
        <v>0</v>
      </c>
      <c r="J17">
        <f>J11</f>
        <v>0</v>
      </c>
    </row>
    <row r="18" spans="2:81" x14ac:dyDescent="0.2">
      <c r="B18" t="s">
        <v>1581</v>
      </c>
      <c r="C18">
        <v>160</v>
      </c>
      <c r="D18" t="s">
        <v>248</v>
      </c>
      <c r="H18">
        <f>H15-H17</f>
        <v>0</v>
      </c>
      <c r="I18">
        <f>I15-I17</f>
        <v>0</v>
      </c>
      <c r="J18">
        <f>J15-J17</f>
        <v>0</v>
      </c>
    </row>
    <row r="19" spans="2:81" x14ac:dyDescent="0.2">
      <c r="B19" t="s">
        <v>1582</v>
      </c>
    </row>
    <row r="20" spans="2:81" x14ac:dyDescent="0.2">
      <c r="B20" t="s">
        <v>1575</v>
      </c>
      <c r="C20">
        <v>170</v>
      </c>
      <c r="D20" t="s">
        <v>248</v>
      </c>
      <c r="G20">
        <f>E20-F20</f>
        <v>0</v>
      </c>
      <c r="J20">
        <f>H20-I20</f>
        <v>0</v>
      </c>
    </row>
    <row r="21" spans="2:81" x14ac:dyDescent="0.2">
      <c r="B21" t="s">
        <v>1576</v>
      </c>
      <c r="C21">
        <v>180</v>
      </c>
      <c r="D21" t="s">
        <v>248</v>
      </c>
      <c r="G21">
        <f>E21-F21</f>
        <v>0</v>
      </c>
      <c r="J21">
        <f>H21-I21</f>
        <v>0</v>
      </c>
    </row>
    <row r="22" spans="2:81" x14ac:dyDescent="0.2">
      <c r="B22" t="s">
        <v>1577</v>
      </c>
      <c r="C22">
        <v>190</v>
      </c>
      <c r="D22" t="s">
        <v>248</v>
      </c>
      <c r="G22">
        <f>E22-F22</f>
        <v>0</v>
      </c>
      <c r="J22">
        <f>H22-I22</f>
        <v>0</v>
      </c>
    </row>
    <row r="23" spans="2:81" x14ac:dyDescent="0.2">
      <c r="B23" t="s">
        <v>1578</v>
      </c>
      <c r="C23">
        <v>200</v>
      </c>
      <c r="D23" t="s">
        <v>245</v>
      </c>
      <c r="G23">
        <f>E23-F23</f>
        <v>0</v>
      </c>
      <c r="CA23">
        <f>IF(OR(E23&gt;0,F23&gt;0),1,0)</f>
        <v>0</v>
      </c>
    </row>
    <row r="24" spans="2:81" x14ac:dyDescent="0.2">
      <c r="B24" t="s">
        <v>1579</v>
      </c>
      <c r="C24">
        <v>210</v>
      </c>
      <c r="D24" t="s">
        <v>248</v>
      </c>
      <c r="E24">
        <f t="shared" ref="E24:J24" si="1">SUM(E20:E23)</f>
        <v>0</v>
      </c>
      <c r="F24">
        <f t="shared" si="1"/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CC24">
        <f>IF(E24&lt;&gt;H24,1,0)</f>
        <v>0</v>
      </c>
    </row>
    <row r="25" spans="2:81" x14ac:dyDescent="0.2">
      <c r="B25" t="s">
        <v>1580</v>
      </c>
    </row>
    <row r="26" spans="2:81" x14ac:dyDescent="0.2">
      <c r="B26" t="s">
        <v>1502</v>
      </c>
      <c r="C26">
        <v>220</v>
      </c>
      <c r="D26" t="s">
        <v>248</v>
      </c>
      <c r="H26">
        <f>H20</f>
        <v>0</v>
      </c>
      <c r="I26">
        <f>I20</f>
        <v>0</v>
      </c>
      <c r="J26">
        <f>J20</f>
        <v>0</v>
      </c>
    </row>
    <row r="27" spans="2:81" x14ac:dyDescent="0.2">
      <c r="B27" t="s">
        <v>1581</v>
      </c>
      <c r="C27">
        <v>230</v>
      </c>
      <c r="D27" t="s">
        <v>248</v>
      </c>
      <c r="H27">
        <f>H24-H26</f>
        <v>0</v>
      </c>
      <c r="I27">
        <f>I24-I26</f>
        <v>0</v>
      </c>
      <c r="J27">
        <f>J24-J26</f>
        <v>0</v>
      </c>
    </row>
    <row r="28" spans="2:81" x14ac:dyDescent="0.2">
      <c r="B28" t="s">
        <v>1583</v>
      </c>
    </row>
    <row r="29" spans="2:81" x14ac:dyDescent="0.2">
      <c r="B29" t="s">
        <v>1575</v>
      </c>
      <c r="C29">
        <v>240</v>
      </c>
      <c r="D29" t="s">
        <v>248</v>
      </c>
      <c r="G29">
        <f>E29-F29</f>
        <v>0</v>
      </c>
      <c r="J29">
        <f>H29-I29</f>
        <v>0</v>
      </c>
    </row>
    <row r="30" spans="2:81" x14ac:dyDescent="0.2">
      <c r="B30" t="s">
        <v>1576</v>
      </c>
      <c r="C30">
        <v>250</v>
      </c>
      <c r="D30" t="s">
        <v>248</v>
      </c>
      <c r="G30">
        <f>E30-F30</f>
        <v>0</v>
      </c>
      <c r="J30">
        <f>H30-I30</f>
        <v>0</v>
      </c>
    </row>
    <row r="31" spans="2:81" x14ac:dyDescent="0.2">
      <c r="B31" t="s">
        <v>1577</v>
      </c>
      <c r="C31">
        <v>260</v>
      </c>
      <c r="D31" t="s">
        <v>248</v>
      </c>
      <c r="G31">
        <f>E31-F31</f>
        <v>0</v>
      </c>
      <c r="J31">
        <f>H31-I31</f>
        <v>0</v>
      </c>
    </row>
    <row r="32" spans="2:81" x14ac:dyDescent="0.2">
      <c r="B32" t="s">
        <v>1578</v>
      </c>
      <c r="C32">
        <v>270</v>
      </c>
      <c r="D32" t="s">
        <v>245</v>
      </c>
      <c r="G32">
        <f>E32-F32</f>
        <v>0</v>
      </c>
      <c r="CA32">
        <f>IF(OR(E32&gt;0,F32&gt;0),1,0)</f>
        <v>0</v>
      </c>
    </row>
    <row r="33" spans="2:81" x14ac:dyDescent="0.2">
      <c r="B33" t="s">
        <v>1579</v>
      </c>
      <c r="C33">
        <v>280</v>
      </c>
      <c r="D33" t="s">
        <v>248</v>
      </c>
      <c r="E33">
        <f t="shared" ref="E33:J33" si="2">SUM(E29:E32)</f>
        <v>0</v>
      </c>
      <c r="F33">
        <f t="shared" si="2"/>
        <v>0</v>
      </c>
      <c r="G33">
        <f t="shared" si="2"/>
        <v>0</v>
      </c>
      <c r="H33">
        <f t="shared" si="2"/>
        <v>0</v>
      </c>
      <c r="I33">
        <f t="shared" si="2"/>
        <v>0</v>
      </c>
      <c r="J33">
        <f t="shared" si="2"/>
        <v>0</v>
      </c>
      <c r="CC33">
        <f>IF(E33&lt;&gt;H33,1,0)</f>
        <v>0</v>
      </c>
    </row>
    <row r="34" spans="2:81" x14ac:dyDescent="0.2">
      <c r="B34" t="s">
        <v>1580</v>
      </c>
    </row>
    <row r="35" spans="2:81" x14ac:dyDescent="0.2">
      <c r="B35" t="s">
        <v>1502</v>
      </c>
      <c r="C35">
        <v>290</v>
      </c>
      <c r="D35" t="s">
        <v>248</v>
      </c>
      <c r="H35">
        <f>H29</f>
        <v>0</v>
      </c>
      <c r="I35">
        <f>I29</f>
        <v>0</v>
      </c>
      <c r="J35">
        <f>J29</f>
        <v>0</v>
      </c>
    </row>
    <row r="36" spans="2:81" x14ac:dyDescent="0.2">
      <c r="B36" t="s">
        <v>1581</v>
      </c>
      <c r="C36">
        <v>300</v>
      </c>
      <c r="D36" t="s">
        <v>248</v>
      </c>
      <c r="H36">
        <f>H33-H35</f>
        <v>0</v>
      </c>
      <c r="I36">
        <f>I33-I35</f>
        <v>0</v>
      </c>
      <c r="J36">
        <f>J33-J35</f>
        <v>0</v>
      </c>
    </row>
    <row r="40" spans="2:81" x14ac:dyDescent="0.2">
      <c r="D40" t="s">
        <v>25</v>
      </c>
      <c r="E40" t="s">
        <v>235</v>
      </c>
      <c r="F40" t="s">
        <v>236</v>
      </c>
    </row>
    <row r="41" spans="2:81" x14ac:dyDescent="0.2">
      <c r="B41" t="s">
        <v>1584</v>
      </c>
      <c r="C41" t="s">
        <v>238</v>
      </c>
      <c r="E41" t="s">
        <v>300</v>
      </c>
      <c r="F41" t="s">
        <v>240</v>
      </c>
    </row>
    <row r="42" spans="2:81" x14ac:dyDescent="0.2">
      <c r="C42" t="s">
        <v>242</v>
      </c>
      <c r="E42" t="s">
        <v>243</v>
      </c>
      <c r="F42" t="s">
        <v>243</v>
      </c>
    </row>
    <row r="43" spans="2:81" x14ac:dyDescent="0.2">
      <c r="B43" t="s">
        <v>1585</v>
      </c>
      <c r="C43">
        <v>310</v>
      </c>
      <c r="D43" t="s">
        <v>248</v>
      </c>
    </row>
    <row r="44" spans="2:81" x14ac:dyDescent="0.2">
      <c r="B44" t="s">
        <v>1586</v>
      </c>
      <c r="C44">
        <v>320</v>
      </c>
      <c r="D44" t="s">
        <v>245</v>
      </c>
      <c r="CA44">
        <f>IF(E44&gt;0,1,0)</f>
        <v>0</v>
      </c>
    </row>
    <row r="48" spans="2:81" x14ac:dyDescent="0.2">
      <c r="D48" t="s">
        <v>25</v>
      </c>
      <c r="E48" t="s">
        <v>235</v>
      </c>
      <c r="F48" t="s">
        <v>236</v>
      </c>
      <c r="G48" t="s">
        <v>293</v>
      </c>
      <c r="H48" t="s">
        <v>294</v>
      </c>
      <c r="I48" t="s">
        <v>295</v>
      </c>
      <c r="J48" t="s">
        <v>296</v>
      </c>
      <c r="K48" t="s">
        <v>342</v>
      </c>
      <c r="L48" t="s">
        <v>297</v>
      </c>
    </row>
    <row r="49" spans="2:81" x14ac:dyDescent="0.2">
      <c r="B49" t="s">
        <v>1587</v>
      </c>
      <c r="E49" t="s">
        <v>1588</v>
      </c>
      <c r="F49" t="s">
        <v>1589</v>
      </c>
      <c r="G49" t="s">
        <v>1590</v>
      </c>
      <c r="H49" t="s">
        <v>1591</v>
      </c>
      <c r="I49" t="s">
        <v>1572</v>
      </c>
      <c r="J49" t="s">
        <v>1573</v>
      </c>
      <c r="K49" t="s">
        <v>1592</v>
      </c>
      <c r="L49" t="s">
        <v>1571</v>
      </c>
    </row>
    <row r="50" spans="2:81" x14ac:dyDescent="0.2">
      <c r="C50" t="s">
        <v>238</v>
      </c>
      <c r="E50" t="s">
        <v>300</v>
      </c>
      <c r="F50" t="s">
        <v>300</v>
      </c>
      <c r="G50" t="s">
        <v>300</v>
      </c>
      <c r="H50" t="s">
        <v>300</v>
      </c>
      <c r="I50" t="s">
        <v>300</v>
      </c>
      <c r="J50" t="s">
        <v>300</v>
      </c>
      <c r="K50" t="s">
        <v>240</v>
      </c>
      <c r="L50" t="s">
        <v>240</v>
      </c>
    </row>
    <row r="51" spans="2:81" x14ac:dyDescent="0.2">
      <c r="B51" t="s">
        <v>1593</v>
      </c>
      <c r="C51" t="s">
        <v>242</v>
      </c>
      <c r="E51" t="s">
        <v>243</v>
      </c>
      <c r="F51" t="s">
        <v>243</v>
      </c>
      <c r="G51" t="s">
        <v>243</v>
      </c>
      <c r="H51" t="s">
        <v>243</v>
      </c>
      <c r="I51" t="s">
        <v>243</v>
      </c>
      <c r="J51" t="s">
        <v>243</v>
      </c>
      <c r="K51" t="s">
        <v>243</v>
      </c>
      <c r="L51" t="s">
        <v>243</v>
      </c>
    </row>
    <row r="52" spans="2:81" x14ac:dyDescent="0.2">
      <c r="B52" t="s">
        <v>1575</v>
      </c>
      <c r="C52">
        <v>330</v>
      </c>
      <c r="D52" t="s">
        <v>248</v>
      </c>
      <c r="G52">
        <f>E52-F52</f>
        <v>0</v>
      </c>
      <c r="J52">
        <f>H52-I52</f>
        <v>0</v>
      </c>
    </row>
    <row r="53" spans="2:81" x14ac:dyDescent="0.2">
      <c r="B53" t="s">
        <v>1576</v>
      </c>
      <c r="C53">
        <v>340</v>
      </c>
      <c r="D53" t="s">
        <v>248</v>
      </c>
      <c r="G53">
        <f>E53-F53</f>
        <v>0</v>
      </c>
      <c r="J53">
        <f>H53-I53</f>
        <v>0</v>
      </c>
    </row>
    <row r="54" spans="2:81" x14ac:dyDescent="0.2">
      <c r="B54" t="s">
        <v>1577</v>
      </c>
      <c r="C54">
        <v>350</v>
      </c>
      <c r="D54" t="s">
        <v>248</v>
      </c>
      <c r="G54">
        <f>E54-F54</f>
        <v>0</v>
      </c>
      <c r="J54">
        <f>H54-I54</f>
        <v>0</v>
      </c>
    </row>
    <row r="55" spans="2:81" x14ac:dyDescent="0.2">
      <c r="B55" t="s">
        <v>1578</v>
      </c>
      <c r="C55">
        <v>360</v>
      </c>
      <c r="D55" t="s">
        <v>245</v>
      </c>
      <c r="G55">
        <f>E55-F55</f>
        <v>0</v>
      </c>
      <c r="CA55">
        <f>IF(OR(E55&gt;0,F55&gt;0),1,0)</f>
        <v>0</v>
      </c>
    </row>
    <row r="56" spans="2:81" x14ac:dyDescent="0.2">
      <c r="B56" t="s">
        <v>1594</v>
      </c>
      <c r="C56">
        <v>370</v>
      </c>
      <c r="D56" t="s">
        <v>248</v>
      </c>
      <c r="E56">
        <f t="shared" ref="E56:J56" si="3">SUM(E52:E55)</f>
        <v>0</v>
      </c>
      <c r="F56">
        <f t="shared" si="3"/>
        <v>0</v>
      </c>
      <c r="G56">
        <f t="shared" si="3"/>
        <v>0</v>
      </c>
      <c r="H56">
        <f t="shared" si="3"/>
        <v>0</v>
      </c>
      <c r="I56">
        <f t="shared" si="3"/>
        <v>0</v>
      </c>
      <c r="J56">
        <f t="shared" si="3"/>
        <v>0</v>
      </c>
    </row>
    <row r="57" spans="2:81" x14ac:dyDescent="0.2">
      <c r="B57" t="s">
        <v>1595</v>
      </c>
      <c r="C57">
        <v>380</v>
      </c>
      <c r="D57" t="s">
        <v>245</v>
      </c>
      <c r="G57">
        <f>E57-F57</f>
        <v>0</v>
      </c>
      <c r="J57">
        <f>H57-I57</f>
        <v>0</v>
      </c>
      <c r="CA57">
        <f>IF(OR(E57&gt;0,F57&gt;0,H57&gt;0,I57&gt;0),1,0)</f>
        <v>0</v>
      </c>
    </row>
    <row r="58" spans="2:81" x14ac:dyDescent="0.2">
      <c r="B58" t="s">
        <v>340</v>
      </c>
      <c r="C58">
        <v>390</v>
      </c>
      <c r="D58" t="s">
        <v>248</v>
      </c>
      <c r="E58">
        <f t="shared" ref="E58:J58" si="4">SUM(E56:E57)</f>
        <v>0</v>
      </c>
      <c r="F58">
        <f t="shared" si="4"/>
        <v>0</v>
      </c>
      <c r="G58">
        <f t="shared" si="4"/>
        <v>0</v>
      </c>
      <c r="H58">
        <f t="shared" si="4"/>
        <v>0</v>
      </c>
      <c r="I58">
        <f t="shared" si="4"/>
        <v>0</v>
      </c>
      <c r="J58">
        <f t="shared" si="4"/>
        <v>0</v>
      </c>
      <c r="CC58">
        <f>IF(E58&lt;&gt;H58,1,0)</f>
        <v>0</v>
      </c>
    </row>
    <row r="59" spans="2:81" x14ac:dyDescent="0.2">
      <c r="B59" t="s">
        <v>1580</v>
      </c>
    </row>
    <row r="60" spans="2:81" x14ac:dyDescent="0.2">
      <c r="B60" t="s">
        <v>1596</v>
      </c>
      <c r="C60">
        <v>400</v>
      </c>
      <c r="D60" t="s">
        <v>248</v>
      </c>
      <c r="J60">
        <f>H60-I60</f>
        <v>0</v>
      </c>
    </row>
    <row r="61" spans="2:81" x14ac:dyDescent="0.2">
      <c r="B61" t="s">
        <v>1597</v>
      </c>
      <c r="C61">
        <v>410</v>
      </c>
      <c r="D61" t="s">
        <v>248</v>
      </c>
      <c r="H61">
        <f>H58-H60</f>
        <v>0</v>
      </c>
      <c r="I61">
        <f>I58-I60</f>
        <v>0</v>
      </c>
      <c r="J61">
        <f>J58-J60</f>
        <v>0</v>
      </c>
    </row>
    <row r="62" spans="2:81" x14ac:dyDescent="0.2">
      <c r="B62" t="s">
        <v>1598</v>
      </c>
    </row>
    <row r="63" spans="2:81" x14ac:dyDescent="0.2">
      <c r="B63" t="s">
        <v>1575</v>
      </c>
      <c r="C63">
        <v>420</v>
      </c>
      <c r="D63" t="s">
        <v>248</v>
      </c>
      <c r="G63">
        <f>E63-F63</f>
        <v>0</v>
      </c>
      <c r="J63">
        <f>H63-I63</f>
        <v>0</v>
      </c>
    </row>
    <row r="64" spans="2:81" x14ac:dyDescent="0.2">
      <c r="B64" t="s">
        <v>1576</v>
      </c>
      <c r="C64">
        <v>430</v>
      </c>
      <c r="D64" t="s">
        <v>248</v>
      </c>
      <c r="G64">
        <f>E64-F64</f>
        <v>0</v>
      </c>
      <c r="J64">
        <f>H64-I64</f>
        <v>0</v>
      </c>
    </row>
    <row r="65" spans="2:81" x14ac:dyDescent="0.2">
      <c r="B65" t="s">
        <v>1577</v>
      </c>
      <c r="C65">
        <v>440</v>
      </c>
      <c r="D65" t="s">
        <v>248</v>
      </c>
      <c r="G65">
        <f>E65-F65</f>
        <v>0</v>
      </c>
      <c r="J65">
        <f>H65-I65</f>
        <v>0</v>
      </c>
    </row>
    <row r="66" spans="2:81" x14ac:dyDescent="0.2">
      <c r="B66" t="s">
        <v>1578</v>
      </c>
      <c r="C66">
        <v>450</v>
      </c>
      <c r="D66" t="s">
        <v>245</v>
      </c>
      <c r="G66">
        <f>E66-F66</f>
        <v>0</v>
      </c>
      <c r="CA66">
        <f>IF(OR(E66&gt;0,F66&gt;0),1,0)</f>
        <v>0</v>
      </c>
    </row>
    <row r="67" spans="2:81" x14ac:dyDescent="0.2">
      <c r="B67" t="s">
        <v>1594</v>
      </c>
      <c r="C67">
        <v>460</v>
      </c>
      <c r="D67" t="s">
        <v>248</v>
      </c>
      <c r="E67">
        <f t="shared" ref="E67:J67" si="5">SUM(E63:E66)</f>
        <v>0</v>
      </c>
      <c r="F67">
        <f t="shared" si="5"/>
        <v>0</v>
      </c>
      <c r="G67">
        <f t="shared" si="5"/>
        <v>0</v>
      </c>
      <c r="H67">
        <f t="shared" si="5"/>
        <v>0</v>
      </c>
      <c r="I67">
        <f t="shared" si="5"/>
        <v>0</v>
      </c>
      <c r="J67">
        <f t="shared" si="5"/>
        <v>0</v>
      </c>
    </row>
    <row r="68" spans="2:81" x14ac:dyDescent="0.2">
      <c r="B68" t="s">
        <v>1595</v>
      </c>
      <c r="C68">
        <v>470</v>
      </c>
      <c r="D68" t="s">
        <v>245</v>
      </c>
      <c r="G68">
        <f>E68-F68</f>
        <v>0</v>
      </c>
      <c r="J68">
        <f>H68-I68</f>
        <v>0</v>
      </c>
      <c r="CA68">
        <f>IF(OR(E68&gt;0,F68&gt;0,H68&gt;0,I68&gt;0),1,0)</f>
        <v>0</v>
      </c>
    </row>
    <row r="69" spans="2:81" x14ac:dyDescent="0.2">
      <c r="B69" t="s">
        <v>340</v>
      </c>
      <c r="C69">
        <v>480</v>
      </c>
      <c r="D69" t="s">
        <v>248</v>
      </c>
      <c r="E69">
        <f t="shared" ref="E69:J69" si="6">SUM(E67:E68)</f>
        <v>0</v>
      </c>
      <c r="F69">
        <f t="shared" si="6"/>
        <v>0</v>
      </c>
      <c r="G69">
        <f t="shared" si="6"/>
        <v>0</v>
      </c>
      <c r="H69">
        <f t="shared" si="6"/>
        <v>0</v>
      </c>
      <c r="I69">
        <f t="shared" si="6"/>
        <v>0</v>
      </c>
      <c r="J69">
        <f t="shared" si="6"/>
        <v>0</v>
      </c>
      <c r="CC69">
        <f>IF(E69&lt;&gt;H69,1,0)</f>
        <v>0</v>
      </c>
    </row>
    <row r="70" spans="2:81" x14ac:dyDescent="0.2">
      <c r="B70" t="s">
        <v>1580</v>
      </c>
    </row>
    <row r="71" spans="2:81" x14ac:dyDescent="0.2">
      <c r="B71" t="s">
        <v>1596</v>
      </c>
      <c r="C71">
        <v>490</v>
      </c>
      <c r="D71" t="s">
        <v>248</v>
      </c>
      <c r="J71">
        <f>H71-I71</f>
        <v>0</v>
      </c>
    </row>
    <row r="72" spans="2:81" x14ac:dyDescent="0.2">
      <c r="B72" t="s">
        <v>1597</v>
      </c>
      <c r="C72">
        <v>500</v>
      </c>
      <c r="D72" t="s">
        <v>248</v>
      </c>
      <c r="H72">
        <f>H69-H71</f>
        <v>0</v>
      </c>
      <c r="I72">
        <f>I69-I71</f>
        <v>0</v>
      </c>
      <c r="J72">
        <f>J69-J71</f>
        <v>0</v>
      </c>
    </row>
    <row r="73" spans="2:81" x14ac:dyDescent="0.2">
      <c r="B73" t="s">
        <v>1599</v>
      </c>
    </row>
    <row r="74" spans="2:81" x14ac:dyDescent="0.2">
      <c r="B74" t="s">
        <v>1575</v>
      </c>
      <c r="C74">
        <v>510</v>
      </c>
      <c r="D74" t="s">
        <v>248</v>
      </c>
      <c r="G74">
        <f>E74-F74</f>
        <v>0</v>
      </c>
      <c r="J74">
        <f>H74-I74</f>
        <v>0</v>
      </c>
    </row>
    <row r="75" spans="2:81" x14ac:dyDescent="0.2">
      <c r="B75" t="s">
        <v>1576</v>
      </c>
      <c r="C75">
        <v>520</v>
      </c>
      <c r="D75" t="s">
        <v>248</v>
      </c>
      <c r="G75">
        <f>E75-F75</f>
        <v>0</v>
      </c>
      <c r="J75">
        <f>H75-I75</f>
        <v>0</v>
      </c>
    </row>
    <row r="76" spans="2:81" x14ac:dyDescent="0.2">
      <c r="B76" t="s">
        <v>1577</v>
      </c>
      <c r="C76">
        <v>530</v>
      </c>
      <c r="D76" t="s">
        <v>248</v>
      </c>
      <c r="G76">
        <f>E76-F76</f>
        <v>0</v>
      </c>
      <c r="J76">
        <f>H76-I76</f>
        <v>0</v>
      </c>
    </row>
    <row r="77" spans="2:81" x14ac:dyDescent="0.2">
      <c r="B77" t="s">
        <v>1578</v>
      </c>
      <c r="C77">
        <v>540</v>
      </c>
      <c r="D77" t="s">
        <v>245</v>
      </c>
      <c r="G77">
        <f>E77-F77</f>
        <v>0</v>
      </c>
      <c r="CA77">
        <f>IF(OR(E77&gt;0,F77&gt;0),1,0)</f>
        <v>0</v>
      </c>
    </row>
    <row r="78" spans="2:81" x14ac:dyDescent="0.2">
      <c r="B78" t="s">
        <v>1594</v>
      </c>
      <c r="C78">
        <v>550</v>
      </c>
      <c r="D78" t="s">
        <v>248</v>
      </c>
      <c r="E78">
        <f t="shared" ref="E78:J78" si="7">SUM(E74:E77)</f>
        <v>0</v>
      </c>
      <c r="F78">
        <f t="shared" si="7"/>
        <v>0</v>
      </c>
      <c r="G78">
        <f t="shared" si="7"/>
        <v>0</v>
      </c>
      <c r="H78">
        <f t="shared" si="7"/>
        <v>0</v>
      </c>
      <c r="I78">
        <f t="shared" si="7"/>
        <v>0</v>
      </c>
      <c r="J78">
        <f t="shared" si="7"/>
        <v>0</v>
      </c>
    </row>
    <row r="79" spans="2:81" x14ac:dyDescent="0.2">
      <c r="B79" t="s">
        <v>1595</v>
      </c>
      <c r="C79">
        <v>560</v>
      </c>
      <c r="D79" t="s">
        <v>245</v>
      </c>
      <c r="G79">
        <f>E79-F79</f>
        <v>0</v>
      </c>
      <c r="J79">
        <f>H79-I79</f>
        <v>0</v>
      </c>
      <c r="CA79">
        <f>IF(OR(E79&gt;0,F79&gt;0,H79&gt;0,I79&gt;0),1,0)</f>
        <v>0</v>
      </c>
    </row>
    <row r="80" spans="2:81" x14ac:dyDescent="0.2">
      <c r="B80" t="s">
        <v>340</v>
      </c>
      <c r="C80">
        <v>570</v>
      </c>
      <c r="D80" t="s">
        <v>248</v>
      </c>
      <c r="E80">
        <f t="shared" ref="E80:J80" si="8">SUM(E78:E79)</f>
        <v>0</v>
      </c>
      <c r="F80">
        <f t="shared" si="8"/>
        <v>0</v>
      </c>
      <c r="G80">
        <f t="shared" si="8"/>
        <v>0</v>
      </c>
      <c r="H80">
        <f t="shared" si="8"/>
        <v>0</v>
      </c>
      <c r="I80">
        <f t="shared" si="8"/>
        <v>0</v>
      </c>
      <c r="J80">
        <f t="shared" si="8"/>
        <v>0</v>
      </c>
      <c r="CC80">
        <f>IF(E80&lt;&gt;H80,1,0)</f>
        <v>0</v>
      </c>
    </row>
    <row r="81" spans="2:79" x14ac:dyDescent="0.2">
      <c r="B81" t="s">
        <v>1580</v>
      </c>
    </row>
    <row r="82" spans="2:79" x14ac:dyDescent="0.2">
      <c r="B82" t="s">
        <v>1596</v>
      </c>
      <c r="C82">
        <v>580</v>
      </c>
      <c r="D82" t="s">
        <v>248</v>
      </c>
      <c r="J82">
        <f>H82-I82</f>
        <v>0</v>
      </c>
    </row>
    <row r="83" spans="2:79" x14ac:dyDescent="0.2">
      <c r="B83" t="s">
        <v>1597</v>
      </c>
      <c r="C83">
        <v>590</v>
      </c>
      <c r="D83" t="s">
        <v>248</v>
      </c>
      <c r="H83">
        <f>H80-H82</f>
        <v>0</v>
      </c>
      <c r="I83">
        <f>I80-I82</f>
        <v>0</v>
      </c>
      <c r="J83">
        <f>J80-J82</f>
        <v>0</v>
      </c>
    </row>
    <row r="87" spans="2:79" x14ac:dyDescent="0.2">
      <c r="D87" t="s">
        <v>25</v>
      </c>
      <c r="E87" t="s">
        <v>235</v>
      </c>
      <c r="F87" t="s">
        <v>236</v>
      </c>
    </row>
    <row r="88" spans="2:79" x14ac:dyDescent="0.2">
      <c r="B88" t="s">
        <v>164</v>
      </c>
      <c r="C88" t="s">
        <v>238</v>
      </c>
      <c r="E88" t="s">
        <v>300</v>
      </c>
      <c r="F88" t="s">
        <v>240</v>
      </c>
    </row>
    <row r="89" spans="2:79" x14ac:dyDescent="0.2">
      <c r="C89" t="s">
        <v>242</v>
      </c>
      <c r="E89" t="s">
        <v>243</v>
      </c>
      <c r="F89" t="s">
        <v>243</v>
      </c>
    </row>
    <row r="90" spans="2:79" x14ac:dyDescent="0.2">
      <c r="B90" t="s">
        <v>1600</v>
      </c>
      <c r="C90">
        <v>600</v>
      </c>
      <c r="D90" t="s">
        <v>248</v>
      </c>
    </row>
    <row r="91" spans="2:79" x14ac:dyDescent="0.2">
      <c r="B91" t="s">
        <v>1601</v>
      </c>
      <c r="C91">
        <v>610</v>
      </c>
      <c r="D91" t="s">
        <v>245</v>
      </c>
      <c r="CA91">
        <f>IF(E91&gt;0,1,0)</f>
        <v>0</v>
      </c>
    </row>
    <row r="95" spans="2:79" x14ac:dyDescent="0.2">
      <c r="D95" t="s">
        <v>25</v>
      </c>
      <c r="E95" t="s">
        <v>235</v>
      </c>
      <c r="F95" t="s">
        <v>236</v>
      </c>
    </row>
    <row r="96" spans="2:79" x14ac:dyDescent="0.2">
      <c r="B96" t="s">
        <v>165</v>
      </c>
      <c r="C96" t="s">
        <v>238</v>
      </c>
      <c r="E96" t="s">
        <v>300</v>
      </c>
      <c r="F96" t="s">
        <v>240</v>
      </c>
    </row>
    <row r="97" spans="2:12" x14ac:dyDescent="0.2">
      <c r="C97" t="s">
        <v>242</v>
      </c>
      <c r="E97" t="s">
        <v>243</v>
      </c>
      <c r="F97" t="s">
        <v>243</v>
      </c>
    </row>
    <row r="98" spans="2:12" x14ac:dyDescent="0.2">
      <c r="B98" t="s">
        <v>660</v>
      </c>
      <c r="C98">
        <v>620</v>
      </c>
      <c r="D98" t="s">
        <v>248</v>
      </c>
    </row>
    <row r="99" spans="2:12" x14ac:dyDescent="0.2">
      <c r="B99" t="s">
        <v>352</v>
      </c>
      <c r="C99">
        <v>630</v>
      </c>
      <c r="D99" t="s">
        <v>248</v>
      </c>
    </row>
    <row r="100" spans="2:12" x14ac:dyDescent="0.2">
      <c r="B100" t="s">
        <v>661</v>
      </c>
      <c r="C100">
        <v>640</v>
      </c>
      <c r="D100" t="s">
        <v>248</v>
      </c>
      <c r="E100">
        <f>SUM(E98:E99)</f>
        <v>0</v>
      </c>
    </row>
    <row r="104" spans="2:12" x14ac:dyDescent="0.2">
      <c r="D104" t="s">
        <v>25</v>
      </c>
      <c r="E104" t="s">
        <v>235</v>
      </c>
      <c r="F104" t="s">
        <v>236</v>
      </c>
    </row>
    <row r="105" spans="2:12" x14ac:dyDescent="0.2">
      <c r="B105" t="s">
        <v>166</v>
      </c>
      <c r="C105" t="s">
        <v>238</v>
      </c>
      <c r="E105" t="s">
        <v>1602</v>
      </c>
      <c r="F105" t="s">
        <v>240</v>
      </c>
    </row>
    <row r="106" spans="2:12" x14ac:dyDescent="0.2">
      <c r="C106" t="s">
        <v>242</v>
      </c>
      <c r="E106" t="s">
        <v>243</v>
      </c>
      <c r="F106" t="s">
        <v>243</v>
      </c>
    </row>
    <row r="107" spans="2:12" x14ac:dyDescent="0.2">
      <c r="B107" t="s">
        <v>1603</v>
      </c>
      <c r="C107">
        <v>650</v>
      </c>
      <c r="D107" t="s">
        <v>248</v>
      </c>
    </row>
    <row r="111" spans="2:12" x14ac:dyDescent="0.2">
      <c r="D111" t="s">
        <v>25</v>
      </c>
      <c r="E111" t="s">
        <v>235</v>
      </c>
      <c r="F111" t="s">
        <v>236</v>
      </c>
      <c r="G111" t="s">
        <v>293</v>
      </c>
      <c r="H111" t="s">
        <v>294</v>
      </c>
      <c r="I111" t="s">
        <v>295</v>
      </c>
      <c r="J111" t="s">
        <v>296</v>
      </c>
      <c r="K111" t="s">
        <v>342</v>
      </c>
      <c r="L111" t="s">
        <v>297</v>
      </c>
    </row>
    <row r="112" spans="2:12" x14ac:dyDescent="0.2">
      <c r="B112" t="s">
        <v>161</v>
      </c>
      <c r="E112" t="s">
        <v>1568</v>
      </c>
      <c r="F112" t="s">
        <v>3009</v>
      </c>
      <c r="G112" t="s">
        <v>1570</v>
      </c>
      <c r="H112" t="s">
        <v>1591</v>
      </c>
      <c r="I112" t="s">
        <v>1572</v>
      </c>
      <c r="J112" t="s">
        <v>1573</v>
      </c>
      <c r="K112" t="s">
        <v>804</v>
      </c>
      <c r="L112" t="s">
        <v>1571</v>
      </c>
    </row>
    <row r="113" spans="2:12" x14ac:dyDescent="0.2">
      <c r="C113" t="s">
        <v>238</v>
      </c>
      <c r="E113" t="s">
        <v>300</v>
      </c>
      <c r="F113" t="s">
        <v>300</v>
      </c>
      <c r="G113" t="s">
        <v>300</v>
      </c>
      <c r="H113" t="s">
        <v>300</v>
      </c>
      <c r="I113" t="s">
        <v>300</v>
      </c>
      <c r="J113" t="s">
        <v>300</v>
      </c>
      <c r="K113" t="s">
        <v>240</v>
      </c>
      <c r="L113" t="s">
        <v>240</v>
      </c>
    </row>
    <row r="114" spans="2:12" x14ac:dyDescent="0.2">
      <c r="B114" t="s">
        <v>1604</v>
      </c>
      <c r="C114" t="s">
        <v>242</v>
      </c>
      <c r="E114" t="s">
        <v>243</v>
      </c>
      <c r="F114" t="s">
        <v>243</v>
      </c>
      <c r="G114" t="s">
        <v>243</v>
      </c>
      <c r="H114" t="s">
        <v>243</v>
      </c>
      <c r="I114" t="s">
        <v>243</v>
      </c>
      <c r="J114" t="s">
        <v>243</v>
      </c>
      <c r="K114" t="s">
        <v>243</v>
      </c>
      <c r="L114" t="s">
        <v>243</v>
      </c>
    </row>
    <row r="115" spans="2:12" x14ac:dyDescent="0.2">
      <c r="B115" t="s">
        <v>1575</v>
      </c>
      <c r="C115">
        <v>660</v>
      </c>
      <c r="D115" t="s">
        <v>248</v>
      </c>
      <c r="E115">
        <f t="shared" ref="E115:L117" si="9">E11+E20+E29</f>
        <v>0</v>
      </c>
      <c r="F115">
        <f t="shared" si="9"/>
        <v>0</v>
      </c>
      <c r="G115">
        <f t="shared" si="9"/>
        <v>0</v>
      </c>
      <c r="H115">
        <f t="shared" si="9"/>
        <v>0</v>
      </c>
      <c r="I115">
        <f t="shared" si="9"/>
        <v>0</v>
      </c>
      <c r="J115">
        <f t="shared" si="9"/>
        <v>0</v>
      </c>
      <c r="K115">
        <f t="shared" si="9"/>
        <v>0</v>
      </c>
      <c r="L115">
        <f t="shared" si="9"/>
        <v>0</v>
      </c>
    </row>
    <row r="116" spans="2:12" x14ac:dyDescent="0.2">
      <c r="B116" t="s">
        <v>1576</v>
      </c>
      <c r="C116">
        <v>670</v>
      </c>
      <c r="D116" t="s">
        <v>248</v>
      </c>
      <c r="E116">
        <f t="shared" si="9"/>
        <v>0</v>
      </c>
      <c r="F116">
        <f t="shared" si="9"/>
        <v>0</v>
      </c>
      <c r="G116">
        <f t="shared" si="9"/>
        <v>0</v>
      </c>
      <c r="H116">
        <f t="shared" si="9"/>
        <v>0</v>
      </c>
      <c r="I116">
        <f t="shared" si="9"/>
        <v>0</v>
      </c>
      <c r="J116">
        <f t="shared" si="9"/>
        <v>0</v>
      </c>
      <c r="K116">
        <f t="shared" si="9"/>
        <v>0</v>
      </c>
      <c r="L116">
        <f t="shared" si="9"/>
        <v>0</v>
      </c>
    </row>
    <row r="117" spans="2:12" x14ac:dyDescent="0.2">
      <c r="B117" t="s">
        <v>1577</v>
      </c>
      <c r="C117">
        <v>680</v>
      </c>
      <c r="D117" t="s">
        <v>248</v>
      </c>
      <c r="E117">
        <f t="shared" si="9"/>
        <v>0</v>
      </c>
      <c r="F117">
        <f t="shared" si="9"/>
        <v>0</v>
      </c>
      <c r="G117">
        <f t="shared" si="9"/>
        <v>0</v>
      </c>
      <c r="H117">
        <f t="shared" si="9"/>
        <v>0</v>
      </c>
      <c r="I117">
        <f t="shared" si="9"/>
        <v>0</v>
      </c>
      <c r="J117">
        <f t="shared" si="9"/>
        <v>0</v>
      </c>
      <c r="K117">
        <f t="shared" si="9"/>
        <v>0</v>
      </c>
      <c r="L117">
        <f t="shared" si="9"/>
        <v>0</v>
      </c>
    </row>
    <row r="118" spans="2:12" x14ac:dyDescent="0.2">
      <c r="B118" t="s">
        <v>1578</v>
      </c>
      <c r="C118">
        <v>690</v>
      </c>
      <c r="D118" t="s">
        <v>245</v>
      </c>
      <c r="E118">
        <f t="shared" ref="E118:G119" si="10">E14+E23+E32</f>
        <v>0</v>
      </c>
      <c r="F118">
        <f t="shared" si="10"/>
        <v>0</v>
      </c>
      <c r="G118">
        <f t="shared" si="10"/>
        <v>0</v>
      </c>
      <c r="K118">
        <f>K14+K23+K32</f>
        <v>0</v>
      </c>
    </row>
    <row r="119" spans="2:12" x14ac:dyDescent="0.2">
      <c r="B119" t="s">
        <v>1579</v>
      </c>
      <c r="C119">
        <v>700</v>
      </c>
      <c r="D119" t="s">
        <v>248</v>
      </c>
      <c r="E119">
        <f t="shared" si="10"/>
        <v>0</v>
      </c>
      <c r="F119">
        <f t="shared" si="10"/>
        <v>0</v>
      </c>
      <c r="G119">
        <f t="shared" si="10"/>
        <v>0</v>
      </c>
      <c r="H119">
        <f>H15+H24+H33</f>
        <v>0</v>
      </c>
      <c r="I119">
        <f>I15+I24+I33</f>
        <v>0</v>
      </c>
      <c r="J119">
        <f>J15+J24+J33</f>
        <v>0</v>
      </c>
      <c r="K119">
        <f>K15+K24+K33</f>
        <v>0</v>
      </c>
      <c r="L119">
        <f>L15+L24+L33</f>
        <v>0</v>
      </c>
    </row>
    <row r="120" spans="2:12" x14ac:dyDescent="0.2">
      <c r="B120" t="s">
        <v>1580</v>
      </c>
    </row>
    <row r="121" spans="2:12" x14ac:dyDescent="0.2">
      <c r="B121" t="s">
        <v>1502</v>
      </c>
      <c r="C121">
        <v>710</v>
      </c>
      <c r="D121" t="s">
        <v>248</v>
      </c>
      <c r="H121">
        <f t="shared" ref="H121:J122" si="11">H17+H26+H35</f>
        <v>0</v>
      </c>
      <c r="I121">
        <f t="shared" si="11"/>
        <v>0</v>
      </c>
      <c r="J121">
        <f t="shared" si="11"/>
        <v>0</v>
      </c>
      <c r="L121">
        <f>L17+L26+L35</f>
        <v>0</v>
      </c>
    </row>
    <row r="122" spans="2:12" x14ac:dyDescent="0.2">
      <c r="B122" t="s">
        <v>1581</v>
      </c>
      <c r="C122">
        <v>720</v>
      </c>
      <c r="D122" t="s">
        <v>248</v>
      </c>
      <c r="H122">
        <f t="shared" si="11"/>
        <v>0</v>
      </c>
      <c r="I122">
        <f t="shared" si="11"/>
        <v>0</v>
      </c>
      <c r="J122">
        <f t="shared" si="11"/>
        <v>0</v>
      </c>
      <c r="L122">
        <f>L18+L27+L36</f>
        <v>0</v>
      </c>
    </row>
    <row r="126" spans="2:12" x14ac:dyDescent="0.2">
      <c r="D126" t="s">
        <v>25</v>
      </c>
      <c r="E126" t="s">
        <v>235</v>
      </c>
      <c r="F126" t="s">
        <v>236</v>
      </c>
      <c r="G126" t="s">
        <v>293</v>
      </c>
      <c r="H126" t="s">
        <v>294</v>
      </c>
      <c r="I126" t="s">
        <v>295</v>
      </c>
      <c r="J126" t="s">
        <v>296</v>
      </c>
      <c r="K126" t="s">
        <v>342</v>
      </c>
      <c r="L126" t="s">
        <v>297</v>
      </c>
    </row>
    <row r="127" spans="2:12" x14ac:dyDescent="0.2">
      <c r="B127" t="s">
        <v>1605</v>
      </c>
      <c r="E127" t="s">
        <v>1592</v>
      </c>
      <c r="F127" t="s">
        <v>1589</v>
      </c>
      <c r="G127" t="s">
        <v>1590</v>
      </c>
      <c r="H127" t="s">
        <v>1571</v>
      </c>
      <c r="I127" t="s">
        <v>1572</v>
      </c>
      <c r="J127" t="s">
        <v>1573</v>
      </c>
      <c r="K127" t="s">
        <v>1592</v>
      </c>
      <c r="L127" t="s">
        <v>1571</v>
      </c>
    </row>
    <row r="128" spans="2:12" x14ac:dyDescent="0.2">
      <c r="C128" t="s">
        <v>238</v>
      </c>
      <c r="E128" t="s">
        <v>300</v>
      </c>
      <c r="F128" t="s">
        <v>300</v>
      </c>
      <c r="G128" t="s">
        <v>300</v>
      </c>
      <c r="H128" t="s">
        <v>300</v>
      </c>
      <c r="I128" t="s">
        <v>300</v>
      </c>
      <c r="J128" t="s">
        <v>300</v>
      </c>
      <c r="K128" t="s">
        <v>240</v>
      </c>
      <c r="L128" t="s">
        <v>240</v>
      </c>
    </row>
    <row r="129" spans="2:12" x14ac:dyDescent="0.2">
      <c r="B129" t="s">
        <v>1606</v>
      </c>
      <c r="C129" t="s">
        <v>242</v>
      </c>
      <c r="E129" t="s">
        <v>243</v>
      </c>
      <c r="F129" t="s">
        <v>243</v>
      </c>
      <c r="G129" t="s">
        <v>243</v>
      </c>
      <c r="H129" t="s">
        <v>243</v>
      </c>
      <c r="I129" t="s">
        <v>243</v>
      </c>
      <c r="J129" t="s">
        <v>243</v>
      </c>
      <c r="K129" t="s">
        <v>243</v>
      </c>
      <c r="L129" t="s">
        <v>243</v>
      </c>
    </row>
    <row r="130" spans="2:12" x14ac:dyDescent="0.2">
      <c r="B130" t="s">
        <v>1575</v>
      </c>
      <c r="C130">
        <v>730</v>
      </c>
      <c r="D130" t="s">
        <v>248</v>
      </c>
      <c r="E130">
        <f t="shared" ref="E130:L132" si="12">E52+E63+E74</f>
        <v>0</v>
      </c>
      <c r="F130">
        <f t="shared" si="12"/>
        <v>0</v>
      </c>
      <c r="G130">
        <f t="shared" si="12"/>
        <v>0</v>
      </c>
      <c r="H130">
        <f t="shared" si="12"/>
        <v>0</v>
      </c>
      <c r="I130">
        <f t="shared" si="12"/>
        <v>0</v>
      </c>
      <c r="J130">
        <f t="shared" si="12"/>
        <v>0</v>
      </c>
      <c r="K130">
        <f t="shared" si="12"/>
        <v>0</v>
      </c>
      <c r="L130">
        <f t="shared" si="12"/>
        <v>0</v>
      </c>
    </row>
    <row r="131" spans="2:12" x14ac:dyDescent="0.2">
      <c r="B131" t="s">
        <v>1576</v>
      </c>
      <c r="C131">
        <v>740</v>
      </c>
      <c r="D131" t="s">
        <v>248</v>
      </c>
      <c r="E131">
        <f t="shared" si="12"/>
        <v>0</v>
      </c>
      <c r="F131">
        <f t="shared" si="12"/>
        <v>0</v>
      </c>
      <c r="G131">
        <f t="shared" si="12"/>
        <v>0</v>
      </c>
      <c r="H131">
        <f t="shared" si="12"/>
        <v>0</v>
      </c>
      <c r="I131">
        <f t="shared" si="12"/>
        <v>0</v>
      </c>
      <c r="J131">
        <f t="shared" si="12"/>
        <v>0</v>
      </c>
      <c r="K131">
        <f t="shared" si="12"/>
        <v>0</v>
      </c>
      <c r="L131">
        <f t="shared" si="12"/>
        <v>0</v>
      </c>
    </row>
    <row r="132" spans="2:12" x14ac:dyDescent="0.2">
      <c r="B132" t="s">
        <v>1577</v>
      </c>
      <c r="C132">
        <v>750</v>
      </c>
      <c r="D132" t="s">
        <v>248</v>
      </c>
      <c r="E132">
        <f t="shared" si="12"/>
        <v>0</v>
      </c>
      <c r="F132">
        <f t="shared" si="12"/>
        <v>0</v>
      </c>
      <c r="G132">
        <f t="shared" si="12"/>
        <v>0</v>
      </c>
      <c r="H132">
        <f t="shared" si="12"/>
        <v>0</v>
      </c>
      <c r="I132">
        <f t="shared" si="12"/>
        <v>0</v>
      </c>
      <c r="J132">
        <f t="shared" si="12"/>
        <v>0</v>
      </c>
      <c r="K132">
        <f t="shared" si="12"/>
        <v>0</v>
      </c>
      <c r="L132">
        <f t="shared" si="12"/>
        <v>0</v>
      </c>
    </row>
    <row r="133" spans="2:12" x14ac:dyDescent="0.2">
      <c r="B133" t="s">
        <v>1578</v>
      </c>
      <c r="C133">
        <v>760</v>
      </c>
      <c r="D133" t="s">
        <v>245</v>
      </c>
      <c r="E133">
        <f>E55+E66+E77</f>
        <v>0</v>
      </c>
      <c r="F133">
        <f>F55+F66+F77</f>
        <v>0</v>
      </c>
      <c r="G133">
        <f>G55+G66+G77</f>
        <v>0</v>
      </c>
      <c r="K133">
        <f>K55+K66+K77</f>
        <v>0</v>
      </c>
    </row>
    <row r="134" spans="2:12" x14ac:dyDescent="0.2">
      <c r="B134" t="s">
        <v>1594</v>
      </c>
      <c r="C134">
        <v>770</v>
      </c>
      <c r="D134" t="s">
        <v>248</v>
      </c>
      <c r="E134">
        <f t="shared" ref="E134:L134" si="13">SUM(E130:E133)</f>
        <v>0</v>
      </c>
      <c r="F134">
        <f t="shared" si="13"/>
        <v>0</v>
      </c>
      <c r="G134">
        <f t="shared" si="13"/>
        <v>0</v>
      </c>
      <c r="H134">
        <f t="shared" si="13"/>
        <v>0</v>
      </c>
      <c r="I134">
        <f t="shared" si="13"/>
        <v>0</v>
      </c>
      <c r="J134">
        <f t="shared" si="13"/>
        <v>0</v>
      </c>
      <c r="K134">
        <f t="shared" si="13"/>
        <v>0</v>
      </c>
      <c r="L134">
        <f t="shared" si="13"/>
        <v>0</v>
      </c>
    </row>
    <row r="135" spans="2:12" x14ac:dyDescent="0.2">
      <c r="B135" t="s">
        <v>1595</v>
      </c>
      <c r="C135">
        <v>780</v>
      </c>
      <c r="D135" t="s">
        <v>245</v>
      </c>
      <c r="E135">
        <f t="shared" ref="E135:L135" si="14">E57+E68+E79</f>
        <v>0</v>
      </c>
      <c r="F135">
        <f t="shared" si="14"/>
        <v>0</v>
      </c>
      <c r="G135">
        <f t="shared" si="14"/>
        <v>0</v>
      </c>
      <c r="H135">
        <f t="shared" si="14"/>
        <v>0</v>
      </c>
      <c r="I135">
        <f t="shared" si="14"/>
        <v>0</v>
      </c>
      <c r="J135">
        <f t="shared" si="14"/>
        <v>0</v>
      </c>
      <c r="K135">
        <f t="shared" si="14"/>
        <v>0</v>
      </c>
      <c r="L135">
        <f t="shared" si="14"/>
        <v>0</v>
      </c>
    </row>
    <row r="136" spans="2:12" x14ac:dyDescent="0.2">
      <c r="B136" t="s">
        <v>340</v>
      </c>
      <c r="C136">
        <v>790</v>
      </c>
      <c r="D136" t="s">
        <v>248</v>
      </c>
      <c r="E136">
        <f t="shared" ref="E136:L136" si="15">SUM(E134:E135)</f>
        <v>0</v>
      </c>
      <c r="F136">
        <f t="shared" si="15"/>
        <v>0</v>
      </c>
      <c r="G136">
        <f t="shared" si="15"/>
        <v>0</v>
      </c>
      <c r="H136">
        <f t="shared" si="15"/>
        <v>0</v>
      </c>
      <c r="I136">
        <f t="shared" si="15"/>
        <v>0</v>
      </c>
      <c r="J136">
        <f t="shared" si="15"/>
        <v>0</v>
      </c>
      <c r="K136">
        <f t="shared" si="15"/>
        <v>0</v>
      </c>
      <c r="L136">
        <f t="shared" si="15"/>
        <v>0</v>
      </c>
    </row>
    <row r="137" spans="2:12" x14ac:dyDescent="0.2">
      <c r="B137" t="s">
        <v>1580</v>
      </c>
    </row>
    <row r="138" spans="2:12" x14ac:dyDescent="0.2">
      <c r="B138" t="s">
        <v>1596</v>
      </c>
      <c r="C138">
        <v>800</v>
      </c>
      <c r="D138" t="s">
        <v>248</v>
      </c>
      <c r="H138">
        <f t="shared" ref="H138:J139" si="16">H60+H71+H82</f>
        <v>0</v>
      </c>
      <c r="I138">
        <f t="shared" si="16"/>
        <v>0</v>
      </c>
      <c r="J138">
        <f t="shared" si="16"/>
        <v>0</v>
      </c>
      <c r="L138">
        <f>L60+L71+L82</f>
        <v>0</v>
      </c>
    </row>
    <row r="139" spans="2:12" x14ac:dyDescent="0.2">
      <c r="B139" t="s">
        <v>1597</v>
      </c>
      <c r="C139">
        <v>810</v>
      </c>
      <c r="D139" t="s">
        <v>248</v>
      </c>
      <c r="H139">
        <f t="shared" si="16"/>
        <v>0</v>
      </c>
      <c r="I139">
        <f t="shared" si="16"/>
        <v>0</v>
      </c>
      <c r="J139">
        <f t="shared" si="16"/>
        <v>0</v>
      </c>
      <c r="L139">
        <f>L61+L72+L83</f>
        <v>0</v>
      </c>
    </row>
  </sheetData>
  <sheetProtection sheet="1" objects="1" scenarios="1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CD112"/>
  <sheetViews>
    <sheetView zoomScale="70" zoomScaleNormal="70" workbookViewId="0"/>
  </sheetViews>
  <sheetFormatPr defaultRowHeight="12.75" x14ac:dyDescent="0.2"/>
  <sheetData>
    <row r="1" spans="1:82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2" x14ac:dyDescent="0.2">
      <c r="A2" t="s">
        <v>3727</v>
      </c>
    </row>
    <row r="3" spans="1:82" x14ac:dyDescent="0.2">
      <c r="A3" t="s">
        <v>3777</v>
      </c>
    </row>
    <row r="4" spans="1:82" x14ac:dyDescent="0.2">
      <c r="B4" t="s">
        <v>1607</v>
      </c>
    </row>
    <row r="5" spans="1:82" x14ac:dyDescent="0.2">
      <c r="B5" t="s">
        <v>66</v>
      </c>
      <c r="CA5" t="s">
        <v>230</v>
      </c>
      <c r="CB5">
        <f>0</f>
        <v>0</v>
      </c>
    </row>
    <row r="6" spans="1:82" x14ac:dyDescent="0.2">
      <c r="CA6" t="s">
        <v>231</v>
      </c>
      <c r="CB6" t="s">
        <v>232</v>
      </c>
      <c r="CC6" t="s">
        <v>239</v>
      </c>
      <c r="CD6" t="s">
        <v>3010</v>
      </c>
    </row>
    <row r="7" spans="1:82" x14ac:dyDescent="0.2">
      <c r="F7" t="s">
        <v>1608</v>
      </c>
      <c r="BB7" t="s">
        <v>241</v>
      </c>
      <c r="CA7">
        <f>SUM(CA10:CA104)</f>
        <v>0</v>
      </c>
      <c r="CB7">
        <f>SUM(CB10:CB104)</f>
        <v>0</v>
      </c>
    </row>
    <row r="8" spans="1:82" x14ac:dyDescent="0.2">
      <c r="C8" t="s">
        <v>238</v>
      </c>
      <c r="D8" t="s">
        <v>25</v>
      </c>
      <c r="E8" t="s">
        <v>235</v>
      </c>
      <c r="F8" t="s">
        <v>236</v>
      </c>
      <c r="G8" t="s">
        <v>293</v>
      </c>
      <c r="H8" t="s">
        <v>294</v>
      </c>
      <c r="I8" t="s">
        <v>295</v>
      </c>
      <c r="J8" t="s">
        <v>296</v>
      </c>
      <c r="K8" t="s">
        <v>342</v>
      </c>
      <c r="L8" t="s">
        <v>297</v>
      </c>
      <c r="M8" t="s">
        <v>298</v>
      </c>
      <c r="N8" t="s">
        <v>299</v>
      </c>
      <c r="BA8" t="s">
        <v>237</v>
      </c>
      <c r="BB8" t="s">
        <v>834</v>
      </c>
      <c r="BC8" t="s">
        <v>835</v>
      </c>
      <c r="BD8" t="s">
        <v>836</v>
      </c>
      <c r="BE8" t="s">
        <v>1609</v>
      </c>
      <c r="BF8" t="s">
        <v>1610</v>
      </c>
      <c r="BG8" t="s">
        <v>1611</v>
      </c>
      <c r="BH8" t="s">
        <v>1612</v>
      </c>
      <c r="BI8" t="s">
        <v>1613</v>
      </c>
      <c r="BJ8" t="s">
        <v>1614</v>
      </c>
    </row>
    <row r="9" spans="1:82" x14ac:dyDescent="0.2">
      <c r="B9" t="s">
        <v>170</v>
      </c>
      <c r="C9" t="s">
        <v>242</v>
      </c>
      <c r="E9" t="s">
        <v>239</v>
      </c>
      <c r="F9" t="s">
        <v>3011</v>
      </c>
      <c r="G9" t="s">
        <v>1616</v>
      </c>
      <c r="H9" t="s">
        <v>1617</v>
      </c>
      <c r="I9" t="s">
        <v>1618</v>
      </c>
      <c r="J9" t="s">
        <v>1619</v>
      </c>
      <c r="K9" t="s">
        <v>3012</v>
      </c>
      <c r="L9" t="s">
        <v>1621</v>
      </c>
      <c r="M9" t="s">
        <v>352</v>
      </c>
      <c r="N9" t="s">
        <v>1622</v>
      </c>
      <c r="BA9" t="s">
        <v>1623</v>
      </c>
      <c r="BB9" t="s">
        <v>1615</v>
      </c>
      <c r="BC9" t="s">
        <v>1616</v>
      </c>
      <c r="BD9" t="s">
        <v>1617</v>
      </c>
      <c r="BE9" t="s">
        <v>1618</v>
      </c>
      <c r="BF9" t="s">
        <v>1619</v>
      </c>
      <c r="BG9" t="s">
        <v>1624</v>
      </c>
      <c r="BH9" t="s">
        <v>1621</v>
      </c>
      <c r="BI9" t="s">
        <v>352</v>
      </c>
      <c r="BJ9" t="s">
        <v>1622</v>
      </c>
    </row>
    <row r="10" spans="1:82" x14ac:dyDescent="0.2"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K10" t="s">
        <v>243</v>
      </c>
      <c r="L10" t="s">
        <v>243</v>
      </c>
      <c r="M10" t="s">
        <v>243</v>
      </c>
      <c r="N10" t="s">
        <v>243</v>
      </c>
      <c r="BA10" t="s">
        <v>243</v>
      </c>
      <c r="BB10" t="s">
        <v>243</v>
      </c>
      <c r="BC10" t="s">
        <v>243</v>
      </c>
      <c r="BD10" t="s">
        <v>243</v>
      </c>
      <c r="BE10" t="s">
        <v>243</v>
      </c>
      <c r="BF10" t="s">
        <v>243</v>
      </c>
      <c r="BG10" t="s">
        <v>243</v>
      </c>
      <c r="BH10" t="s">
        <v>243</v>
      </c>
      <c r="BI10" t="s">
        <v>243</v>
      </c>
      <c r="BJ10" t="s">
        <v>243</v>
      </c>
    </row>
    <row r="11" spans="1:82" x14ac:dyDescent="0.2">
      <c r="B11" t="s">
        <v>1033</v>
      </c>
      <c r="C11">
        <v>100</v>
      </c>
      <c r="D11" t="s">
        <v>248</v>
      </c>
      <c r="E11">
        <f>SUM(F11:N11)</f>
        <v>0</v>
      </c>
      <c r="F11">
        <f>SUM(M83+M94)</f>
        <v>0</v>
      </c>
      <c r="H11">
        <f>SUM(M85+M96)</f>
        <v>0</v>
      </c>
      <c r="I11">
        <f>SUM(M86+M97)</f>
        <v>0</v>
      </c>
      <c r="J11">
        <f>SUM(M87+M98)</f>
        <v>0</v>
      </c>
      <c r="K11">
        <f>SUM(M88+M99)</f>
        <v>0</v>
      </c>
      <c r="M11">
        <f>SUM(M90+M101)</f>
        <v>0</v>
      </c>
      <c r="N11">
        <f>SUM(M91+M102)</f>
        <v>0</v>
      </c>
    </row>
    <row r="12" spans="1:82" x14ac:dyDescent="0.2">
      <c r="B12" t="s">
        <v>1360</v>
      </c>
      <c r="C12">
        <v>102</v>
      </c>
      <c r="D12" t="s">
        <v>251</v>
      </c>
    </row>
    <row r="13" spans="1:82" x14ac:dyDescent="0.2">
      <c r="B13" t="s">
        <v>303</v>
      </c>
      <c r="C13">
        <v>104</v>
      </c>
      <c r="D13" t="s">
        <v>251</v>
      </c>
    </row>
    <row r="14" spans="1:82" x14ac:dyDescent="0.2">
      <c r="B14" t="s">
        <v>389</v>
      </c>
      <c r="C14">
        <v>108</v>
      </c>
      <c r="D14" t="s">
        <v>251</v>
      </c>
      <c r="E14">
        <f>SUM(F14:N14)</f>
        <v>0</v>
      </c>
      <c r="F14">
        <f>SUM(H83+H94)</f>
        <v>0</v>
      </c>
      <c r="H14">
        <f>SUM(H85+H96)</f>
        <v>0</v>
      </c>
      <c r="I14">
        <f>SUM(H86+H97)</f>
        <v>0</v>
      </c>
      <c r="J14">
        <f>SUM(H87+H98)</f>
        <v>0</v>
      </c>
      <c r="K14">
        <f>SUM(H88+H99)</f>
        <v>0</v>
      </c>
      <c r="M14">
        <f>SUM(H90+H101)</f>
        <v>0</v>
      </c>
      <c r="N14">
        <f>SUM(H91+H102)</f>
        <v>0</v>
      </c>
    </row>
    <row r="15" spans="1:82" x14ac:dyDescent="0.2">
      <c r="B15" t="s">
        <v>391</v>
      </c>
      <c r="C15">
        <v>110</v>
      </c>
      <c r="D15" t="s">
        <v>251</v>
      </c>
      <c r="E15">
        <f>SUM(F15:N15)</f>
        <v>0</v>
      </c>
      <c r="F15">
        <f>SUM(F11:F14)</f>
        <v>0</v>
      </c>
      <c r="H15">
        <f>SUM(H11:H14)</f>
        <v>0</v>
      </c>
      <c r="I15">
        <f>SUM(I11:I14)</f>
        <v>0</v>
      </c>
      <c r="J15">
        <f>SUM(J11:J14)</f>
        <v>0</v>
      </c>
      <c r="K15">
        <f>SUM(K11:K14)</f>
        <v>0</v>
      </c>
      <c r="M15">
        <f>SUM(M11:M14)</f>
        <v>0</v>
      </c>
      <c r="N15">
        <f>SUM(N11:N14)</f>
        <v>0</v>
      </c>
      <c r="BA15">
        <f>SUM(BB15:BJ15)</f>
        <v>0</v>
      </c>
      <c r="BB15">
        <f>F15</f>
        <v>0</v>
      </c>
      <c r="BD15">
        <f>H15</f>
        <v>0</v>
      </c>
      <c r="BE15">
        <f>I15</f>
        <v>0</v>
      </c>
      <c r="BF15">
        <f>J15</f>
        <v>0</v>
      </c>
      <c r="BG15">
        <f>K15</f>
        <v>0</v>
      </c>
      <c r="BI15">
        <f t="shared" ref="BI15:BJ17" si="0">M15</f>
        <v>0</v>
      </c>
      <c r="BJ15">
        <f t="shared" si="0"/>
        <v>0</v>
      </c>
    </row>
    <row r="16" spans="1:82" x14ac:dyDescent="0.2">
      <c r="B16" t="s">
        <v>401</v>
      </c>
      <c r="C16">
        <v>112</v>
      </c>
      <c r="D16" t="s">
        <v>251</v>
      </c>
      <c r="E16">
        <f>SUM(F16:N16)</f>
        <v>0</v>
      </c>
      <c r="BA16">
        <f>SUM(BB16:BJ16)</f>
        <v>0</v>
      </c>
      <c r="BB16">
        <f>F16</f>
        <v>0</v>
      </c>
      <c r="BD16">
        <f>H16</f>
        <v>0</v>
      </c>
      <c r="BE16">
        <f>I16</f>
        <v>0</v>
      </c>
      <c r="BG16">
        <f>K16</f>
        <v>0</v>
      </c>
      <c r="BI16">
        <f t="shared" si="0"/>
        <v>0</v>
      </c>
      <c r="BJ16">
        <f t="shared" si="0"/>
        <v>0</v>
      </c>
    </row>
    <row r="17" spans="2:82" x14ac:dyDescent="0.2">
      <c r="B17" t="s">
        <v>402</v>
      </c>
      <c r="C17">
        <v>114</v>
      </c>
      <c r="D17" t="s">
        <v>248</v>
      </c>
      <c r="E17">
        <f>SUM(F17:N17)</f>
        <v>0</v>
      </c>
      <c r="BA17">
        <f>SUM(BB17:BJ17)</f>
        <v>0</v>
      </c>
      <c r="BB17">
        <f>F17</f>
        <v>0</v>
      </c>
      <c r="BD17">
        <f>H17</f>
        <v>0</v>
      </c>
      <c r="BE17">
        <f>I17</f>
        <v>0</v>
      </c>
      <c r="BF17">
        <f>J17</f>
        <v>0</v>
      </c>
      <c r="BG17">
        <f>K17</f>
        <v>0</v>
      </c>
      <c r="BI17">
        <f t="shared" si="0"/>
        <v>0</v>
      </c>
      <c r="BJ17">
        <f t="shared" si="0"/>
        <v>0</v>
      </c>
    </row>
    <row r="19" spans="2:82" x14ac:dyDescent="0.2">
      <c r="B19" t="s">
        <v>1625</v>
      </c>
      <c r="C19">
        <v>120</v>
      </c>
      <c r="D19" t="s">
        <v>248</v>
      </c>
      <c r="E19">
        <f>SUM(F19:N19)</f>
        <v>0</v>
      </c>
      <c r="BA19">
        <f>SUM(BB19:BJ19)</f>
        <v>0</v>
      </c>
      <c r="BB19">
        <f>F19</f>
        <v>0</v>
      </c>
      <c r="BD19">
        <f t="shared" ref="BD19:BG23" si="1">H19</f>
        <v>0</v>
      </c>
      <c r="BE19">
        <f t="shared" si="1"/>
        <v>0</v>
      </c>
      <c r="BF19">
        <f t="shared" si="1"/>
        <v>0</v>
      </c>
      <c r="BG19">
        <f t="shared" si="1"/>
        <v>0</v>
      </c>
      <c r="BI19">
        <f t="shared" ref="BI19:BJ23" si="2">M19</f>
        <v>0</v>
      </c>
      <c r="BJ19">
        <f t="shared" si="2"/>
        <v>0</v>
      </c>
    </row>
    <row r="20" spans="2:82" x14ac:dyDescent="0.2">
      <c r="B20" t="s">
        <v>1626</v>
      </c>
      <c r="C20">
        <v>130</v>
      </c>
      <c r="D20" t="s">
        <v>245</v>
      </c>
      <c r="E20">
        <f>SUM(F20:N20)</f>
        <v>0</v>
      </c>
      <c r="BA20">
        <f>SUM(BB20:BJ20)</f>
        <v>0</v>
      </c>
      <c r="BB20">
        <f>F20</f>
        <v>0</v>
      </c>
      <c r="BD20">
        <f t="shared" si="1"/>
        <v>0</v>
      </c>
      <c r="BE20">
        <f t="shared" si="1"/>
        <v>0</v>
      </c>
      <c r="BF20">
        <f t="shared" si="1"/>
        <v>0</v>
      </c>
      <c r="BG20">
        <f t="shared" si="1"/>
        <v>0</v>
      </c>
      <c r="BI20">
        <f t="shared" si="2"/>
        <v>0</v>
      </c>
      <c r="BJ20">
        <f t="shared" si="2"/>
        <v>0</v>
      </c>
      <c r="CA20">
        <f>IF(OR(F20&gt;0,G20&gt;0,H20&gt;0,I20&gt;0,J20&gt;0,K20&gt;0,L20&gt;0,M20&gt;0,N20&gt;0,BA20&gt;0,BB20&gt;0,BC20&gt;0,BD20&gt;0,BE20&gt;0,BF20&gt;0,BG20&gt;0,BH20&gt;0,BI20&gt;1,BJ20&gt;0),1,0)</f>
        <v>0</v>
      </c>
    </row>
    <row r="21" spans="2:82" x14ac:dyDescent="0.2">
      <c r="B21" t="s">
        <v>1627</v>
      </c>
      <c r="C21">
        <v>140</v>
      </c>
      <c r="D21" t="s">
        <v>245</v>
      </c>
      <c r="E21">
        <f>SUM(F21:N21)</f>
        <v>0</v>
      </c>
      <c r="BA21">
        <f>SUM(BB21:BJ21)</f>
        <v>0</v>
      </c>
      <c r="BB21">
        <f>F21</f>
        <v>0</v>
      </c>
      <c r="BD21">
        <f t="shared" si="1"/>
        <v>0</v>
      </c>
      <c r="BE21">
        <f t="shared" si="1"/>
        <v>0</v>
      </c>
      <c r="BF21">
        <f t="shared" si="1"/>
        <v>0</v>
      </c>
      <c r="BG21">
        <f t="shared" si="1"/>
        <v>0</v>
      </c>
      <c r="BI21">
        <f t="shared" si="2"/>
        <v>0</v>
      </c>
      <c r="BJ21">
        <f t="shared" si="2"/>
        <v>0</v>
      </c>
      <c r="CA21">
        <f>IF(OR(F21&gt;0,G21&gt;0,H21&gt;0,I21&gt;0,J21&gt;0,K21&gt;0,L21&gt;0,M21&gt;0,N21&gt;0,BA21&gt;0,BB21&gt;0,BC21&gt;0,BD21&gt;0,BE21&gt;0,BF21&gt;0,BG21&gt;0,BH21&gt;0,BI21&gt;1,BJ21&gt;0),1,0)</f>
        <v>0</v>
      </c>
      <c r="CD21">
        <f>E19+E21</f>
        <v>0</v>
      </c>
    </row>
    <row r="22" spans="2:82" x14ac:dyDescent="0.2">
      <c r="B22" t="s">
        <v>1628</v>
      </c>
      <c r="C22">
        <v>150</v>
      </c>
      <c r="D22" t="s">
        <v>248</v>
      </c>
      <c r="E22">
        <f>SUM(F22:N22)</f>
        <v>0</v>
      </c>
      <c r="BA22">
        <f>SUM(BB22:BJ22)</f>
        <v>0</v>
      </c>
      <c r="BB22">
        <f>F22</f>
        <v>0</v>
      </c>
      <c r="BD22">
        <f t="shared" si="1"/>
        <v>0</v>
      </c>
      <c r="BE22">
        <f t="shared" si="1"/>
        <v>0</v>
      </c>
      <c r="BF22">
        <f t="shared" si="1"/>
        <v>0</v>
      </c>
      <c r="BG22">
        <f t="shared" si="1"/>
        <v>0</v>
      </c>
      <c r="BI22">
        <f t="shared" si="2"/>
        <v>0</v>
      </c>
      <c r="BJ22">
        <f t="shared" si="2"/>
        <v>0</v>
      </c>
    </row>
    <row r="23" spans="2:82" x14ac:dyDescent="0.2">
      <c r="B23" t="s">
        <v>1629</v>
      </c>
      <c r="C23">
        <v>160</v>
      </c>
      <c r="D23" t="s">
        <v>251</v>
      </c>
      <c r="E23">
        <f>SUM(F23:N23)</f>
        <v>0</v>
      </c>
      <c r="BA23">
        <f>SUM(BB23:BJ23)</f>
        <v>0</v>
      </c>
      <c r="BB23">
        <f>F23</f>
        <v>0</v>
      </c>
      <c r="BD23">
        <f t="shared" si="1"/>
        <v>0</v>
      </c>
      <c r="BE23">
        <f t="shared" si="1"/>
        <v>0</v>
      </c>
      <c r="BF23">
        <f t="shared" si="1"/>
        <v>0</v>
      </c>
      <c r="BG23">
        <f t="shared" si="1"/>
        <v>0</v>
      </c>
      <c r="BI23">
        <f t="shared" si="2"/>
        <v>0</v>
      </c>
      <c r="BJ23">
        <f t="shared" si="2"/>
        <v>0</v>
      </c>
    </row>
    <row r="24" spans="2:82" x14ac:dyDescent="0.2">
      <c r="B24" t="s">
        <v>1630</v>
      </c>
      <c r="C24">
        <v>170</v>
      </c>
      <c r="D24" t="s">
        <v>251</v>
      </c>
    </row>
    <row r="25" spans="2:82" x14ac:dyDescent="0.2">
      <c r="B25" t="s">
        <v>1631</v>
      </c>
      <c r="C25">
        <v>180</v>
      </c>
      <c r="D25" t="s">
        <v>245</v>
      </c>
      <c r="E25">
        <f>SUM(F25:N25)</f>
        <v>0</v>
      </c>
      <c r="BA25">
        <f>SUM(BB25:BJ25)</f>
        <v>0</v>
      </c>
      <c r="BB25">
        <f>F25</f>
        <v>0</v>
      </c>
      <c r="BD25">
        <f t="shared" ref="BD25:BG26" si="3">H25</f>
        <v>0</v>
      </c>
      <c r="BE25">
        <f t="shared" si="3"/>
        <v>0</v>
      </c>
      <c r="BF25">
        <f t="shared" si="3"/>
        <v>0</v>
      </c>
      <c r="BG25">
        <f t="shared" si="3"/>
        <v>0</v>
      </c>
      <c r="BI25">
        <f>M25</f>
        <v>0</v>
      </c>
      <c r="BJ25">
        <f>N25</f>
        <v>0</v>
      </c>
      <c r="CA25">
        <f>IF(OR(F25&gt;0,G25&gt;0,H25&gt;0,I25&gt;0,J25&gt;0,K25&gt;0,L25&gt;0,M25&gt;0,N25&gt;0,BA25&gt;0,BB25&gt;0,BC25&gt;0,BD25&gt;0,BE25&gt;0,BF25&gt;0,BG25&gt;0,BH25&gt;0,BI25&gt;1,BJ25&gt;0),1,0)</f>
        <v>0</v>
      </c>
    </row>
    <row r="26" spans="2:82" x14ac:dyDescent="0.2">
      <c r="B26" t="s">
        <v>1074</v>
      </c>
      <c r="C26">
        <v>185</v>
      </c>
      <c r="D26" t="s">
        <v>251</v>
      </c>
      <c r="E26">
        <f>SUM(F26:N26)</f>
        <v>0</v>
      </c>
      <c r="BA26">
        <f>SUM(BB26:BJ26)</f>
        <v>0</v>
      </c>
      <c r="BB26">
        <f>F26</f>
        <v>0</v>
      </c>
      <c r="BD26">
        <f t="shared" si="3"/>
        <v>0</v>
      </c>
      <c r="BE26">
        <f t="shared" si="3"/>
        <v>0</v>
      </c>
      <c r="BF26">
        <f t="shared" si="3"/>
        <v>0</v>
      </c>
      <c r="BG26">
        <f t="shared" si="3"/>
        <v>0</v>
      </c>
      <c r="BI26">
        <f>M26</f>
        <v>0</v>
      </c>
      <c r="BJ26">
        <f>N26</f>
        <v>0</v>
      </c>
    </row>
    <row r="27" spans="2:82" x14ac:dyDescent="0.2">
      <c r="B27" t="s">
        <v>419</v>
      </c>
      <c r="C27">
        <v>190</v>
      </c>
      <c r="D27" t="s">
        <v>248</v>
      </c>
      <c r="E27">
        <f>SUM(E15:E26)</f>
        <v>0</v>
      </c>
      <c r="F27">
        <f>SUM(F15:F26)</f>
        <v>0</v>
      </c>
      <c r="H27">
        <f>SUM(H15:H26)</f>
        <v>0</v>
      </c>
      <c r="I27">
        <f>SUM(I15:I26)</f>
        <v>0</v>
      </c>
      <c r="J27">
        <f>SUM(J15:J26)</f>
        <v>0</v>
      </c>
      <c r="K27">
        <f>SUM(K15:K26)</f>
        <v>0</v>
      </c>
      <c r="M27">
        <f>SUM(M15:M26)</f>
        <v>0</v>
      </c>
      <c r="N27">
        <f>SUM(N15:N26)</f>
        <v>0</v>
      </c>
      <c r="BA27">
        <f>SUM(BA15:BA26)</f>
        <v>0</v>
      </c>
      <c r="BB27">
        <f>SUM(BB15:BB26)</f>
        <v>0</v>
      </c>
      <c r="BD27">
        <f>SUM(BD15:BD26)</f>
        <v>0</v>
      </c>
      <c r="BE27">
        <f>SUM(BE15:BE26)</f>
        <v>0</v>
      </c>
      <c r="BF27">
        <f>SUM(BF15:BF26)</f>
        <v>0</v>
      </c>
      <c r="BG27">
        <f>SUM(BG15:BG26)</f>
        <v>0</v>
      </c>
      <c r="BI27">
        <f>SUM(BI15:BI26)</f>
        <v>0</v>
      </c>
      <c r="BJ27">
        <f>SUM(BJ15:BJ26)</f>
        <v>0</v>
      </c>
      <c r="CC27">
        <f>IF(OR(F27-E83-E94&lt;&gt;0,G27-E84-E95&lt;&gt;0,H27-E85-E96&lt;&gt;0,I27-E86-E97&lt;&gt;0,J27-E87-E98&lt;&gt;0,K27-E88-E99&lt;&gt;0,L27-E89-E100&lt;&gt;0,M27-E90-E101&lt;&gt;0,N27-E91-E102),1,0)</f>
        <v>0</v>
      </c>
    </row>
    <row r="28" spans="2:82" x14ac:dyDescent="0.2">
      <c r="B28" t="s">
        <v>1632</v>
      </c>
    </row>
    <row r="29" spans="2:82" x14ac:dyDescent="0.2">
      <c r="B29" t="s">
        <v>1633</v>
      </c>
      <c r="C29">
        <v>200</v>
      </c>
      <c r="D29" t="s">
        <v>248</v>
      </c>
      <c r="E29">
        <f>SUM(F29:N29)</f>
        <v>0</v>
      </c>
      <c r="F29">
        <f>E83</f>
        <v>0</v>
      </c>
      <c r="H29">
        <f>E85</f>
        <v>0</v>
      </c>
      <c r="I29">
        <f>E86</f>
        <v>0</v>
      </c>
      <c r="J29">
        <f>E87</f>
        <v>0</v>
      </c>
      <c r="K29">
        <f>E88</f>
        <v>0</v>
      </c>
      <c r="M29">
        <f>E90</f>
        <v>0</v>
      </c>
      <c r="N29">
        <f>E91</f>
        <v>0</v>
      </c>
      <c r="BA29">
        <f>SUM(BB29:BJ29)</f>
        <v>0</v>
      </c>
      <c r="BB29">
        <f>F29</f>
        <v>0</v>
      </c>
      <c r="BD29">
        <f t="shared" ref="BD29:BG30" si="4">H29</f>
        <v>0</v>
      </c>
      <c r="BE29">
        <f t="shared" si="4"/>
        <v>0</v>
      </c>
      <c r="BF29">
        <f t="shared" si="4"/>
        <v>0</v>
      </c>
      <c r="BG29">
        <f t="shared" si="4"/>
        <v>0</v>
      </c>
      <c r="BI29">
        <f>M29</f>
        <v>0</v>
      </c>
      <c r="BJ29">
        <f>N29</f>
        <v>0</v>
      </c>
    </row>
    <row r="30" spans="2:82" x14ac:dyDescent="0.2">
      <c r="B30" t="s">
        <v>1634</v>
      </c>
      <c r="C30">
        <v>210</v>
      </c>
      <c r="D30" t="s">
        <v>248</v>
      </c>
      <c r="E30">
        <f>SUM(F30:N30)</f>
        <v>0</v>
      </c>
      <c r="BA30">
        <f>SUM(BB30:BJ30)</f>
        <v>0</v>
      </c>
      <c r="BB30">
        <f>F30</f>
        <v>0</v>
      </c>
      <c r="BD30">
        <f t="shared" si="4"/>
        <v>0</v>
      </c>
      <c r="BE30">
        <f t="shared" si="4"/>
        <v>0</v>
      </c>
      <c r="BF30">
        <f t="shared" si="4"/>
        <v>0</v>
      </c>
      <c r="BG30">
        <f t="shared" si="4"/>
        <v>0</v>
      </c>
      <c r="BI30">
        <f>M30</f>
        <v>0</v>
      </c>
      <c r="BJ30">
        <f>N30</f>
        <v>0</v>
      </c>
    </row>
    <row r="31" spans="2:82" x14ac:dyDescent="0.2">
      <c r="B31" t="s">
        <v>1635</v>
      </c>
      <c r="C31">
        <v>220</v>
      </c>
      <c r="D31" t="s">
        <v>248</v>
      </c>
      <c r="E31">
        <f>SUM(F31:N31)</f>
        <v>0</v>
      </c>
      <c r="F31">
        <f>F27-F29-F30</f>
        <v>0</v>
      </c>
      <c r="H31">
        <f>H27-H29-H30</f>
        <v>0</v>
      </c>
      <c r="I31">
        <f>I27-I29-I30</f>
        <v>0</v>
      </c>
      <c r="J31">
        <f>J27-J29-J30</f>
        <v>0</v>
      </c>
      <c r="K31">
        <f>K27-K29-K30</f>
        <v>0</v>
      </c>
      <c r="M31">
        <f>M27-M29-M30</f>
        <v>0</v>
      </c>
      <c r="N31">
        <f>N27-N29-N30</f>
        <v>0</v>
      </c>
      <c r="BA31">
        <f>SUM(BB31:BJ31)</f>
        <v>0</v>
      </c>
      <c r="BB31">
        <f>BB27-BB29-BB30</f>
        <v>0</v>
      </c>
      <c r="BD31">
        <f>BD27-BD29-BD30</f>
        <v>0</v>
      </c>
      <c r="BE31">
        <f>BE27-BE29-BE30</f>
        <v>0</v>
      </c>
      <c r="BF31">
        <f>BF27-BF29-BF30</f>
        <v>0</v>
      </c>
      <c r="BG31">
        <f>BG27-BG29-BG30</f>
        <v>0</v>
      </c>
      <c r="BI31">
        <f>BI27-BI29-BI30</f>
        <v>0</v>
      </c>
      <c r="BJ31">
        <f>BJ27-BJ29-BJ30</f>
        <v>0</v>
      </c>
    </row>
    <row r="32" spans="2:82" x14ac:dyDescent="0.2">
      <c r="B32" t="s">
        <v>1636</v>
      </c>
    </row>
    <row r="33" spans="2:6" x14ac:dyDescent="0.2">
      <c r="B33" t="s">
        <v>2337</v>
      </c>
      <c r="C33">
        <v>230</v>
      </c>
      <c r="D33" t="s">
        <v>248</v>
      </c>
    </row>
    <row r="34" spans="2:6" x14ac:dyDescent="0.2">
      <c r="B34" t="s">
        <v>3013</v>
      </c>
      <c r="C34">
        <v>240</v>
      </c>
      <c r="D34" t="s">
        <v>248</v>
      </c>
    </row>
    <row r="38" spans="2:6" x14ac:dyDescent="0.2">
      <c r="C38" t="s">
        <v>238</v>
      </c>
      <c r="E38" t="s">
        <v>235</v>
      </c>
    </row>
    <row r="39" spans="2:6" x14ac:dyDescent="0.2">
      <c r="B39" t="s">
        <v>1639</v>
      </c>
      <c r="C39" t="s">
        <v>242</v>
      </c>
    </row>
    <row r="41" spans="2:6" x14ac:dyDescent="0.2">
      <c r="B41" t="s">
        <v>1640</v>
      </c>
      <c r="C41">
        <v>250</v>
      </c>
      <c r="D41" t="s">
        <v>1532</v>
      </c>
    </row>
    <row r="42" spans="2:6" x14ac:dyDescent="0.2">
      <c r="B42" t="s">
        <v>1641</v>
      </c>
      <c r="C42">
        <v>260</v>
      </c>
      <c r="D42" t="s">
        <v>1532</v>
      </c>
    </row>
    <row r="43" spans="2:6" x14ac:dyDescent="0.2">
      <c r="B43" t="s">
        <v>1642</v>
      </c>
      <c r="C43">
        <v>270</v>
      </c>
      <c r="D43" t="s">
        <v>1532</v>
      </c>
    </row>
    <row r="44" spans="2:6" x14ac:dyDescent="0.2">
      <c r="B44" t="s">
        <v>1643</v>
      </c>
      <c r="C44">
        <v>280</v>
      </c>
      <c r="D44" t="s">
        <v>1532</v>
      </c>
    </row>
    <row r="48" spans="2:6" x14ac:dyDescent="0.2">
      <c r="C48" t="s">
        <v>238</v>
      </c>
      <c r="D48" t="s">
        <v>25</v>
      </c>
      <c r="E48" t="s">
        <v>235</v>
      </c>
      <c r="F48" t="s">
        <v>236</v>
      </c>
    </row>
    <row r="49" spans="2:79" x14ac:dyDescent="0.2">
      <c r="B49" t="s">
        <v>172</v>
      </c>
      <c r="C49" t="s">
        <v>242</v>
      </c>
      <c r="E49" t="s">
        <v>300</v>
      </c>
      <c r="F49" t="s">
        <v>240</v>
      </c>
    </row>
    <row r="50" spans="2:79" x14ac:dyDescent="0.2">
      <c r="E50" t="s">
        <v>243</v>
      </c>
      <c r="F50" t="s">
        <v>243</v>
      </c>
    </row>
    <row r="51" spans="2:79" x14ac:dyDescent="0.2">
      <c r="B51" t="s">
        <v>1645</v>
      </c>
    </row>
    <row r="52" spans="2:79" x14ac:dyDescent="0.2">
      <c r="B52" t="s">
        <v>1661</v>
      </c>
      <c r="C52">
        <v>290</v>
      </c>
      <c r="D52" t="s">
        <v>245</v>
      </c>
      <c r="CA52">
        <f>IF(E52&gt;0,1,0)</f>
        <v>0</v>
      </c>
    </row>
    <row r="53" spans="2:79" x14ac:dyDescent="0.2">
      <c r="B53" t="s">
        <v>1463</v>
      </c>
      <c r="C53">
        <v>300</v>
      </c>
      <c r="D53" t="s">
        <v>245</v>
      </c>
      <c r="CA53">
        <f>IF(E53&gt;0,1,0)</f>
        <v>0</v>
      </c>
    </row>
    <row r="54" spans="2:79" x14ac:dyDescent="0.2">
      <c r="B54" t="s">
        <v>1649</v>
      </c>
      <c r="C54">
        <v>310</v>
      </c>
      <c r="D54" t="s">
        <v>248</v>
      </c>
    </row>
    <row r="55" spans="2:79" x14ac:dyDescent="0.2">
      <c r="B55" t="s">
        <v>1650</v>
      </c>
      <c r="C55">
        <v>320</v>
      </c>
      <c r="D55" t="s">
        <v>245</v>
      </c>
      <c r="E55">
        <f>SUM(E52:E54)</f>
        <v>0</v>
      </c>
      <c r="CA55">
        <f>IF(E55&gt;0,1,0)</f>
        <v>0</v>
      </c>
    </row>
    <row r="56" spans="2:79" x14ac:dyDescent="0.2">
      <c r="B56" t="s">
        <v>1651</v>
      </c>
    </row>
    <row r="57" spans="2:79" x14ac:dyDescent="0.2">
      <c r="B57" t="s">
        <v>1652</v>
      </c>
      <c r="C57">
        <v>330</v>
      </c>
      <c r="D57" t="s">
        <v>248</v>
      </c>
    </row>
    <row r="58" spans="2:79" x14ac:dyDescent="0.2">
      <c r="B58" t="s">
        <v>1653</v>
      </c>
    </row>
    <row r="59" spans="2:79" x14ac:dyDescent="0.2">
      <c r="B59" t="s">
        <v>1654</v>
      </c>
    </row>
    <row r="61" spans="2:79" x14ac:dyDescent="0.2">
      <c r="C61" t="s">
        <v>238</v>
      </c>
      <c r="D61" t="s">
        <v>25</v>
      </c>
      <c r="E61" t="s">
        <v>235</v>
      </c>
      <c r="F61" t="s">
        <v>236</v>
      </c>
    </row>
    <row r="62" spans="2:79" x14ac:dyDescent="0.2">
      <c r="B62" t="s">
        <v>173</v>
      </c>
      <c r="C62" t="s">
        <v>242</v>
      </c>
      <c r="E62" t="s">
        <v>300</v>
      </c>
      <c r="F62" t="s">
        <v>240</v>
      </c>
    </row>
    <row r="63" spans="2:79" x14ac:dyDescent="0.2">
      <c r="E63" t="s">
        <v>243</v>
      </c>
      <c r="F63" t="s">
        <v>243</v>
      </c>
    </row>
    <row r="64" spans="2:79" x14ac:dyDescent="0.2">
      <c r="B64" t="s">
        <v>1656</v>
      </c>
      <c r="C64">
        <v>340</v>
      </c>
      <c r="D64" t="s">
        <v>248</v>
      </c>
    </row>
    <row r="65" spans="2:62" x14ac:dyDescent="0.2">
      <c r="B65" t="s">
        <v>1657</v>
      </c>
      <c r="C65">
        <v>350</v>
      </c>
      <c r="D65" t="s">
        <v>248</v>
      </c>
    </row>
    <row r="66" spans="2:62" x14ac:dyDescent="0.2">
      <c r="B66" t="s">
        <v>1658</v>
      </c>
      <c r="C66">
        <v>360</v>
      </c>
      <c r="D66" t="s">
        <v>248</v>
      </c>
    </row>
    <row r="67" spans="2:62" x14ac:dyDescent="0.2">
      <c r="B67" t="s">
        <v>340</v>
      </c>
      <c r="C67">
        <v>370</v>
      </c>
      <c r="D67" t="s">
        <v>248</v>
      </c>
      <c r="E67">
        <f>SUM(E64:E66)</f>
        <v>0</v>
      </c>
    </row>
    <row r="70" spans="2:62" x14ac:dyDescent="0.2">
      <c r="C70" t="s">
        <v>238</v>
      </c>
      <c r="D70" t="s">
        <v>25</v>
      </c>
      <c r="E70" t="s">
        <v>235</v>
      </c>
      <c r="F70" t="s">
        <v>236</v>
      </c>
      <c r="G70" t="s">
        <v>293</v>
      </c>
      <c r="H70" t="s">
        <v>294</v>
      </c>
      <c r="I70" t="s">
        <v>295</v>
      </c>
      <c r="J70" t="s">
        <v>296</v>
      </c>
      <c r="K70" t="s">
        <v>342</v>
      </c>
      <c r="L70" t="s">
        <v>297</v>
      </c>
      <c r="M70" t="s">
        <v>298</v>
      </c>
      <c r="N70" t="s">
        <v>299</v>
      </c>
      <c r="BA70" t="s">
        <v>237</v>
      </c>
      <c r="BB70" t="s">
        <v>834</v>
      </c>
      <c r="BC70" t="s">
        <v>835</v>
      </c>
      <c r="BD70" t="s">
        <v>836</v>
      </c>
      <c r="BE70" t="s">
        <v>1609</v>
      </c>
      <c r="BF70" t="s">
        <v>1610</v>
      </c>
      <c r="BG70" t="s">
        <v>1611</v>
      </c>
      <c r="BH70" t="s">
        <v>1612</v>
      </c>
      <c r="BI70" t="s">
        <v>1613</v>
      </c>
      <c r="BJ70" t="s">
        <v>1614</v>
      </c>
    </row>
    <row r="71" spans="2:62" x14ac:dyDescent="0.2">
      <c r="B71" t="s">
        <v>1659</v>
      </c>
      <c r="C71" t="s">
        <v>242</v>
      </c>
      <c r="E71" t="s">
        <v>239</v>
      </c>
      <c r="F71" t="s">
        <v>1660</v>
      </c>
      <c r="G71" t="s">
        <v>1616</v>
      </c>
      <c r="H71" t="s">
        <v>1617</v>
      </c>
      <c r="I71" t="s">
        <v>1618</v>
      </c>
      <c r="J71" t="s">
        <v>1619</v>
      </c>
      <c r="K71" t="s">
        <v>1661</v>
      </c>
      <c r="L71" t="s">
        <v>1621</v>
      </c>
      <c r="M71" t="s">
        <v>352</v>
      </c>
      <c r="N71" t="s">
        <v>1622</v>
      </c>
      <c r="BA71" t="s">
        <v>307</v>
      </c>
      <c r="BB71" t="s">
        <v>1660</v>
      </c>
      <c r="BC71" t="s">
        <v>1616</v>
      </c>
      <c r="BD71" t="s">
        <v>1617</v>
      </c>
      <c r="BE71" t="s">
        <v>1618</v>
      </c>
      <c r="BF71" t="s">
        <v>1619</v>
      </c>
      <c r="BG71" t="s">
        <v>1661</v>
      </c>
      <c r="BH71" t="s">
        <v>1621</v>
      </c>
      <c r="BI71" t="s">
        <v>352</v>
      </c>
      <c r="BJ71" t="s">
        <v>1622</v>
      </c>
    </row>
    <row r="72" spans="2:62" x14ac:dyDescent="0.2">
      <c r="E72" t="s">
        <v>243</v>
      </c>
      <c r="F72" t="s">
        <v>243</v>
      </c>
      <c r="G72" t="s">
        <v>243</v>
      </c>
      <c r="H72" t="s">
        <v>243</v>
      </c>
      <c r="I72" t="s">
        <v>243</v>
      </c>
      <c r="J72" t="s">
        <v>243</v>
      </c>
      <c r="K72" t="s">
        <v>243</v>
      </c>
      <c r="L72" t="s">
        <v>243</v>
      </c>
      <c r="M72" t="s">
        <v>243</v>
      </c>
      <c r="N72" t="s">
        <v>243</v>
      </c>
      <c r="BA72" t="s">
        <v>243</v>
      </c>
      <c r="BB72" t="s">
        <v>243</v>
      </c>
      <c r="BC72" t="s">
        <v>243</v>
      </c>
      <c r="BD72" t="s">
        <v>243</v>
      </c>
      <c r="BE72" t="s">
        <v>243</v>
      </c>
      <c r="BF72" t="s">
        <v>243</v>
      </c>
      <c r="BG72" t="s">
        <v>243</v>
      </c>
      <c r="BH72" t="s">
        <v>243</v>
      </c>
      <c r="BI72" t="s">
        <v>243</v>
      </c>
      <c r="BJ72" t="s">
        <v>243</v>
      </c>
    </row>
    <row r="73" spans="2:62" x14ac:dyDescent="0.2">
      <c r="B73" t="s">
        <v>1662</v>
      </c>
      <c r="C73">
        <v>400</v>
      </c>
      <c r="D73" t="s">
        <v>248</v>
      </c>
    </row>
    <row r="74" spans="2:62" x14ac:dyDescent="0.2">
      <c r="B74" t="s">
        <v>1663</v>
      </c>
      <c r="C74">
        <v>410</v>
      </c>
      <c r="D74" t="s">
        <v>248</v>
      </c>
    </row>
    <row r="75" spans="2:62" x14ac:dyDescent="0.2">
      <c r="B75" t="s">
        <v>340</v>
      </c>
      <c r="C75">
        <v>420</v>
      </c>
      <c r="D75" t="s">
        <v>248</v>
      </c>
    </row>
    <row r="78" spans="2:62" x14ac:dyDescent="0.2">
      <c r="F78" t="s">
        <v>1320</v>
      </c>
      <c r="J78" t="s">
        <v>1321</v>
      </c>
    </row>
    <row r="79" spans="2:62" x14ac:dyDescent="0.2">
      <c r="D79" t="s">
        <v>25</v>
      </c>
      <c r="E79" t="s">
        <v>235</v>
      </c>
      <c r="F79" t="s">
        <v>236</v>
      </c>
      <c r="G79" t="s">
        <v>293</v>
      </c>
      <c r="H79" t="s">
        <v>294</v>
      </c>
      <c r="I79" t="s">
        <v>295</v>
      </c>
      <c r="J79" t="s">
        <v>296</v>
      </c>
      <c r="K79" t="s">
        <v>342</v>
      </c>
      <c r="L79" t="s">
        <v>297</v>
      </c>
      <c r="M79" t="s">
        <v>298</v>
      </c>
    </row>
    <row r="80" spans="2:62" x14ac:dyDescent="0.2">
      <c r="B80" t="s">
        <v>1664</v>
      </c>
      <c r="C80" t="s">
        <v>238</v>
      </c>
      <c r="E80" t="s">
        <v>239</v>
      </c>
      <c r="F80" t="s">
        <v>1665</v>
      </c>
      <c r="G80" t="s">
        <v>1666</v>
      </c>
      <c r="H80" t="s">
        <v>302</v>
      </c>
      <c r="I80" t="s">
        <v>1667</v>
      </c>
      <c r="J80" t="s">
        <v>387</v>
      </c>
      <c r="K80" t="s">
        <v>303</v>
      </c>
      <c r="L80" t="s">
        <v>304</v>
      </c>
      <c r="M80" t="s">
        <v>1033</v>
      </c>
    </row>
    <row r="81" spans="2:13" x14ac:dyDescent="0.2">
      <c r="C81" t="s">
        <v>242</v>
      </c>
      <c r="E81" t="s">
        <v>243</v>
      </c>
      <c r="F81" t="s">
        <v>243</v>
      </c>
      <c r="G81" t="s">
        <v>243</v>
      </c>
      <c r="H81" t="s">
        <v>243</v>
      </c>
      <c r="I81" t="s">
        <v>243</v>
      </c>
      <c r="J81" t="s">
        <v>243</v>
      </c>
      <c r="K81" t="s">
        <v>243</v>
      </c>
      <c r="L81" t="s">
        <v>243</v>
      </c>
      <c r="M81" t="s">
        <v>243</v>
      </c>
    </row>
    <row r="82" spans="2:13" x14ac:dyDescent="0.2">
      <c r="B82" t="s">
        <v>1248</v>
      </c>
    </row>
    <row r="83" spans="2:13" x14ac:dyDescent="0.2">
      <c r="B83" t="s">
        <v>1615</v>
      </c>
      <c r="C83">
        <v>500</v>
      </c>
      <c r="D83" t="s">
        <v>248</v>
      </c>
      <c r="F83">
        <f>SUM(G83:M83)</f>
        <v>0</v>
      </c>
    </row>
    <row r="84" spans="2:13" x14ac:dyDescent="0.2">
      <c r="B84" t="s">
        <v>1616</v>
      </c>
      <c r="C84">
        <v>510</v>
      </c>
      <c r="D84" t="s">
        <v>248</v>
      </c>
    </row>
    <row r="85" spans="2:13" x14ac:dyDescent="0.2">
      <c r="B85" t="s">
        <v>1617</v>
      </c>
      <c r="C85">
        <v>520</v>
      </c>
      <c r="D85" t="s">
        <v>248</v>
      </c>
      <c r="F85">
        <f>SUM(G85:M85)</f>
        <v>0</v>
      </c>
    </row>
    <row r="86" spans="2:13" x14ac:dyDescent="0.2">
      <c r="B86" t="s">
        <v>1618</v>
      </c>
      <c r="C86">
        <v>530</v>
      </c>
      <c r="D86" t="s">
        <v>248</v>
      </c>
      <c r="F86">
        <f>SUM(G86:M86)</f>
        <v>0</v>
      </c>
    </row>
    <row r="87" spans="2:13" x14ac:dyDescent="0.2">
      <c r="B87" t="s">
        <v>1619</v>
      </c>
      <c r="C87">
        <v>540</v>
      </c>
      <c r="D87" t="s">
        <v>248</v>
      </c>
      <c r="F87">
        <f>SUM(G87:M87)</f>
        <v>0</v>
      </c>
    </row>
    <row r="88" spans="2:13" x14ac:dyDescent="0.2">
      <c r="B88" t="s">
        <v>1624</v>
      </c>
      <c r="C88">
        <v>550</v>
      </c>
      <c r="D88" t="s">
        <v>248</v>
      </c>
      <c r="F88">
        <f>SUM(G88:M88)</f>
        <v>0</v>
      </c>
    </row>
    <row r="89" spans="2:13" x14ac:dyDescent="0.2">
      <c r="B89" t="s">
        <v>1621</v>
      </c>
      <c r="C89">
        <v>560</v>
      </c>
      <c r="D89" t="s">
        <v>248</v>
      </c>
    </row>
    <row r="90" spans="2:13" x14ac:dyDescent="0.2">
      <c r="B90" t="s">
        <v>352</v>
      </c>
      <c r="C90">
        <v>570</v>
      </c>
      <c r="D90" t="s">
        <v>248</v>
      </c>
      <c r="F90">
        <f>SUM(G90:M90)</f>
        <v>0</v>
      </c>
    </row>
    <row r="91" spans="2:13" x14ac:dyDescent="0.2">
      <c r="B91" t="s">
        <v>1622</v>
      </c>
      <c r="C91">
        <v>580</v>
      </c>
      <c r="D91" t="s">
        <v>248</v>
      </c>
      <c r="F91">
        <f>SUM(G91:M91)</f>
        <v>0</v>
      </c>
    </row>
    <row r="92" spans="2:13" x14ac:dyDescent="0.2">
      <c r="B92" t="s">
        <v>1668</v>
      </c>
      <c r="C92">
        <v>590</v>
      </c>
      <c r="D92" t="s">
        <v>248</v>
      </c>
      <c r="E92">
        <f>SUM(E83:E91)</f>
        <v>0</v>
      </c>
      <c r="F92">
        <f>SUM(F83:F91)</f>
        <v>0</v>
      </c>
      <c r="H92">
        <f>SUM(H83:H91)</f>
        <v>0</v>
      </c>
      <c r="M92">
        <f>SUM(M83:M91)</f>
        <v>0</v>
      </c>
    </row>
    <row r="93" spans="2:13" x14ac:dyDescent="0.2">
      <c r="B93" t="s">
        <v>1346</v>
      </c>
    </row>
    <row r="94" spans="2:13" x14ac:dyDescent="0.2">
      <c r="B94" t="s">
        <v>1669</v>
      </c>
      <c r="C94">
        <v>600</v>
      </c>
      <c r="D94" t="s">
        <v>248</v>
      </c>
      <c r="E94">
        <f>SUM(F27-F29)</f>
        <v>0</v>
      </c>
      <c r="F94">
        <f>SUM(G94:M94)</f>
        <v>0</v>
      </c>
    </row>
    <row r="95" spans="2:13" x14ac:dyDescent="0.2">
      <c r="B95" t="s">
        <v>1616</v>
      </c>
      <c r="C95">
        <v>610</v>
      </c>
      <c r="D95" t="s">
        <v>248</v>
      </c>
    </row>
    <row r="96" spans="2:13" x14ac:dyDescent="0.2">
      <c r="B96" t="s">
        <v>1617</v>
      </c>
      <c r="C96">
        <v>620</v>
      </c>
      <c r="D96" t="s">
        <v>248</v>
      </c>
      <c r="E96">
        <f>SUM(H27-H29)</f>
        <v>0</v>
      </c>
      <c r="F96">
        <f>SUM(G96:M96)</f>
        <v>0</v>
      </c>
    </row>
    <row r="97" spans="2:13" x14ac:dyDescent="0.2">
      <c r="B97" t="s">
        <v>1618</v>
      </c>
      <c r="C97">
        <v>630</v>
      </c>
      <c r="D97" t="s">
        <v>248</v>
      </c>
      <c r="E97">
        <f>SUM(I27-I29)</f>
        <v>0</v>
      </c>
      <c r="F97">
        <f>SUM(G97:M97)</f>
        <v>0</v>
      </c>
    </row>
    <row r="98" spans="2:13" x14ac:dyDescent="0.2">
      <c r="B98" t="s">
        <v>1619</v>
      </c>
      <c r="C98">
        <v>640</v>
      </c>
      <c r="D98" t="s">
        <v>248</v>
      </c>
      <c r="E98">
        <f>SUM(J27-J29)</f>
        <v>0</v>
      </c>
      <c r="F98">
        <f>SUM(G98:M98)</f>
        <v>0</v>
      </c>
    </row>
    <row r="99" spans="2:13" x14ac:dyDescent="0.2">
      <c r="B99" t="s">
        <v>1624</v>
      </c>
      <c r="C99">
        <v>650</v>
      </c>
      <c r="D99" t="s">
        <v>248</v>
      </c>
      <c r="E99">
        <f>SUM(K27-K29)</f>
        <v>0</v>
      </c>
      <c r="F99">
        <f>SUM(G99:M99)</f>
        <v>0</v>
      </c>
    </row>
    <row r="100" spans="2:13" x14ac:dyDescent="0.2">
      <c r="B100" t="s">
        <v>1621</v>
      </c>
      <c r="C100">
        <v>660</v>
      </c>
      <c r="D100" t="s">
        <v>248</v>
      </c>
    </row>
    <row r="101" spans="2:13" x14ac:dyDescent="0.2">
      <c r="B101" t="s">
        <v>352</v>
      </c>
      <c r="C101">
        <v>670</v>
      </c>
      <c r="D101" t="s">
        <v>248</v>
      </c>
      <c r="E101">
        <f>SUM(M27-M29)</f>
        <v>0</v>
      </c>
      <c r="F101">
        <f>SUM(G101:M101)</f>
        <v>0</v>
      </c>
    </row>
    <row r="102" spans="2:13" x14ac:dyDescent="0.2">
      <c r="B102" t="s">
        <v>1622</v>
      </c>
      <c r="C102">
        <v>680</v>
      </c>
      <c r="D102" t="s">
        <v>248</v>
      </c>
      <c r="E102">
        <f>SUM(N27-N29)</f>
        <v>0</v>
      </c>
      <c r="F102">
        <f>SUM(G102:M102)</f>
        <v>0</v>
      </c>
    </row>
    <row r="103" spans="2:13" x14ac:dyDescent="0.2">
      <c r="B103" t="s">
        <v>1670</v>
      </c>
      <c r="C103">
        <v>690</v>
      </c>
      <c r="D103" t="s">
        <v>248</v>
      </c>
      <c r="E103">
        <f>SUM(E94:E102)</f>
        <v>0</v>
      </c>
      <c r="F103">
        <f>SUM(F94:F102)</f>
        <v>0</v>
      </c>
      <c r="H103">
        <f>SUM(H94:H102)</f>
        <v>0</v>
      </c>
      <c r="M103">
        <f>SUM(M94:M102)</f>
        <v>0</v>
      </c>
    </row>
    <row r="104" spans="2:13" x14ac:dyDescent="0.2">
      <c r="B104" t="s">
        <v>1671</v>
      </c>
      <c r="C104">
        <v>700</v>
      </c>
      <c r="D104" t="s">
        <v>248</v>
      </c>
      <c r="E104">
        <f>E92+E103</f>
        <v>0</v>
      </c>
      <c r="F104">
        <f>F92+F103</f>
        <v>0</v>
      </c>
      <c r="H104">
        <f>H92+H103</f>
        <v>0</v>
      </c>
      <c r="M104">
        <f>M92+M103</f>
        <v>0</v>
      </c>
    </row>
    <row r="108" spans="2:13" x14ac:dyDescent="0.2">
      <c r="D108" t="s">
        <v>25</v>
      </c>
      <c r="E108" t="s">
        <v>235</v>
      </c>
    </row>
    <row r="109" spans="2:13" x14ac:dyDescent="0.2">
      <c r="B109" t="s">
        <v>1664</v>
      </c>
      <c r="C109" t="s">
        <v>238</v>
      </c>
      <c r="E109" t="s">
        <v>239</v>
      </c>
    </row>
    <row r="110" spans="2:13" x14ac:dyDescent="0.2">
      <c r="C110" t="s">
        <v>242</v>
      </c>
      <c r="E110" t="s">
        <v>243</v>
      </c>
    </row>
    <row r="111" spans="2:13" x14ac:dyDescent="0.2">
      <c r="B111" t="s">
        <v>1672</v>
      </c>
      <c r="C111">
        <v>710</v>
      </c>
      <c r="D111" t="s">
        <v>248</v>
      </c>
      <c r="E111">
        <f>E20*-1</f>
        <v>0</v>
      </c>
    </row>
    <row r="112" spans="2:13" x14ac:dyDescent="0.2">
      <c r="B112" t="s">
        <v>1673</v>
      </c>
      <c r="C112">
        <v>720</v>
      </c>
      <c r="D112" t="s">
        <v>245</v>
      </c>
      <c r="E112">
        <f>E20</f>
        <v>0</v>
      </c>
    </row>
  </sheetData>
  <sheetProtection sheet="1" objects="1" scenarios="1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CD112"/>
  <sheetViews>
    <sheetView zoomScale="70" zoomScaleNormal="70" workbookViewId="0"/>
  </sheetViews>
  <sheetFormatPr defaultRowHeight="12.75" x14ac:dyDescent="0.2"/>
  <sheetData>
    <row r="1" spans="1:82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2" x14ac:dyDescent="0.2">
      <c r="A2" t="s">
        <v>3727</v>
      </c>
    </row>
    <row r="3" spans="1:82" x14ac:dyDescent="0.2">
      <c r="A3" t="s">
        <v>3778</v>
      </c>
    </row>
    <row r="4" spans="1:82" x14ac:dyDescent="0.2">
      <c r="B4" t="s">
        <v>1607</v>
      </c>
    </row>
    <row r="5" spans="1:82" x14ac:dyDescent="0.2">
      <c r="B5" t="s">
        <v>66</v>
      </c>
      <c r="CA5" t="s">
        <v>230</v>
      </c>
      <c r="CB5">
        <f>0</f>
        <v>0</v>
      </c>
    </row>
    <row r="6" spans="1:82" x14ac:dyDescent="0.2">
      <c r="CA6" t="s">
        <v>231</v>
      </c>
      <c r="CB6" t="s">
        <v>232</v>
      </c>
      <c r="CC6" t="s">
        <v>239</v>
      </c>
      <c r="CD6" t="s">
        <v>3010</v>
      </c>
    </row>
    <row r="7" spans="1:82" x14ac:dyDescent="0.2">
      <c r="F7" t="s">
        <v>1608</v>
      </c>
      <c r="BB7" t="s">
        <v>241</v>
      </c>
      <c r="CA7">
        <f>SUM(CA10:CA104)</f>
        <v>0</v>
      </c>
      <c r="CB7">
        <f>SUM(CB10:CB104)</f>
        <v>0</v>
      </c>
    </row>
    <row r="8" spans="1:82" x14ac:dyDescent="0.2">
      <c r="C8" t="s">
        <v>238</v>
      </c>
      <c r="D8" t="s">
        <v>25</v>
      </c>
      <c r="E8" t="s">
        <v>235</v>
      </c>
      <c r="F8" t="s">
        <v>236</v>
      </c>
      <c r="G8" t="s">
        <v>293</v>
      </c>
      <c r="H8" t="s">
        <v>294</v>
      </c>
      <c r="I8" t="s">
        <v>295</v>
      </c>
      <c r="J8" t="s">
        <v>296</v>
      </c>
      <c r="K8" t="s">
        <v>342</v>
      </c>
      <c r="L8" t="s">
        <v>297</v>
      </c>
      <c r="M8" t="s">
        <v>298</v>
      </c>
      <c r="N8" t="s">
        <v>299</v>
      </c>
      <c r="BA8" t="s">
        <v>237</v>
      </c>
      <c r="BB8" t="s">
        <v>834</v>
      </c>
      <c r="BC8" t="s">
        <v>835</v>
      </c>
      <c r="BD8" t="s">
        <v>836</v>
      </c>
      <c r="BE8" t="s">
        <v>1609</v>
      </c>
      <c r="BF8" t="s">
        <v>1610</v>
      </c>
      <c r="BG8" t="s">
        <v>1611</v>
      </c>
      <c r="BH8" t="s">
        <v>1612</v>
      </c>
      <c r="BI8" t="s">
        <v>1613</v>
      </c>
      <c r="BJ8" t="s">
        <v>1614</v>
      </c>
    </row>
    <row r="9" spans="1:82" x14ac:dyDescent="0.2">
      <c r="B9" t="s">
        <v>170</v>
      </c>
      <c r="C9" t="s">
        <v>242</v>
      </c>
      <c r="E9" t="s">
        <v>239</v>
      </c>
      <c r="F9" t="s">
        <v>3011</v>
      </c>
      <c r="G9" t="s">
        <v>1616</v>
      </c>
      <c r="H9" t="s">
        <v>1617</v>
      </c>
      <c r="I9" t="s">
        <v>1618</v>
      </c>
      <c r="J9" t="s">
        <v>1619</v>
      </c>
      <c r="K9" t="s">
        <v>3012</v>
      </c>
      <c r="L9" t="s">
        <v>1621</v>
      </c>
      <c r="M9" t="s">
        <v>352</v>
      </c>
      <c r="N9" t="s">
        <v>1622</v>
      </c>
      <c r="BA9" t="s">
        <v>1623</v>
      </c>
      <c r="BB9" t="s">
        <v>1615</v>
      </c>
      <c r="BC9" t="s">
        <v>1616</v>
      </c>
      <c r="BD9" t="s">
        <v>1617</v>
      </c>
      <c r="BE9" t="s">
        <v>1618</v>
      </c>
      <c r="BF9" t="s">
        <v>1619</v>
      </c>
      <c r="BG9" t="s">
        <v>1624</v>
      </c>
      <c r="BH9" t="s">
        <v>1621</v>
      </c>
      <c r="BI9" t="s">
        <v>352</v>
      </c>
      <c r="BJ9" t="s">
        <v>1622</v>
      </c>
    </row>
    <row r="10" spans="1:82" x14ac:dyDescent="0.2"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K10" t="s">
        <v>243</v>
      </c>
      <c r="L10" t="s">
        <v>243</v>
      </c>
      <c r="M10" t="s">
        <v>243</v>
      </c>
      <c r="N10" t="s">
        <v>243</v>
      </c>
      <c r="BA10" t="s">
        <v>243</v>
      </c>
      <c r="BB10" t="s">
        <v>243</v>
      </c>
      <c r="BC10" t="s">
        <v>243</v>
      </c>
      <c r="BD10" t="s">
        <v>243</v>
      </c>
      <c r="BE10" t="s">
        <v>243</v>
      </c>
      <c r="BF10" t="s">
        <v>243</v>
      </c>
      <c r="BG10" t="s">
        <v>243</v>
      </c>
      <c r="BH10" t="s">
        <v>243</v>
      </c>
      <c r="BI10" t="s">
        <v>243</v>
      </c>
      <c r="BJ10" t="s">
        <v>243</v>
      </c>
    </row>
    <row r="11" spans="1:82" x14ac:dyDescent="0.2">
      <c r="B11" t="s">
        <v>1033</v>
      </c>
      <c r="C11">
        <v>100</v>
      </c>
      <c r="D11" t="s">
        <v>248</v>
      </c>
    </row>
    <row r="12" spans="1:82" x14ac:dyDescent="0.2">
      <c r="B12" t="s">
        <v>1360</v>
      </c>
      <c r="C12">
        <v>102</v>
      </c>
      <c r="D12" t="s">
        <v>251</v>
      </c>
    </row>
    <row r="13" spans="1:82" x14ac:dyDescent="0.2">
      <c r="B13" t="s">
        <v>303</v>
      </c>
      <c r="C13">
        <v>104</v>
      </c>
      <c r="D13" t="s">
        <v>251</v>
      </c>
    </row>
    <row r="14" spans="1:82" x14ac:dyDescent="0.2">
      <c r="B14" t="s">
        <v>389</v>
      </c>
      <c r="C14">
        <v>108</v>
      </c>
      <c r="D14" t="s">
        <v>251</v>
      </c>
    </row>
    <row r="15" spans="1:82" x14ac:dyDescent="0.2">
      <c r="B15" t="s">
        <v>391</v>
      </c>
      <c r="C15">
        <v>110</v>
      </c>
      <c r="D15" t="s">
        <v>251</v>
      </c>
    </row>
    <row r="16" spans="1:82" x14ac:dyDescent="0.2">
      <c r="B16" t="s">
        <v>401</v>
      </c>
      <c r="C16">
        <v>112</v>
      </c>
      <c r="D16" t="s">
        <v>251</v>
      </c>
    </row>
    <row r="17" spans="2:82" x14ac:dyDescent="0.2">
      <c r="B17" t="s">
        <v>402</v>
      </c>
      <c r="C17">
        <v>114</v>
      </c>
      <c r="D17" t="s">
        <v>248</v>
      </c>
    </row>
    <row r="19" spans="2:82" x14ac:dyDescent="0.2">
      <c r="B19" t="s">
        <v>1625</v>
      </c>
      <c r="C19">
        <v>120</v>
      </c>
      <c r="D19" t="s">
        <v>248</v>
      </c>
    </row>
    <row r="20" spans="2:82" x14ac:dyDescent="0.2">
      <c r="B20" t="s">
        <v>1626</v>
      </c>
      <c r="C20">
        <v>130</v>
      </c>
      <c r="D20" t="s">
        <v>245</v>
      </c>
      <c r="CA20">
        <f>IF(OR(F20&gt;0,G20&gt;0,H20&gt;0,I20&gt;0,J20&gt;0,K20&gt;0,L20&gt;0,M20&gt;0,N20&gt;0,BA20&gt;0,BB20&gt;0,BC20&gt;0,BD20&gt;0,BE20&gt;0,BF20&gt;0,BG20&gt;0,BH20&gt;0,BI20&gt;1,BJ20&gt;0),1,0)</f>
        <v>0</v>
      </c>
    </row>
    <row r="21" spans="2:82" x14ac:dyDescent="0.2">
      <c r="B21" t="s">
        <v>1627</v>
      </c>
      <c r="C21">
        <v>140</v>
      </c>
      <c r="D21" t="s">
        <v>245</v>
      </c>
      <c r="CA21">
        <f>IF(OR(F21&gt;0,G21&gt;0,H21&gt;0,I21&gt;0,J21&gt;0,K21&gt;0,L21&gt;0,M21&gt;0,N21&gt;0,BA21&gt;0,BB21&gt;0,BC21&gt;0,BD21&gt;0,BE21&gt;0,BF21&gt;0,BG21&gt;0,BH21&gt;0,BI21&gt;1,BJ21&gt;0),1,0)</f>
        <v>0</v>
      </c>
      <c r="CD21">
        <f>E19+E21</f>
        <v>0</v>
      </c>
    </row>
    <row r="22" spans="2:82" x14ac:dyDescent="0.2">
      <c r="B22" t="s">
        <v>1628</v>
      </c>
      <c r="C22">
        <v>150</v>
      </c>
      <c r="D22" t="s">
        <v>248</v>
      </c>
    </row>
    <row r="23" spans="2:82" x14ac:dyDescent="0.2">
      <c r="B23" t="s">
        <v>1629</v>
      </c>
      <c r="C23">
        <v>160</v>
      </c>
      <c r="D23" t="s">
        <v>251</v>
      </c>
    </row>
    <row r="24" spans="2:82" x14ac:dyDescent="0.2">
      <c r="B24" t="s">
        <v>1630</v>
      </c>
      <c r="C24">
        <v>170</v>
      </c>
      <c r="D24" t="s">
        <v>251</v>
      </c>
    </row>
    <row r="25" spans="2:82" x14ac:dyDescent="0.2">
      <c r="B25" t="s">
        <v>1631</v>
      </c>
      <c r="C25">
        <v>180</v>
      </c>
      <c r="D25" t="s">
        <v>245</v>
      </c>
      <c r="CA25">
        <f>IF(OR(F25&gt;0,G25&gt;0,H25&gt;0,I25&gt;0,J25&gt;0,K25&gt;0,L25&gt;0,M25&gt;0,N25&gt;0,BA25&gt;0,BB25&gt;0,BC25&gt;0,BD25&gt;0,BE25&gt;0,BF25&gt;0,BG25&gt;0,BH25&gt;0,BI25&gt;1,BJ25&gt;0),1,0)</f>
        <v>0</v>
      </c>
    </row>
    <row r="26" spans="2:82" x14ac:dyDescent="0.2">
      <c r="B26" t="s">
        <v>1074</v>
      </c>
      <c r="C26">
        <v>185</v>
      </c>
      <c r="D26" t="s">
        <v>251</v>
      </c>
    </row>
    <row r="27" spans="2:82" x14ac:dyDescent="0.2">
      <c r="B27" t="s">
        <v>419</v>
      </c>
      <c r="C27">
        <v>190</v>
      </c>
      <c r="D27" t="s">
        <v>248</v>
      </c>
      <c r="CC27">
        <f>IF(OR(F27-E83-E94&lt;&gt;0,G27-E84-E95&lt;&gt;0,H27-E85-E96&lt;&gt;0,I27-E86-E97&lt;&gt;0,J27-E87-E98&lt;&gt;0,K27-E88-E99&lt;&gt;0,L27-E89-E100&lt;&gt;0,M27-E90-E101&lt;&gt;0,N27-E91-E102),1,0)</f>
        <v>0</v>
      </c>
    </row>
    <row r="28" spans="2:82" x14ac:dyDescent="0.2">
      <c r="B28" t="s">
        <v>1632</v>
      </c>
    </row>
    <row r="29" spans="2:82" x14ac:dyDescent="0.2">
      <c r="B29" t="s">
        <v>1633</v>
      </c>
      <c r="C29">
        <v>200</v>
      </c>
      <c r="D29" t="s">
        <v>248</v>
      </c>
    </row>
    <row r="30" spans="2:82" x14ac:dyDescent="0.2">
      <c r="B30" t="s">
        <v>1634</v>
      </c>
      <c r="C30">
        <v>210</v>
      </c>
      <c r="D30" t="s">
        <v>248</v>
      </c>
    </row>
    <row r="31" spans="2:82" x14ac:dyDescent="0.2">
      <c r="B31" t="s">
        <v>1635</v>
      </c>
      <c r="C31">
        <v>220</v>
      </c>
      <c r="D31" t="s">
        <v>248</v>
      </c>
    </row>
    <row r="32" spans="2:82" x14ac:dyDescent="0.2">
      <c r="B32" t="s">
        <v>1636</v>
      </c>
    </row>
    <row r="33" spans="2:6" x14ac:dyDescent="0.2">
      <c r="B33" t="s">
        <v>2337</v>
      </c>
      <c r="C33">
        <v>230</v>
      </c>
      <c r="D33" t="s">
        <v>248</v>
      </c>
    </row>
    <row r="34" spans="2:6" x14ac:dyDescent="0.2">
      <c r="B34" t="s">
        <v>3013</v>
      </c>
      <c r="C34">
        <v>240</v>
      </c>
      <c r="D34" t="s">
        <v>248</v>
      </c>
    </row>
    <row r="38" spans="2:6" x14ac:dyDescent="0.2">
      <c r="C38" t="s">
        <v>238</v>
      </c>
      <c r="E38" t="s">
        <v>235</v>
      </c>
    </row>
    <row r="39" spans="2:6" x14ac:dyDescent="0.2">
      <c r="B39" t="s">
        <v>1639</v>
      </c>
      <c r="C39" t="s">
        <v>242</v>
      </c>
    </row>
    <row r="41" spans="2:6" x14ac:dyDescent="0.2">
      <c r="B41" t="s">
        <v>1640</v>
      </c>
      <c r="C41">
        <v>250</v>
      </c>
      <c r="D41" t="s">
        <v>1532</v>
      </c>
    </row>
    <row r="42" spans="2:6" x14ac:dyDescent="0.2">
      <c r="B42" t="s">
        <v>1641</v>
      </c>
      <c r="C42">
        <v>260</v>
      </c>
      <c r="D42" t="s">
        <v>1532</v>
      </c>
    </row>
    <row r="43" spans="2:6" x14ac:dyDescent="0.2">
      <c r="B43" t="s">
        <v>1642</v>
      </c>
      <c r="C43">
        <v>270</v>
      </c>
      <c r="D43" t="s">
        <v>1532</v>
      </c>
    </row>
    <row r="44" spans="2:6" x14ac:dyDescent="0.2">
      <c r="B44" t="s">
        <v>1643</v>
      </c>
      <c r="C44">
        <v>280</v>
      </c>
      <c r="D44" t="s">
        <v>1532</v>
      </c>
    </row>
    <row r="48" spans="2:6" x14ac:dyDescent="0.2">
      <c r="C48" t="s">
        <v>238</v>
      </c>
      <c r="D48" t="s">
        <v>25</v>
      </c>
      <c r="E48" t="s">
        <v>235</v>
      </c>
      <c r="F48" t="s">
        <v>236</v>
      </c>
    </row>
    <row r="49" spans="2:79" x14ac:dyDescent="0.2">
      <c r="B49" t="s">
        <v>172</v>
      </c>
      <c r="C49" t="s">
        <v>242</v>
      </c>
      <c r="E49" t="s">
        <v>300</v>
      </c>
      <c r="F49" t="s">
        <v>240</v>
      </c>
    </row>
    <row r="50" spans="2:79" x14ac:dyDescent="0.2">
      <c r="E50" t="s">
        <v>243</v>
      </c>
      <c r="F50" t="s">
        <v>243</v>
      </c>
    </row>
    <row r="51" spans="2:79" x14ac:dyDescent="0.2">
      <c r="B51" t="s">
        <v>1645</v>
      </c>
    </row>
    <row r="52" spans="2:79" x14ac:dyDescent="0.2">
      <c r="B52" t="s">
        <v>1661</v>
      </c>
      <c r="C52">
        <v>290</v>
      </c>
      <c r="D52" t="s">
        <v>245</v>
      </c>
      <c r="CA52">
        <f>IF(E52&gt;0,1,0)</f>
        <v>0</v>
      </c>
    </row>
    <row r="53" spans="2:79" x14ac:dyDescent="0.2">
      <c r="B53" t="s">
        <v>1463</v>
      </c>
      <c r="C53">
        <v>300</v>
      </c>
      <c r="D53" t="s">
        <v>245</v>
      </c>
      <c r="CA53">
        <f>IF(E53&gt;0,1,0)</f>
        <v>0</v>
      </c>
    </row>
    <row r="54" spans="2:79" x14ac:dyDescent="0.2">
      <c r="B54" t="s">
        <v>1649</v>
      </c>
      <c r="C54">
        <v>310</v>
      </c>
      <c r="D54" t="s">
        <v>248</v>
      </c>
    </row>
    <row r="55" spans="2:79" x14ac:dyDescent="0.2">
      <c r="B55" t="s">
        <v>1650</v>
      </c>
      <c r="C55">
        <v>320</v>
      </c>
      <c r="D55" t="s">
        <v>245</v>
      </c>
      <c r="CA55">
        <f>IF(E55&gt;0,1,0)</f>
        <v>0</v>
      </c>
    </row>
    <row r="56" spans="2:79" x14ac:dyDescent="0.2">
      <c r="B56" t="s">
        <v>1651</v>
      </c>
    </row>
    <row r="57" spans="2:79" x14ac:dyDescent="0.2">
      <c r="B57" t="s">
        <v>1652</v>
      </c>
      <c r="C57">
        <v>330</v>
      </c>
      <c r="D57" t="s">
        <v>248</v>
      </c>
    </row>
    <row r="58" spans="2:79" x14ac:dyDescent="0.2">
      <c r="B58" t="s">
        <v>1653</v>
      </c>
    </row>
    <row r="59" spans="2:79" x14ac:dyDescent="0.2">
      <c r="B59" t="s">
        <v>1654</v>
      </c>
    </row>
    <row r="61" spans="2:79" x14ac:dyDescent="0.2">
      <c r="C61" t="s">
        <v>238</v>
      </c>
      <c r="D61" t="s">
        <v>25</v>
      </c>
      <c r="E61" t="s">
        <v>235</v>
      </c>
      <c r="F61" t="s">
        <v>236</v>
      </c>
    </row>
    <row r="62" spans="2:79" x14ac:dyDescent="0.2">
      <c r="B62" t="s">
        <v>173</v>
      </c>
      <c r="C62" t="s">
        <v>242</v>
      </c>
      <c r="E62" t="s">
        <v>300</v>
      </c>
      <c r="F62" t="s">
        <v>240</v>
      </c>
    </row>
    <row r="63" spans="2:79" x14ac:dyDescent="0.2">
      <c r="E63" t="s">
        <v>243</v>
      </c>
      <c r="F63" t="s">
        <v>243</v>
      </c>
    </row>
    <row r="64" spans="2:79" x14ac:dyDescent="0.2">
      <c r="B64" t="s">
        <v>1656</v>
      </c>
      <c r="C64">
        <v>340</v>
      </c>
      <c r="D64" t="s">
        <v>248</v>
      </c>
    </row>
    <row r="65" spans="2:62" x14ac:dyDescent="0.2">
      <c r="B65" t="s">
        <v>1657</v>
      </c>
      <c r="C65">
        <v>350</v>
      </c>
      <c r="D65" t="s">
        <v>248</v>
      </c>
    </row>
    <row r="66" spans="2:62" x14ac:dyDescent="0.2">
      <c r="B66" t="s">
        <v>1658</v>
      </c>
      <c r="C66">
        <v>360</v>
      </c>
      <c r="D66" t="s">
        <v>248</v>
      </c>
    </row>
    <row r="67" spans="2:62" x14ac:dyDescent="0.2">
      <c r="B67" t="s">
        <v>340</v>
      </c>
      <c r="C67">
        <v>370</v>
      </c>
      <c r="D67" t="s">
        <v>248</v>
      </c>
    </row>
    <row r="70" spans="2:62" x14ac:dyDescent="0.2">
      <c r="C70" t="s">
        <v>238</v>
      </c>
      <c r="D70" t="s">
        <v>25</v>
      </c>
      <c r="E70" t="s">
        <v>235</v>
      </c>
      <c r="F70" t="s">
        <v>236</v>
      </c>
      <c r="G70" t="s">
        <v>293</v>
      </c>
      <c r="H70" t="s">
        <v>294</v>
      </c>
      <c r="I70" t="s">
        <v>295</v>
      </c>
      <c r="J70" t="s">
        <v>296</v>
      </c>
      <c r="K70" t="s">
        <v>342</v>
      </c>
      <c r="L70" t="s">
        <v>297</v>
      </c>
      <c r="M70" t="s">
        <v>298</v>
      </c>
      <c r="N70" t="s">
        <v>299</v>
      </c>
      <c r="BA70" t="s">
        <v>237</v>
      </c>
      <c r="BB70" t="s">
        <v>834</v>
      </c>
      <c r="BC70" t="s">
        <v>835</v>
      </c>
      <c r="BD70" t="s">
        <v>836</v>
      </c>
      <c r="BE70" t="s">
        <v>1609</v>
      </c>
      <c r="BF70" t="s">
        <v>1610</v>
      </c>
      <c r="BG70" t="s">
        <v>1611</v>
      </c>
      <c r="BH70" t="s">
        <v>1612</v>
      </c>
      <c r="BI70" t="s">
        <v>1613</v>
      </c>
      <c r="BJ70" t="s">
        <v>1614</v>
      </c>
    </row>
    <row r="71" spans="2:62" x14ac:dyDescent="0.2">
      <c r="B71" t="s">
        <v>1659</v>
      </c>
      <c r="C71" t="s">
        <v>242</v>
      </c>
      <c r="E71" t="s">
        <v>239</v>
      </c>
      <c r="F71" t="s">
        <v>1660</v>
      </c>
      <c r="G71" t="s">
        <v>1616</v>
      </c>
      <c r="H71" t="s">
        <v>1617</v>
      </c>
      <c r="I71" t="s">
        <v>1618</v>
      </c>
      <c r="J71" t="s">
        <v>1619</v>
      </c>
      <c r="K71" t="s">
        <v>1661</v>
      </c>
      <c r="L71" t="s">
        <v>1621</v>
      </c>
      <c r="M71" t="s">
        <v>352</v>
      </c>
      <c r="N71" t="s">
        <v>1622</v>
      </c>
      <c r="BA71" t="s">
        <v>307</v>
      </c>
      <c r="BB71" t="s">
        <v>1660</v>
      </c>
      <c r="BC71" t="s">
        <v>1616</v>
      </c>
      <c r="BD71" t="s">
        <v>1617</v>
      </c>
      <c r="BE71" t="s">
        <v>1618</v>
      </c>
      <c r="BF71" t="s">
        <v>1619</v>
      </c>
      <c r="BG71" t="s">
        <v>1661</v>
      </c>
      <c r="BH71" t="s">
        <v>1621</v>
      </c>
      <c r="BI71" t="s">
        <v>352</v>
      </c>
      <c r="BJ71" t="s">
        <v>1622</v>
      </c>
    </row>
    <row r="72" spans="2:62" x14ac:dyDescent="0.2">
      <c r="E72" t="s">
        <v>243</v>
      </c>
      <c r="F72" t="s">
        <v>243</v>
      </c>
      <c r="G72" t="s">
        <v>243</v>
      </c>
      <c r="H72" t="s">
        <v>243</v>
      </c>
      <c r="I72" t="s">
        <v>243</v>
      </c>
      <c r="J72" t="s">
        <v>243</v>
      </c>
      <c r="K72" t="s">
        <v>243</v>
      </c>
      <c r="L72" t="s">
        <v>243</v>
      </c>
      <c r="M72" t="s">
        <v>243</v>
      </c>
      <c r="N72" t="s">
        <v>243</v>
      </c>
      <c r="BA72" t="s">
        <v>243</v>
      </c>
      <c r="BB72" t="s">
        <v>243</v>
      </c>
      <c r="BC72" t="s">
        <v>243</v>
      </c>
      <c r="BD72" t="s">
        <v>243</v>
      </c>
      <c r="BE72" t="s">
        <v>243</v>
      </c>
      <c r="BF72" t="s">
        <v>243</v>
      </c>
      <c r="BG72" t="s">
        <v>243</v>
      </c>
      <c r="BH72" t="s">
        <v>243</v>
      </c>
      <c r="BI72" t="s">
        <v>243</v>
      </c>
      <c r="BJ72" t="s">
        <v>243</v>
      </c>
    </row>
    <row r="73" spans="2:62" x14ac:dyDescent="0.2">
      <c r="B73" t="s">
        <v>1662</v>
      </c>
      <c r="C73">
        <v>400</v>
      </c>
      <c r="D73" t="s">
        <v>248</v>
      </c>
    </row>
    <row r="74" spans="2:62" x14ac:dyDescent="0.2">
      <c r="B74" t="s">
        <v>1663</v>
      </c>
      <c r="C74">
        <v>410</v>
      </c>
      <c r="D74" t="s">
        <v>248</v>
      </c>
    </row>
    <row r="75" spans="2:62" x14ac:dyDescent="0.2">
      <c r="B75" t="s">
        <v>340</v>
      </c>
      <c r="C75">
        <v>420</v>
      </c>
      <c r="D75" t="s">
        <v>248</v>
      </c>
    </row>
    <row r="78" spans="2:62" x14ac:dyDescent="0.2">
      <c r="F78" t="s">
        <v>1320</v>
      </c>
      <c r="J78" t="s">
        <v>1321</v>
      </c>
    </row>
    <row r="79" spans="2:62" x14ac:dyDescent="0.2">
      <c r="D79" t="s">
        <v>25</v>
      </c>
      <c r="E79" t="s">
        <v>235</v>
      </c>
      <c r="F79" t="s">
        <v>236</v>
      </c>
      <c r="G79" t="s">
        <v>293</v>
      </c>
      <c r="H79" t="s">
        <v>294</v>
      </c>
      <c r="I79" t="s">
        <v>295</v>
      </c>
      <c r="J79" t="s">
        <v>296</v>
      </c>
      <c r="K79" t="s">
        <v>342</v>
      </c>
      <c r="L79" t="s">
        <v>297</v>
      </c>
      <c r="M79" t="s">
        <v>298</v>
      </c>
    </row>
    <row r="80" spans="2:62" x14ac:dyDescent="0.2">
      <c r="B80" t="s">
        <v>1664</v>
      </c>
      <c r="C80" t="s">
        <v>238</v>
      </c>
      <c r="E80" t="s">
        <v>239</v>
      </c>
      <c r="F80" t="s">
        <v>1665</v>
      </c>
      <c r="G80" t="s">
        <v>1666</v>
      </c>
      <c r="H80" t="s">
        <v>302</v>
      </c>
      <c r="I80" t="s">
        <v>1667</v>
      </c>
      <c r="J80" t="s">
        <v>387</v>
      </c>
      <c r="K80" t="s">
        <v>303</v>
      </c>
      <c r="L80" t="s">
        <v>304</v>
      </c>
      <c r="M80" t="s">
        <v>1033</v>
      </c>
    </row>
    <row r="81" spans="2:13" x14ac:dyDescent="0.2">
      <c r="C81" t="s">
        <v>242</v>
      </c>
      <c r="E81" t="s">
        <v>243</v>
      </c>
      <c r="F81" t="s">
        <v>243</v>
      </c>
      <c r="G81" t="s">
        <v>243</v>
      </c>
      <c r="H81" t="s">
        <v>243</v>
      </c>
      <c r="I81" t="s">
        <v>243</v>
      </c>
      <c r="J81" t="s">
        <v>243</v>
      </c>
      <c r="K81" t="s">
        <v>243</v>
      </c>
      <c r="L81" t="s">
        <v>243</v>
      </c>
      <c r="M81" t="s">
        <v>243</v>
      </c>
    </row>
    <row r="82" spans="2:13" x14ac:dyDescent="0.2">
      <c r="B82" t="s">
        <v>1248</v>
      </c>
    </row>
    <row r="83" spans="2:13" x14ac:dyDescent="0.2">
      <c r="B83" t="s">
        <v>1615</v>
      </c>
      <c r="C83">
        <v>500</v>
      </c>
      <c r="D83" t="s">
        <v>248</v>
      </c>
    </row>
    <row r="84" spans="2:13" x14ac:dyDescent="0.2">
      <c r="B84" t="s">
        <v>1616</v>
      </c>
      <c r="C84">
        <v>510</v>
      </c>
      <c r="D84" t="s">
        <v>248</v>
      </c>
    </row>
    <row r="85" spans="2:13" x14ac:dyDescent="0.2">
      <c r="B85" t="s">
        <v>1617</v>
      </c>
      <c r="C85">
        <v>520</v>
      </c>
      <c r="D85" t="s">
        <v>248</v>
      </c>
    </row>
    <row r="86" spans="2:13" x14ac:dyDescent="0.2">
      <c r="B86" t="s">
        <v>1618</v>
      </c>
      <c r="C86">
        <v>530</v>
      </c>
      <c r="D86" t="s">
        <v>248</v>
      </c>
    </row>
    <row r="87" spans="2:13" x14ac:dyDescent="0.2">
      <c r="B87" t="s">
        <v>1619</v>
      </c>
      <c r="C87">
        <v>540</v>
      </c>
      <c r="D87" t="s">
        <v>248</v>
      </c>
    </row>
    <row r="88" spans="2:13" x14ac:dyDescent="0.2">
      <c r="B88" t="s">
        <v>1624</v>
      </c>
      <c r="C88">
        <v>550</v>
      </c>
      <c r="D88" t="s">
        <v>248</v>
      </c>
    </row>
    <row r="89" spans="2:13" x14ac:dyDescent="0.2">
      <c r="B89" t="s">
        <v>1621</v>
      </c>
      <c r="C89">
        <v>560</v>
      </c>
      <c r="D89" t="s">
        <v>248</v>
      </c>
    </row>
    <row r="90" spans="2:13" x14ac:dyDescent="0.2">
      <c r="B90" t="s">
        <v>352</v>
      </c>
      <c r="C90">
        <v>570</v>
      </c>
      <c r="D90" t="s">
        <v>248</v>
      </c>
    </row>
    <row r="91" spans="2:13" x14ac:dyDescent="0.2">
      <c r="B91" t="s">
        <v>1622</v>
      </c>
      <c r="C91">
        <v>580</v>
      </c>
      <c r="D91" t="s">
        <v>248</v>
      </c>
    </row>
    <row r="92" spans="2:13" x14ac:dyDescent="0.2">
      <c r="B92" t="s">
        <v>1668</v>
      </c>
      <c r="C92">
        <v>590</v>
      </c>
      <c r="D92" t="s">
        <v>248</v>
      </c>
    </row>
    <row r="93" spans="2:13" x14ac:dyDescent="0.2">
      <c r="B93" t="s">
        <v>1346</v>
      </c>
    </row>
    <row r="94" spans="2:13" x14ac:dyDescent="0.2">
      <c r="B94" t="s">
        <v>1669</v>
      </c>
      <c r="C94">
        <v>600</v>
      </c>
      <c r="D94" t="s">
        <v>248</v>
      </c>
    </row>
    <row r="95" spans="2:13" x14ac:dyDescent="0.2">
      <c r="B95" t="s">
        <v>1616</v>
      </c>
      <c r="C95">
        <v>610</v>
      </c>
      <c r="D95" t="s">
        <v>248</v>
      </c>
    </row>
    <row r="96" spans="2:13" x14ac:dyDescent="0.2">
      <c r="B96" t="s">
        <v>1617</v>
      </c>
      <c r="C96">
        <v>620</v>
      </c>
      <c r="D96" t="s">
        <v>248</v>
      </c>
    </row>
    <row r="97" spans="2:5" x14ac:dyDescent="0.2">
      <c r="B97" t="s">
        <v>1618</v>
      </c>
      <c r="C97">
        <v>630</v>
      </c>
      <c r="D97" t="s">
        <v>248</v>
      </c>
    </row>
    <row r="98" spans="2:5" x14ac:dyDescent="0.2">
      <c r="B98" t="s">
        <v>1619</v>
      </c>
      <c r="C98">
        <v>640</v>
      </c>
      <c r="D98" t="s">
        <v>248</v>
      </c>
    </row>
    <row r="99" spans="2:5" x14ac:dyDescent="0.2">
      <c r="B99" t="s">
        <v>1624</v>
      </c>
      <c r="C99">
        <v>650</v>
      </c>
      <c r="D99" t="s">
        <v>248</v>
      </c>
    </row>
    <row r="100" spans="2:5" x14ac:dyDescent="0.2">
      <c r="B100" t="s">
        <v>1621</v>
      </c>
      <c r="C100">
        <v>660</v>
      </c>
      <c r="D100" t="s">
        <v>248</v>
      </c>
    </row>
    <row r="101" spans="2:5" x14ac:dyDescent="0.2">
      <c r="B101" t="s">
        <v>352</v>
      </c>
      <c r="C101">
        <v>670</v>
      </c>
      <c r="D101" t="s">
        <v>248</v>
      </c>
    </row>
    <row r="102" spans="2:5" x14ac:dyDescent="0.2">
      <c r="B102" t="s">
        <v>1622</v>
      </c>
      <c r="C102">
        <v>680</v>
      </c>
      <c r="D102" t="s">
        <v>248</v>
      </c>
    </row>
    <row r="103" spans="2:5" x14ac:dyDescent="0.2">
      <c r="B103" t="s">
        <v>1670</v>
      </c>
      <c r="C103">
        <v>690</v>
      </c>
      <c r="D103" t="s">
        <v>248</v>
      </c>
    </row>
    <row r="104" spans="2:5" x14ac:dyDescent="0.2">
      <c r="B104" t="s">
        <v>1671</v>
      </c>
      <c r="C104">
        <v>700</v>
      </c>
      <c r="D104" t="s">
        <v>248</v>
      </c>
    </row>
    <row r="108" spans="2:5" x14ac:dyDescent="0.2">
      <c r="D108" t="s">
        <v>25</v>
      </c>
      <c r="E108" t="s">
        <v>235</v>
      </c>
    </row>
    <row r="109" spans="2:5" x14ac:dyDescent="0.2">
      <c r="B109" t="s">
        <v>1664</v>
      </c>
      <c r="C109" t="s">
        <v>238</v>
      </c>
      <c r="E109" t="s">
        <v>239</v>
      </c>
    </row>
    <row r="110" spans="2:5" x14ac:dyDescent="0.2">
      <c r="C110" t="s">
        <v>242</v>
      </c>
      <c r="E110" t="s">
        <v>243</v>
      </c>
    </row>
    <row r="111" spans="2:5" x14ac:dyDescent="0.2">
      <c r="B111" t="s">
        <v>1672</v>
      </c>
      <c r="C111">
        <v>710</v>
      </c>
      <c r="D111" t="s">
        <v>248</v>
      </c>
    </row>
    <row r="112" spans="2:5" x14ac:dyDescent="0.2">
      <c r="B112" t="s">
        <v>1673</v>
      </c>
      <c r="C112">
        <v>720</v>
      </c>
      <c r="D112" t="s">
        <v>245</v>
      </c>
    </row>
  </sheetData>
  <sheetProtection sheet="1" objects="1" scenarios="1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CG214"/>
  <sheetViews>
    <sheetView zoomScale="70" zoomScaleNormal="70" workbookViewId="0"/>
  </sheetViews>
  <sheetFormatPr defaultRowHeight="12.75" x14ac:dyDescent="0.2"/>
  <sheetData>
    <row r="1" spans="1:85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5" x14ac:dyDescent="0.2">
      <c r="A2" t="s">
        <v>3727</v>
      </c>
    </row>
    <row r="3" spans="1:85" x14ac:dyDescent="0.2">
      <c r="A3" t="s">
        <v>3779</v>
      </c>
    </row>
    <row r="4" spans="1:85" x14ac:dyDescent="0.2">
      <c r="B4" t="s">
        <v>1674</v>
      </c>
    </row>
    <row r="5" spans="1:85" x14ac:dyDescent="0.2">
      <c r="B5" t="s">
        <v>66</v>
      </c>
      <c r="CA5" t="s">
        <v>230</v>
      </c>
      <c r="CB5">
        <f>0</f>
        <v>0</v>
      </c>
    </row>
    <row r="6" spans="1:85" x14ac:dyDescent="0.2">
      <c r="CA6" t="s">
        <v>231</v>
      </c>
      <c r="CB6" t="s">
        <v>232</v>
      </c>
      <c r="CC6" t="s">
        <v>1675</v>
      </c>
      <c r="CD6" t="s">
        <v>3014</v>
      </c>
      <c r="CE6" t="s">
        <v>1676</v>
      </c>
      <c r="CF6" t="s">
        <v>1677</v>
      </c>
      <c r="CG6" t="s">
        <v>1678</v>
      </c>
    </row>
    <row r="7" spans="1:85" x14ac:dyDescent="0.2">
      <c r="C7" t="s">
        <v>238</v>
      </c>
      <c r="D7" t="s">
        <v>25</v>
      </c>
      <c r="E7" t="s">
        <v>235</v>
      </c>
      <c r="F7" t="s">
        <v>236</v>
      </c>
      <c r="CA7">
        <f>SUM(CA10:CA162)</f>
        <v>0</v>
      </c>
      <c r="CB7">
        <f>SUM(CB10:CB162)</f>
        <v>0</v>
      </c>
    </row>
    <row r="8" spans="1:85" x14ac:dyDescent="0.2">
      <c r="B8" t="s">
        <v>176</v>
      </c>
      <c r="C8" t="s">
        <v>242</v>
      </c>
      <c r="E8" t="s">
        <v>300</v>
      </c>
      <c r="F8" t="s">
        <v>240</v>
      </c>
    </row>
    <row r="9" spans="1:85" x14ac:dyDescent="0.2">
      <c r="E9" t="s">
        <v>243</v>
      </c>
      <c r="F9" t="s">
        <v>243</v>
      </c>
    </row>
    <row r="10" spans="1:85" x14ac:dyDescent="0.2">
      <c r="B10" t="s">
        <v>1679</v>
      </c>
      <c r="C10">
        <v>100</v>
      </c>
      <c r="D10" t="s">
        <v>248</v>
      </c>
      <c r="CB10">
        <f>IF(E10&lt;0,1,0)</f>
        <v>0</v>
      </c>
      <c r="CC10">
        <f>IF(AND(E10&lt;&gt;0,E20=0),1,0)</f>
        <v>0</v>
      </c>
    </row>
    <row r="11" spans="1:85" x14ac:dyDescent="0.2">
      <c r="B11" t="s">
        <v>1680</v>
      </c>
      <c r="C11">
        <v>110</v>
      </c>
      <c r="D11" t="s">
        <v>248</v>
      </c>
      <c r="CB11">
        <f>IF(E11&lt;0,1,0)</f>
        <v>0</v>
      </c>
    </row>
    <row r="12" spans="1:85" x14ac:dyDescent="0.2">
      <c r="B12" t="s">
        <v>340</v>
      </c>
      <c r="C12">
        <v>120</v>
      </c>
      <c r="D12" t="s">
        <v>248</v>
      </c>
      <c r="E12">
        <f>SUM(E10:E11)</f>
        <v>0</v>
      </c>
    </row>
    <row r="13" spans="1:85" x14ac:dyDescent="0.2">
      <c r="B13" t="s">
        <v>1681</v>
      </c>
    </row>
    <row r="14" spans="1:85" x14ac:dyDescent="0.2">
      <c r="B14" t="s">
        <v>1633</v>
      </c>
      <c r="C14">
        <v>130</v>
      </c>
      <c r="D14" t="s">
        <v>248</v>
      </c>
      <c r="E14">
        <f>SUM(E187+E193)</f>
        <v>0</v>
      </c>
      <c r="CB14">
        <f>IF(E14&lt;0,1,0)</f>
        <v>0</v>
      </c>
    </row>
    <row r="15" spans="1:85" x14ac:dyDescent="0.2">
      <c r="B15" t="s">
        <v>1682</v>
      </c>
      <c r="C15">
        <v>140</v>
      </c>
      <c r="D15" t="s">
        <v>248</v>
      </c>
      <c r="E15">
        <f>SUM(E188+E194)</f>
        <v>0</v>
      </c>
      <c r="CB15">
        <f>IF(E15&lt;0,1,0)</f>
        <v>0</v>
      </c>
    </row>
    <row r="16" spans="1:85" x14ac:dyDescent="0.2">
      <c r="B16" t="s">
        <v>1635</v>
      </c>
      <c r="C16">
        <v>150</v>
      </c>
      <c r="D16" t="s">
        <v>248</v>
      </c>
      <c r="E16">
        <f>SUM(E189+E195)</f>
        <v>0</v>
      </c>
      <c r="CB16">
        <f>IF(E16&lt;0,1,0)</f>
        <v>0</v>
      </c>
    </row>
    <row r="17" spans="2:82" x14ac:dyDescent="0.2">
      <c r="B17" t="s">
        <v>340</v>
      </c>
      <c r="C17">
        <v>160</v>
      </c>
      <c r="D17" t="s">
        <v>248</v>
      </c>
      <c r="E17">
        <f>SUM(E14:E16)</f>
        <v>0</v>
      </c>
    </row>
    <row r="18" spans="2:82" x14ac:dyDescent="0.2">
      <c r="B18" t="s">
        <v>1683</v>
      </c>
    </row>
    <row r="19" spans="2:82" x14ac:dyDescent="0.2">
      <c r="B19" t="s">
        <v>1684</v>
      </c>
    </row>
    <row r="20" spans="2:82" x14ac:dyDescent="0.2">
      <c r="B20" t="s">
        <v>1685</v>
      </c>
      <c r="C20">
        <v>180</v>
      </c>
      <c r="D20" t="s">
        <v>248</v>
      </c>
      <c r="CB20">
        <f>IF(E20&lt;0,1,0)</f>
        <v>0</v>
      </c>
    </row>
    <row r="21" spans="2:82" x14ac:dyDescent="0.2">
      <c r="B21" t="s">
        <v>1686</v>
      </c>
      <c r="C21">
        <v>190</v>
      </c>
      <c r="D21" t="s">
        <v>248</v>
      </c>
      <c r="CB21">
        <f>IF(E21&lt;0,1,0)</f>
        <v>0</v>
      </c>
    </row>
    <row r="22" spans="2:82" x14ac:dyDescent="0.2">
      <c r="B22" t="s">
        <v>1687</v>
      </c>
      <c r="C22">
        <v>200</v>
      </c>
      <c r="D22" t="s">
        <v>248</v>
      </c>
      <c r="CB22">
        <f>IF(E22&lt;0,1,0)</f>
        <v>0</v>
      </c>
    </row>
    <row r="26" spans="2:82" x14ac:dyDescent="0.2">
      <c r="C26" t="s">
        <v>238</v>
      </c>
      <c r="D26" t="s">
        <v>25</v>
      </c>
      <c r="E26" t="s">
        <v>235</v>
      </c>
      <c r="F26" t="s">
        <v>236</v>
      </c>
      <c r="CD26" t="s">
        <v>3015</v>
      </c>
    </row>
    <row r="27" spans="2:82" x14ac:dyDescent="0.2">
      <c r="B27" t="s">
        <v>177</v>
      </c>
      <c r="C27" t="s">
        <v>242</v>
      </c>
      <c r="E27" t="s">
        <v>300</v>
      </c>
      <c r="F27" t="s">
        <v>240</v>
      </c>
    </row>
    <row r="28" spans="2:82" x14ac:dyDescent="0.2">
      <c r="B28" t="s">
        <v>1688</v>
      </c>
      <c r="E28" t="s">
        <v>243</v>
      </c>
      <c r="F28" t="s">
        <v>243</v>
      </c>
      <c r="CD28">
        <f>IF(AND(E106=0,CD27&lt;&gt;0),1,IF(AND(E106&lt;&gt;0,CD27=0),1,IF(AND(E106&lt;&gt;0,CD32&lt;E106),1,0)))</f>
        <v>0</v>
      </c>
    </row>
    <row r="29" spans="2:82" x14ac:dyDescent="0.2">
      <c r="B29" t="s">
        <v>1633</v>
      </c>
      <c r="C29">
        <v>210</v>
      </c>
      <c r="D29" t="s">
        <v>248</v>
      </c>
      <c r="CB29">
        <f>IF(E29&lt;0,1,0)</f>
        <v>0</v>
      </c>
    </row>
    <row r="30" spans="2:82" x14ac:dyDescent="0.2">
      <c r="B30" t="s">
        <v>1682</v>
      </c>
      <c r="C30">
        <v>220</v>
      </c>
      <c r="D30" t="s">
        <v>248</v>
      </c>
      <c r="CB30">
        <f>IF(E30&lt;0,1,0)</f>
        <v>0</v>
      </c>
    </row>
    <row r="31" spans="2:82" x14ac:dyDescent="0.2">
      <c r="B31" t="s">
        <v>1635</v>
      </c>
      <c r="C31">
        <v>230</v>
      </c>
      <c r="D31" t="s">
        <v>248</v>
      </c>
      <c r="CB31">
        <f>IF(E31&lt;0,1,0)</f>
        <v>0</v>
      </c>
      <c r="CD31" t="s">
        <v>3016</v>
      </c>
    </row>
    <row r="32" spans="2:82" x14ac:dyDescent="0.2">
      <c r="B32" t="s">
        <v>1477</v>
      </c>
      <c r="C32">
        <v>240</v>
      </c>
      <c r="D32" t="s">
        <v>248</v>
      </c>
      <c r="E32">
        <f>SUM(E29:E31)</f>
        <v>0</v>
      </c>
    </row>
    <row r="33" spans="2:83" x14ac:dyDescent="0.2">
      <c r="B33" t="s">
        <v>1689</v>
      </c>
      <c r="C33">
        <v>250</v>
      </c>
      <c r="D33" t="s">
        <v>245</v>
      </c>
      <c r="CA33">
        <f>IF(E33&gt;0,1,0)</f>
        <v>0</v>
      </c>
      <c r="CD33" t="s">
        <v>3017</v>
      </c>
    </row>
    <row r="34" spans="2:83" x14ac:dyDescent="0.2">
      <c r="B34" t="s">
        <v>340</v>
      </c>
      <c r="C34">
        <v>260</v>
      </c>
      <c r="D34" t="s">
        <v>248</v>
      </c>
      <c r="E34">
        <f>SUM(E32:E33)</f>
        <v>0</v>
      </c>
    </row>
    <row r="35" spans="2:83" x14ac:dyDescent="0.2">
      <c r="CD35">
        <f>IF(AND(E34=0,CD34&lt;&gt;0),1,IF(AND(E34&lt;&gt;0,CD34=0),1,IF(AND(E34&lt;&gt;0,CD32&lt;E34),1,0)))</f>
        <v>0</v>
      </c>
      <c r="CE35">
        <f>IF(AND(E34&lt;&gt;0,E11=0),1,IF(AND(E34&lt;&gt;0,E17=0),1,0))</f>
        <v>0</v>
      </c>
    </row>
    <row r="37" spans="2:83" x14ac:dyDescent="0.2">
      <c r="C37" t="s">
        <v>238</v>
      </c>
      <c r="D37" t="s">
        <v>25</v>
      </c>
      <c r="E37" t="s">
        <v>235</v>
      </c>
      <c r="F37" t="s">
        <v>236</v>
      </c>
    </row>
    <row r="38" spans="2:83" x14ac:dyDescent="0.2">
      <c r="B38" t="s">
        <v>178</v>
      </c>
      <c r="C38" t="s">
        <v>242</v>
      </c>
      <c r="E38" t="s">
        <v>300</v>
      </c>
      <c r="F38" t="s">
        <v>240</v>
      </c>
    </row>
    <row r="39" spans="2:83" x14ac:dyDescent="0.2">
      <c r="B39" t="s">
        <v>1688</v>
      </c>
      <c r="E39" t="s">
        <v>243</v>
      </c>
      <c r="F39" t="s">
        <v>243</v>
      </c>
    </row>
    <row r="40" spans="2:83" x14ac:dyDescent="0.2">
      <c r="B40" t="s">
        <v>1633</v>
      </c>
      <c r="C40">
        <v>265</v>
      </c>
      <c r="D40" t="s">
        <v>248</v>
      </c>
    </row>
    <row r="41" spans="2:83" x14ac:dyDescent="0.2">
      <c r="B41" t="s">
        <v>1682</v>
      </c>
      <c r="C41">
        <v>270</v>
      </c>
      <c r="D41" t="s">
        <v>248</v>
      </c>
    </row>
    <row r="42" spans="2:83" x14ac:dyDescent="0.2">
      <c r="B42" t="s">
        <v>1635</v>
      </c>
      <c r="C42">
        <v>275</v>
      </c>
      <c r="D42" t="s">
        <v>248</v>
      </c>
    </row>
    <row r="43" spans="2:83" x14ac:dyDescent="0.2">
      <c r="B43" t="s">
        <v>1477</v>
      </c>
      <c r="C43">
        <v>280</v>
      </c>
      <c r="D43" t="s">
        <v>248</v>
      </c>
      <c r="E43">
        <f>SUM(E40:E42)</f>
        <v>0</v>
      </c>
      <c r="F43">
        <f>SUM(F40:F42)</f>
        <v>0</v>
      </c>
    </row>
    <row r="47" spans="2:83" x14ac:dyDescent="0.2">
      <c r="E47" t="s">
        <v>235</v>
      </c>
    </row>
    <row r="48" spans="2:83" x14ac:dyDescent="0.2">
      <c r="C48" t="s">
        <v>238</v>
      </c>
      <c r="D48" t="s">
        <v>25</v>
      </c>
      <c r="E48" t="s">
        <v>340</v>
      </c>
    </row>
    <row r="49" spans="2:6" x14ac:dyDescent="0.2">
      <c r="B49" t="s">
        <v>179</v>
      </c>
      <c r="C49" t="s">
        <v>242</v>
      </c>
      <c r="E49" t="s">
        <v>891</v>
      </c>
    </row>
    <row r="50" spans="2:6" x14ac:dyDescent="0.2">
      <c r="B50" t="s">
        <v>3018</v>
      </c>
      <c r="C50">
        <v>282</v>
      </c>
      <c r="D50" t="s">
        <v>248</v>
      </c>
    </row>
    <row r="51" spans="2:6" x14ac:dyDescent="0.2">
      <c r="B51" t="s">
        <v>3019</v>
      </c>
      <c r="C51">
        <v>284</v>
      </c>
      <c r="D51" t="s">
        <v>248</v>
      </c>
    </row>
    <row r="55" spans="2:6" x14ac:dyDescent="0.2">
      <c r="C55" t="s">
        <v>238</v>
      </c>
      <c r="D55" t="s">
        <v>25</v>
      </c>
      <c r="E55" t="s">
        <v>235</v>
      </c>
      <c r="F55" t="s">
        <v>236</v>
      </c>
    </row>
    <row r="56" spans="2:6" x14ac:dyDescent="0.2">
      <c r="B56" t="s">
        <v>180</v>
      </c>
      <c r="C56" t="s">
        <v>242</v>
      </c>
      <c r="E56" t="s">
        <v>300</v>
      </c>
      <c r="F56" t="s">
        <v>240</v>
      </c>
    </row>
    <row r="57" spans="2:6" x14ac:dyDescent="0.2">
      <c r="B57" t="s">
        <v>1688</v>
      </c>
      <c r="E57" t="s">
        <v>243</v>
      </c>
      <c r="F57" t="s">
        <v>243</v>
      </c>
    </row>
    <row r="58" spans="2:6" x14ac:dyDescent="0.2">
      <c r="B58" t="s">
        <v>1633</v>
      </c>
      <c r="C58">
        <v>286</v>
      </c>
      <c r="D58" t="s">
        <v>248</v>
      </c>
    </row>
    <row r="59" spans="2:6" x14ac:dyDescent="0.2">
      <c r="B59" t="s">
        <v>1682</v>
      </c>
      <c r="C59">
        <v>288</v>
      </c>
      <c r="D59" t="s">
        <v>248</v>
      </c>
    </row>
    <row r="60" spans="2:6" x14ac:dyDescent="0.2">
      <c r="B60" t="s">
        <v>1635</v>
      </c>
      <c r="C60">
        <v>290</v>
      </c>
      <c r="D60" t="s">
        <v>248</v>
      </c>
    </row>
    <row r="61" spans="2:6" x14ac:dyDescent="0.2">
      <c r="B61" t="s">
        <v>340</v>
      </c>
      <c r="C61">
        <v>292</v>
      </c>
      <c r="D61" t="s">
        <v>248</v>
      </c>
      <c r="E61">
        <f>SUM(E58:E60)</f>
        <v>0</v>
      </c>
      <c r="F61">
        <f>SUM(F58:F60)</f>
        <v>0</v>
      </c>
    </row>
    <row r="65" spans="2:84" x14ac:dyDescent="0.2">
      <c r="E65" t="s">
        <v>235</v>
      </c>
    </row>
    <row r="66" spans="2:84" x14ac:dyDescent="0.2">
      <c r="C66" t="s">
        <v>238</v>
      </c>
      <c r="D66" t="s">
        <v>25</v>
      </c>
      <c r="E66" t="s">
        <v>340</v>
      </c>
    </row>
    <row r="67" spans="2:84" x14ac:dyDescent="0.2">
      <c r="B67" t="s">
        <v>181</v>
      </c>
      <c r="C67" t="s">
        <v>242</v>
      </c>
      <c r="E67" t="s">
        <v>891</v>
      </c>
    </row>
    <row r="68" spans="2:84" x14ac:dyDescent="0.2">
      <c r="B68" t="s">
        <v>3018</v>
      </c>
      <c r="C68">
        <v>294</v>
      </c>
      <c r="D68" t="s">
        <v>248</v>
      </c>
    </row>
    <row r="69" spans="2:84" x14ac:dyDescent="0.2">
      <c r="B69" t="s">
        <v>3019</v>
      </c>
      <c r="C69">
        <v>296</v>
      </c>
      <c r="D69" t="s">
        <v>248</v>
      </c>
    </row>
    <row r="72" spans="2:84" x14ac:dyDescent="0.2">
      <c r="C72" t="s">
        <v>238</v>
      </c>
      <c r="D72" t="s">
        <v>25</v>
      </c>
      <c r="E72" t="s">
        <v>235</v>
      </c>
      <c r="F72" t="s">
        <v>236</v>
      </c>
    </row>
    <row r="73" spans="2:84" x14ac:dyDescent="0.2">
      <c r="B73" t="s">
        <v>182</v>
      </c>
      <c r="C73" t="s">
        <v>242</v>
      </c>
      <c r="E73" t="s">
        <v>300</v>
      </c>
      <c r="F73" t="s">
        <v>240</v>
      </c>
    </row>
    <row r="74" spans="2:84" x14ac:dyDescent="0.2">
      <c r="E74" t="s">
        <v>243</v>
      </c>
      <c r="F74" t="s">
        <v>243</v>
      </c>
      <c r="CF74" t="s">
        <v>1677</v>
      </c>
    </row>
    <row r="75" spans="2:84" x14ac:dyDescent="0.2">
      <c r="B75" t="s">
        <v>1695</v>
      </c>
      <c r="C75">
        <v>300</v>
      </c>
      <c r="D75" t="s">
        <v>248</v>
      </c>
      <c r="CB75">
        <f>IF(E75&lt;0,1,0)</f>
        <v>0</v>
      </c>
      <c r="CF75">
        <f>IF(AND(E75&lt;&gt;0,E92=0),1,0)</f>
        <v>0</v>
      </c>
    </row>
    <row r="76" spans="2:84" x14ac:dyDescent="0.2">
      <c r="B76" t="s">
        <v>1696</v>
      </c>
      <c r="C76">
        <v>310</v>
      </c>
      <c r="D76" t="s">
        <v>248</v>
      </c>
      <c r="CB76">
        <f>IF(E76&lt;0,1,0)</f>
        <v>0</v>
      </c>
    </row>
    <row r="77" spans="2:84" x14ac:dyDescent="0.2">
      <c r="B77" t="s">
        <v>340</v>
      </c>
      <c r="C77">
        <v>320</v>
      </c>
      <c r="D77" t="s">
        <v>248</v>
      </c>
      <c r="E77">
        <f>SUM(E75:E76)</f>
        <v>0</v>
      </c>
    </row>
    <row r="78" spans="2:84" x14ac:dyDescent="0.2">
      <c r="B78" t="s">
        <v>1697</v>
      </c>
    </row>
    <row r="79" spans="2:84" x14ac:dyDescent="0.2">
      <c r="B79" t="s">
        <v>1698</v>
      </c>
    </row>
    <row r="80" spans="2:84" x14ac:dyDescent="0.2">
      <c r="B80" t="s">
        <v>1633</v>
      </c>
      <c r="C80">
        <v>330</v>
      </c>
      <c r="D80" t="s">
        <v>248</v>
      </c>
      <c r="CB80">
        <f>IF(E80&lt;0,1,0)</f>
        <v>0</v>
      </c>
    </row>
    <row r="81" spans="2:80" x14ac:dyDescent="0.2">
      <c r="B81" t="s">
        <v>1682</v>
      </c>
      <c r="C81">
        <v>340</v>
      </c>
      <c r="D81" t="s">
        <v>248</v>
      </c>
      <c r="CB81">
        <f>IF(E81&lt;0,1,0)</f>
        <v>0</v>
      </c>
    </row>
    <row r="82" spans="2:80" x14ac:dyDescent="0.2">
      <c r="B82" t="s">
        <v>1635</v>
      </c>
      <c r="C82">
        <v>350</v>
      </c>
      <c r="D82" t="s">
        <v>248</v>
      </c>
      <c r="CB82">
        <f>IF(E82&lt;0,1,0)</f>
        <v>0</v>
      </c>
    </row>
    <row r="83" spans="2:80" x14ac:dyDescent="0.2">
      <c r="B83" t="s">
        <v>340</v>
      </c>
      <c r="C83">
        <v>360</v>
      </c>
      <c r="D83" t="s">
        <v>248</v>
      </c>
      <c r="E83">
        <f>SUM(E80:E82)</f>
        <v>0</v>
      </c>
    </row>
    <row r="90" spans="2:80" x14ac:dyDescent="0.2">
      <c r="B90" t="s">
        <v>1699</v>
      </c>
    </row>
    <row r="91" spans="2:80" x14ac:dyDescent="0.2">
      <c r="B91" t="s">
        <v>1684</v>
      </c>
    </row>
    <row r="92" spans="2:80" x14ac:dyDescent="0.2">
      <c r="B92" t="s">
        <v>1700</v>
      </c>
      <c r="C92">
        <v>380</v>
      </c>
      <c r="D92" t="s">
        <v>248</v>
      </c>
      <c r="CB92">
        <f>IF(E92&lt;0,1,0)</f>
        <v>0</v>
      </c>
    </row>
    <row r="93" spans="2:80" x14ac:dyDescent="0.2">
      <c r="B93" t="s">
        <v>1701</v>
      </c>
      <c r="C93">
        <v>390</v>
      </c>
      <c r="D93" t="s">
        <v>248</v>
      </c>
      <c r="CB93">
        <f>IF(E93&lt;0,1,0)</f>
        <v>0</v>
      </c>
    </row>
    <row r="94" spans="2:80" x14ac:dyDescent="0.2">
      <c r="B94" t="s">
        <v>1702</v>
      </c>
      <c r="C94">
        <v>400</v>
      </c>
      <c r="D94" t="s">
        <v>248</v>
      </c>
      <c r="CB94">
        <f>IF(E94&lt;0,1,0)</f>
        <v>0</v>
      </c>
    </row>
    <row r="98" spans="2:85" x14ac:dyDescent="0.2">
      <c r="C98" t="s">
        <v>238</v>
      </c>
      <c r="D98" t="s">
        <v>25</v>
      </c>
      <c r="E98" t="s">
        <v>235</v>
      </c>
      <c r="F98" t="s">
        <v>236</v>
      </c>
    </row>
    <row r="99" spans="2:85" x14ac:dyDescent="0.2">
      <c r="B99" t="s">
        <v>183</v>
      </c>
      <c r="C99" t="s">
        <v>242</v>
      </c>
      <c r="E99" t="s">
        <v>300</v>
      </c>
      <c r="F99" t="s">
        <v>240</v>
      </c>
    </row>
    <row r="100" spans="2:85" x14ac:dyDescent="0.2">
      <c r="B100" t="s">
        <v>1698</v>
      </c>
      <c r="E100" t="s">
        <v>243</v>
      </c>
      <c r="F100" t="s">
        <v>243</v>
      </c>
    </row>
    <row r="101" spans="2:85" x14ac:dyDescent="0.2">
      <c r="B101" t="s">
        <v>1633</v>
      </c>
      <c r="C101">
        <v>410</v>
      </c>
      <c r="D101" t="s">
        <v>248</v>
      </c>
      <c r="CB101">
        <f>IF(E101&lt;0,1,0)</f>
        <v>0</v>
      </c>
    </row>
    <row r="102" spans="2:85" x14ac:dyDescent="0.2">
      <c r="B102" t="s">
        <v>1682</v>
      </c>
      <c r="C102">
        <v>420</v>
      </c>
      <c r="D102" t="s">
        <v>248</v>
      </c>
      <c r="CB102">
        <f>IF(E102&lt;0,1,0)</f>
        <v>0</v>
      </c>
    </row>
    <row r="103" spans="2:85" x14ac:dyDescent="0.2">
      <c r="B103" t="s">
        <v>1635</v>
      </c>
      <c r="C103">
        <v>430</v>
      </c>
      <c r="D103" t="s">
        <v>248</v>
      </c>
      <c r="CB103">
        <f>IF(E103&lt;0,1,0)</f>
        <v>0</v>
      </c>
    </row>
    <row r="104" spans="2:85" x14ac:dyDescent="0.2">
      <c r="B104" t="s">
        <v>1477</v>
      </c>
      <c r="C104">
        <v>440</v>
      </c>
      <c r="D104" t="s">
        <v>248</v>
      </c>
      <c r="E104">
        <f>SUM(E101:E103)</f>
        <v>0</v>
      </c>
    </row>
    <row r="105" spans="2:85" x14ac:dyDescent="0.2">
      <c r="B105" t="s">
        <v>1689</v>
      </c>
      <c r="C105">
        <v>450</v>
      </c>
      <c r="D105" t="s">
        <v>245</v>
      </c>
      <c r="CA105">
        <f>IF(E105&gt;0,1,0)</f>
        <v>0</v>
      </c>
      <c r="CG105" t="s">
        <v>1703</v>
      </c>
    </row>
    <row r="106" spans="2:85" x14ac:dyDescent="0.2">
      <c r="B106" t="s">
        <v>340</v>
      </c>
      <c r="C106">
        <v>460</v>
      </c>
      <c r="D106" t="s">
        <v>248</v>
      </c>
      <c r="E106">
        <f>SUM(E104:E105)</f>
        <v>0</v>
      </c>
      <c r="CG106">
        <f>IF(AND(E106&lt;&gt;0,E76=0),1,IF(AND(E106&lt;&gt;0,E83=0),1,0))</f>
        <v>0</v>
      </c>
    </row>
    <row r="110" spans="2:85" x14ac:dyDescent="0.2">
      <c r="C110" t="s">
        <v>238</v>
      </c>
      <c r="D110" t="s">
        <v>25</v>
      </c>
      <c r="E110" t="s">
        <v>235</v>
      </c>
      <c r="F110" t="s">
        <v>236</v>
      </c>
    </row>
    <row r="111" spans="2:85" x14ac:dyDescent="0.2">
      <c r="B111" t="s">
        <v>184</v>
      </c>
      <c r="C111" t="s">
        <v>242</v>
      </c>
      <c r="E111" t="s">
        <v>300</v>
      </c>
      <c r="F111" t="s">
        <v>240</v>
      </c>
    </row>
    <row r="112" spans="2:85" x14ac:dyDescent="0.2">
      <c r="B112" t="s">
        <v>1698</v>
      </c>
      <c r="E112" t="s">
        <v>243</v>
      </c>
      <c r="F112" t="s">
        <v>243</v>
      </c>
    </row>
    <row r="113" spans="2:6" x14ac:dyDescent="0.2">
      <c r="B113" t="s">
        <v>1633</v>
      </c>
      <c r="C113">
        <v>465</v>
      </c>
      <c r="D113" t="s">
        <v>248</v>
      </c>
    </row>
    <row r="114" spans="2:6" x14ac:dyDescent="0.2">
      <c r="B114" t="s">
        <v>1682</v>
      </c>
      <c r="C114">
        <v>470</v>
      </c>
      <c r="D114" t="s">
        <v>248</v>
      </c>
    </row>
    <row r="115" spans="2:6" x14ac:dyDescent="0.2">
      <c r="B115" t="s">
        <v>1635</v>
      </c>
      <c r="C115">
        <v>475</v>
      </c>
      <c r="D115" t="s">
        <v>248</v>
      </c>
    </row>
    <row r="116" spans="2:6" x14ac:dyDescent="0.2">
      <c r="B116" t="s">
        <v>340</v>
      </c>
      <c r="C116">
        <v>480</v>
      </c>
      <c r="D116" t="s">
        <v>248</v>
      </c>
      <c r="E116">
        <f>SUM(E113:E115)</f>
        <v>0</v>
      </c>
      <c r="F116">
        <f>SUM(F113:F115)</f>
        <v>0</v>
      </c>
    </row>
    <row r="119" spans="2:6" x14ac:dyDescent="0.2">
      <c r="E119" t="s">
        <v>235</v>
      </c>
    </row>
    <row r="120" spans="2:6" x14ac:dyDescent="0.2">
      <c r="C120" t="s">
        <v>238</v>
      </c>
      <c r="D120" t="s">
        <v>25</v>
      </c>
      <c r="E120" t="s">
        <v>340</v>
      </c>
    </row>
    <row r="121" spans="2:6" x14ac:dyDescent="0.2">
      <c r="B121" t="s">
        <v>185</v>
      </c>
      <c r="C121" t="s">
        <v>242</v>
      </c>
      <c r="E121" t="s">
        <v>891</v>
      </c>
    </row>
    <row r="122" spans="2:6" x14ac:dyDescent="0.2">
      <c r="B122" t="s">
        <v>3020</v>
      </c>
      <c r="C122">
        <v>485</v>
      </c>
      <c r="D122" t="s">
        <v>248</v>
      </c>
    </row>
    <row r="123" spans="2:6" x14ac:dyDescent="0.2">
      <c r="B123" t="s">
        <v>3021</v>
      </c>
      <c r="C123">
        <v>490</v>
      </c>
      <c r="D123" t="s">
        <v>248</v>
      </c>
    </row>
    <row r="127" spans="2:6" x14ac:dyDescent="0.2">
      <c r="C127" t="s">
        <v>238</v>
      </c>
      <c r="D127" t="s">
        <v>25</v>
      </c>
      <c r="E127" t="s">
        <v>235</v>
      </c>
      <c r="F127" t="s">
        <v>236</v>
      </c>
    </row>
    <row r="128" spans="2:6" x14ac:dyDescent="0.2">
      <c r="B128" t="s">
        <v>186</v>
      </c>
      <c r="C128" t="s">
        <v>242</v>
      </c>
      <c r="E128" t="s">
        <v>300</v>
      </c>
      <c r="F128" t="s">
        <v>240</v>
      </c>
    </row>
    <row r="129" spans="2:55" x14ac:dyDescent="0.2">
      <c r="B129" t="s">
        <v>1698</v>
      </c>
      <c r="E129" t="s">
        <v>243</v>
      </c>
      <c r="F129" t="s">
        <v>243</v>
      </c>
    </row>
    <row r="130" spans="2:55" x14ac:dyDescent="0.2">
      <c r="B130" t="s">
        <v>1633</v>
      </c>
      <c r="C130">
        <v>495</v>
      </c>
      <c r="D130" t="s">
        <v>248</v>
      </c>
    </row>
    <row r="131" spans="2:55" x14ac:dyDescent="0.2">
      <c r="B131" t="s">
        <v>1682</v>
      </c>
      <c r="C131">
        <v>500</v>
      </c>
      <c r="D131" t="s">
        <v>248</v>
      </c>
    </row>
    <row r="132" spans="2:55" x14ac:dyDescent="0.2">
      <c r="B132" t="s">
        <v>1635</v>
      </c>
      <c r="C132">
        <v>502</v>
      </c>
      <c r="D132" t="s">
        <v>248</v>
      </c>
    </row>
    <row r="133" spans="2:55" x14ac:dyDescent="0.2">
      <c r="B133" t="s">
        <v>340</v>
      </c>
      <c r="C133">
        <v>504</v>
      </c>
      <c r="D133" t="s">
        <v>248</v>
      </c>
      <c r="E133">
        <f>SUM(E130:E132)</f>
        <v>0</v>
      </c>
      <c r="F133">
        <f>SUM(F130:F132)</f>
        <v>0</v>
      </c>
    </row>
    <row r="136" spans="2:55" x14ac:dyDescent="0.2">
      <c r="E136" t="s">
        <v>235</v>
      </c>
    </row>
    <row r="137" spans="2:55" x14ac:dyDescent="0.2">
      <c r="C137" t="s">
        <v>238</v>
      </c>
      <c r="D137" t="s">
        <v>25</v>
      </c>
      <c r="E137" t="s">
        <v>340</v>
      </c>
    </row>
    <row r="138" spans="2:55" x14ac:dyDescent="0.2">
      <c r="B138" t="s">
        <v>187</v>
      </c>
      <c r="C138" t="s">
        <v>242</v>
      </c>
      <c r="E138" t="s">
        <v>891</v>
      </c>
    </row>
    <row r="139" spans="2:55" x14ac:dyDescent="0.2">
      <c r="B139" t="s">
        <v>3020</v>
      </c>
      <c r="C139">
        <v>506</v>
      </c>
      <c r="D139" t="s">
        <v>248</v>
      </c>
    </row>
    <row r="140" spans="2:55" x14ac:dyDescent="0.2">
      <c r="B140" t="s">
        <v>3021</v>
      </c>
      <c r="C140">
        <v>508</v>
      </c>
      <c r="D140" t="s">
        <v>248</v>
      </c>
    </row>
    <row r="144" spans="2:55" x14ac:dyDescent="0.2">
      <c r="B144" t="s">
        <v>3022</v>
      </c>
      <c r="C144" t="s">
        <v>238</v>
      </c>
      <c r="D144" t="s">
        <v>25</v>
      </c>
      <c r="E144" t="s">
        <v>235</v>
      </c>
      <c r="F144" t="s">
        <v>236</v>
      </c>
      <c r="BC144" t="s">
        <v>237</v>
      </c>
    </row>
    <row r="145" spans="2:80" x14ac:dyDescent="0.2">
      <c r="C145" t="s">
        <v>242</v>
      </c>
      <c r="E145" t="s">
        <v>300</v>
      </c>
      <c r="F145" t="s">
        <v>240</v>
      </c>
      <c r="BC145" t="s">
        <v>307</v>
      </c>
    </row>
    <row r="146" spans="2:80" x14ac:dyDescent="0.2">
      <c r="B146" t="s">
        <v>1710</v>
      </c>
      <c r="E146" t="s">
        <v>243</v>
      </c>
      <c r="F146" t="s">
        <v>243</v>
      </c>
      <c r="BC146" t="s">
        <v>243</v>
      </c>
    </row>
    <row r="147" spans="2:80" x14ac:dyDescent="0.2">
      <c r="B147" t="s">
        <v>2342</v>
      </c>
    </row>
    <row r="148" spans="2:80" x14ac:dyDescent="0.2">
      <c r="B148" t="s">
        <v>1712</v>
      </c>
      <c r="C148">
        <v>510</v>
      </c>
      <c r="D148" t="s">
        <v>248</v>
      </c>
      <c r="BC148">
        <f t="shared" ref="BC148:BC154" si="0">E148</f>
        <v>0</v>
      </c>
      <c r="CB148">
        <f>IF(OR(E148&lt;0,BC148&lt;0),1,0)</f>
        <v>0</v>
      </c>
    </row>
    <row r="149" spans="2:80" x14ac:dyDescent="0.2">
      <c r="B149" t="s">
        <v>1713</v>
      </c>
      <c r="C149">
        <v>520</v>
      </c>
      <c r="D149" t="s">
        <v>248</v>
      </c>
      <c r="BC149">
        <f t="shared" si="0"/>
        <v>0</v>
      </c>
      <c r="CB149">
        <f>IF(OR(E149&lt;0,BC149&lt;0),1,0)</f>
        <v>0</v>
      </c>
    </row>
    <row r="150" spans="2:80" x14ac:dyDescent="0.2">
      <c r="B150" t="s">
        <v>1714</v>
      </c>
      <c r="C150">
        <v>530</v>
      </c>
      <c r="D150" t="s">
        <v>251</v>
      </c>
      <c r="BC150">
        <f t="shared" si="0"/>
        <v>0</v>
      </c>
    </row>
    <row r="151" spans="2:80" x14ac:dyDescent="0.2">
      <c r="B151" t="s">
        <v>1715</v>
      </c>
      <c r="C151">
        <v>540</v>
      </c>
      <c r="D151" t="s">
        <v>251</v>
      </c>
      <c r="BC151">
        <f t="shared" si="0"/>
        <v>0</v>
      </c>
    </row>
    <row r="152" spans="2:80" x14ac:dyDescent="0.2">
      <c r="B152" t="s">
        <v>1716</v>
      </c>
      <c r="C152">
        <v>550</v>
      </c>
      <c r="D152" t="s">
        <v>248</v>
      </c>
      <c r="BC152">
        <f t="shared" si="0"/>
        <v>0</v>
      </c>
      <c r="CB152">
        <f>IF(OR(E152&lt;0,BC152&lt;0),1,0)</f>
        <v>0</v>
      </c>
    </row>
    <row r="153" spans="2:80" x14ac:dyDescent="0.2">
      <c r="B153" t="s">
        <v>1717</v>
      </c>
      <c r="C153">
        <v>560</v>
      </c>
      <c r="D153" t="s">
        <v>245</v>
      </c>
      <c r="BC153">
        <f t="shared" si="0"/>
        <v>0</v>
      </c>
      <c r="CA153">
        <f>IF(OR(E153&gt;0,BC153&gt;0),1,0)</f>
        <v>0</v>
      </c>
    </row>
    <row r="154" spans="2:80" x14ac:dyDescent="0.2">
      <c r="B154" t="s">
        <v>1718</v>
      </c>
      <c r="C154">
        <v>570</v>
      </c>
      <c r="D154" t="s">
        <v>251</v>
      </c>
      <c r="BC154">
        <f t="shared" si="0"/>
        <v>0</v>
      </c>
    </row>
    <row r="155" spans="2:80" x14ac:dyDescent="0.2">
      <c r="B155" t="s">
        <v>1719</v>
      </c>
      <c r="C155">
        <v>580</v>
      </c>
      <c r="D155" t="s">
        <v>248</v>
      </c>
      <c r="E155">
        <f>SUM(E148:E154)</f>
        <v>0</v>
      </c>
      <c r="BC155">
        <f>SUM(BC148:BC154)</f>
        <v>0</v>
      </c>
    </row>
    <row r="156" spans="2:80" x14ac:dyDescent="0.2">
      <c r="B156" t="s">
        <v>380</v>
      </c>
      <c r="C156">
        <v>590</v>
      </c>
      <c r="D156" t="s">
        <v>251</v>
      </c>
      <c r="BC156">
        <f>E156</f>
        <v>0</v>
      </c>
    </row>
    <row r="157" spans="2:80" x14ac:dyDescent="0.2">
      <c r="B157" t="s">
        <v>1720</v>
      </c>
      <c r="C157">
        <v>600</v>
      </c>
      <c r="D157" t="s">
        <v>251</v>
      </c>
      <c r="E157">
        <f>SUM(E155:E156)</f>
        <v>0</v>
      </c>
      <c r="BC157">
        <f>SUM(BC155:BC156)</f>
        <v>0</v>
      </c>
    </row>
    <row r="158" spans="2:80" x14ac:dyDescent="0.2">
      <c r="B158" t="s">
        <v>1721</v>
      </c>
    </row>
    <row r="159" spans="2:80" x14ac:dyDescent="0.2">
      <c r="B159" t="s">
        <v>3023</v>
      </c>
      <c r="C159">
        <v>620</v>
      </c>
      <c r="D159" t="s">
        <v>248</v>
      </c>
      <c r="BC159">
        <f>E159</f>
        <v>0</v>
      </c>
      <c r="CB159">
        <f>IF(OR(E159&lt;0,BC159&lt;0),1,0)</f>
        <v>0</v>
      </c>
    </row>
    <row r="160" spans="2:80" x14ac:dyDescent="0.2">
      <c r="B160" t="s">
        <v>1723</v>
      </c>
      <c r="C160">
        <v>630</v>
      </c>
      <c r="D160" t="s">
        <v>251</v>
      </c>
    </row>
    <row r="161" spans="2:80" x14ac:dyDescent="0.2">
      <c r="B161" t="s">
        <v>1724</v>
      </c>
      <c r="C161">
        <v>640</v>
      </c>
      <c r="D161" t="s">
        <v>248</v>
      </c>
    </row>
    <row r="162" spans="2:80" x14ac:dyDescent="0.2">
      <c r="B162" t="s">
        <v>3024</v>
      </c>
      <c r="C162">
        <v>650</v>
      </c>
      <c r="D162" t="s">
        <v>248</v>
      </c>
      <c r="BC162">
        <f>E162</f>
        <v>0</v>
      </c>
      <c r="CB162">
        <f>IF(OR(E162&lt;0,BC162&lt;0),1,0)</f>
        <v>0</v>
      </c>
    </row>
    <row r="164" spans="2:80" x14ac:dyDescent="0.2">
      <c r="B164" t="s">
        <v>1726</v>
      </c>
    </row>
    <row r="165" spans="2:80" x14ac:dyDescent="0.2">
      <c r="B165" t="s">
        <v>1727</v>
      </c>
      <c r="C165">
        <v>660</v>
      </c>
      <c r="D165" t="s">
        <v>248</v>
      </c>
    </row>
    <row r="166" spans="2:80" x14ac:dyDescent="0.2">
      <c r="B166" t="s">
        <v>1728</v>
      </c>
      <c r="C166">
        <v>670</v>
      </c>
      <c r="D166" t="s">
        <v>248</v>
      </c>
    </row>
    <row r="167" spans="2:80" x14ac:dyDescent="0.2">
      <c r="B167" t="s">
        <v>1714</v>
      </c>
      <c r="C167">
        <v>680</v>
      </c>
      <c r="D167" t="s">
        <v>251</v>
      </c>
    </row>
    <row r="168" spans="2:80" x14ac:dyDescent="0.2">
      <c r="B168" t="s">
        <v>1715</v>
      </c>
      <c r="C168">
        <v>690</v>
      </c>
      <c r="D168" t="s">
        <v>251</v>
      </c>
    </row>
    <row r="169" spans="2:80" x14ac:dyDescent="0.2">
      <c r="B169" t="s">
        <v>1729</v>
      </c>
      <c r="C169">
        <v>700</v>
      </c>
      <c r="D169" t="s">
        <v>248</v>
      </c>
    </row>
    <row r="170" spans="2:80" x14ac:dyDescent="0.2">
      <c r="B170" t="s">
        <v>1718</v>
      </c>
      <c r="C170">
        <v>710</v>
      </c>
      <c r="D170" t="s">
        <v>248</v>
      </c>
    </row>
    <row r="171" spans="2:80" x14ac:dyDescent="0.2">
      <c r="B171" t="s">
        <v>1730</v>
      </c>
      <c r="C171">
        <v>720</v>
      </c>
      <c r="D171" t="s">
        <v>248</v>
      </c>
    </row>
    <row r="172" spans="2:80" x14ac:dyDescent="0.2">
      <c r="B172" t="s">
        <v>1731</v>
      </c>
      <c r="C172">
        <v>730</v>
      </c>
      <c r="D172" t="s">
        <v>245</v>
      </c>
    </row>
    <row r="173" spans="2:80" x14ac:dyDescent="0.2">
      <c r="B173" t="s">
        <v>1732</v>
      </c>
      <c r="C173">
        <v>740</v>
      </c>
      <c r="D173" t="s">
        <v>251</v>
      </c>
    </row>
    <row r="175" spans="2:80" x14ac:dyDescent="0.2">
      <c r="B175" t="s">
        <v>1733</v>
      </c>
    </row>
    <row r="176" spans="2:80" x14ac:dyDescent="0.2">
      <c r="B176" t="s">
        <v>1734</v>
      </c>
      <c r="C176">
        <v>750</v>
      </c>
      <c r="D176" t="s">
        <v>248</v>
      </c>
    </row>
    <row r="177" spans="2:5" x14ac:dyDescent="0.2">
      <c r="B177" t="s">
        <v>1735</v>
      </c>
      <c r="C177">
        <v>760</v>
      </c>
      <c r="D177" t="s">
        <v>248</v>
      </c>
    </row>
    <row r="178" spans="2:5" x14ac:dyDescent="0.2">
      <c r="B178" t="s">
        <v>1736</v>
      </c>
      <c r="C178">
        <v>770</v>
      </c>
      <c r="D178" t="s">
        <v>248</v>
      </c>
    </row>
    <row r="179" spans="2:5" x14ac:dyDescent="0.2">
      <c r="B179" t="s">
        <v>1737</v>
      </c>
      <c r="C179">
        <v>780</v>
      </c>
      <c r="D179" t="s">
        <v>248</v>
      </c>
    </row>
    <row r="182" spans="2:5" x14ac:dyDescent="0.2">
      <c r="C182" t="s">
        <v>238</v>
      </c>
      <c r="D182" t="s">
        <v>25</v>
      </c>
      <c r="E182" t="s">
        <v>235</v>
      </c>
    </row>
    <row r="183" spans="2:5" x14ac:dyDescent="0.2">
      <c r="B183" t="s">
        <v>189</v>
      </c>
      <c r="C183" t="s">
        <v>242</v>
      </c>
      <c r="E183" t="s">
        <v>300</v>
      </c>
    </row>
    <row r="184" spans="2:5" x14ac:dyDescent="0.2">
      <c r="E184" t="s">
        <v>243</v>
      </c>
    </row>
    <row r="185" spans="2:5" x14ac:dyDescent="0.2">
      <c r="B185" t="s">
        <v>3025</v>
      </c>
    </row>
    <row r="186" spans="2:5" x14ac:dyDescent="0.2">
      <c r="B186" t="s">
        <v>1740</v>
      </c>
    </row>
    <row r="187" spans="2:5" x14ac:dyDescent="0.2">
      <c r="B187" t="s">
        <v>1633</v>
      </c>
      <c r="C187">
        <v>800</v>
      </c>
      <c r="D187" t="s">
        <v>248</v>
      </c>
    </row>
    <row r="188" spans="2:5" x14ac:dyDescent="0.2">
      <c r="B188" t="s">
        <v>1682</v>
      </c>
      <c r="C188">
        <v>810</v>
      </c>
      <c r="D188" t="s">
        <v>248</v>
      </c>
    </row>
    <row r="189" spans="2:5" x14ac:dyDescent="0.2">
      <c r="B189" t="s">
        <v>1635</v>
      </c>
      <c r="C189">
        <v>820</v>
      </c>
      <c r="D189" t="s">
        <v>248</v>
      </c>
    </row>
    <row r="190" spans="2:5" x14ac:dyDescent="0.2">
      <c r="B190" t="s">
        <v>340</v>
      </c>
      <c r="C190">
        <v>830</v>
      </c>
      <c r="D190" t="s">
        <v>248</v>
      </c>
      <c r="E190">
        <f>SUM(E187:E189)</f>
        <v>0</v>
      </c>
    </row>
    <row r="191" spans="2:5" x14ac:dyDescent="0.2">
      <c r="B191" t="s">
        <v>3026</v>
      </c>
    </row>
    <row r="192" spans="2:5" x14ac:dyDescent="0.2">
      <c r="B192" t="s">
        <v>1742</v>
      </c>
    </row>
    <row r="193" spans="2:5" x14ac:dyDescent="0.2">
      <c r="B193" t="s">
        <v>1633</v>
      </c>
      <c r="C193">
        <v>840</v>
      </c>
      <c r="D193" t="s">
        <v>248</v>
      </c>
    </row>
    <row r="194" spans="2:5" x14ac:dyDescent="0.2">
      <c r="B194" t="s">
        <v>1682</v>
      </c>
      <c r="C194">
        <v>850</v>
      </c>
      <c r="D194" t="s">
        <v>248</v>
      </c>
    </row>
    <row r="195" spans="2:5" x14ac:dyDescent="0.2">
      <c r="B195" t="s">
        <v>1635</v>
      </c>
      <c r="C195">
        <v>860</v>
      </c>
      <c r="D195" t="s">
        <v>248</v>
      </c>
    </row>
    <row r="196" spans="2:5" x14ac:dyDescent="0.2">
      <c r="B196" t="s">
        <v>340</v>
      </c>
      <c r="C196">
        <v>870</v>
      </c>
      <c r="D196" t="s">
        <v>248</v>
      </c>
      <c r="E196">
        <f>SUM(E193:E195)</f>
        <v>0</v>
      </c>
    </row>
    <row r="200" spans="2:5" x14ac:dyDescent="0.2">
      <c r="C200" t="s">
        <v>238</v>
      </c>
      <c r="D200" t="s">
        <v>25</v>
      </c>
      <c r="E200" t="s">
        <v>235</v>
      </c>
    </row>
    <row r="201" spans="2:5" x14ac:dyDescent="0.2">
      <c r="B201" t="s">
        <v>190</v>
      </c>
      <c r="C201" t="s">
        <v>242</v>
      </c>
      <c r="E201" t="s">
        <v>300</v>
      </c>
    </row>
    <row r="202" spans="2:5" x14ac:dyDescent="0.2">
      <c r="E202" t="s">
        <v>243</v>
      </c>
    </row>
    <row r="203" spans="2:5" x14ac:dyDescent="0.2">
      <c r="B203" t="s">
        <v>3025</v>
      </c>
    </row>
    <row r="204" spans="2:5" x14ac:dyDescent="0.2">
      <c r="B204" t="s">
        <v>1744</v>
      </c>
    </row>
    <row r="205" spans="2:5" x14ac:dyDescent="0.2">
      <c r="B205" t="s">
        <v>1633</v>
      </c>
      <c r="C205">
        <v>880</v>
      </c>
      <c r="D205" t="s">
        <v>248</v>
      </c>
    </row>
    <row r="206" spans="2:5" x14ac:dyDescent="0.2">
      <c r="B206" t="s">
        <v>1682</v>
      </c>
      <c r="C206">
        <v>890</v>
      </c>
      <c r="D206" t="s">
        <v>248</v>
      </c>
    </row>
    <row r="207" spans="2:5" x14ac:dyDescent="0.2">
      <c r="B207" t="s">
        <v>1635</v>
      </c>
      <c r="C207">
        <v>900</v>
      </c>
      <c r="D207" t="s">
        <v>248</v>
      </c>
    </row>
    <row r="208" spans="2:5" x14ac:dyDescent="0.2">
      <c r="B208" t="s">
        <v>340</v>
      </c>
      <c r="C208">
        <v>910</v>
      </c>
      <c r="D208" t="s">
        <v>248</v>
      </c>
      <c r="E208">
        <f>SUM(E205:E207)</f>
        <v>0</v>
      </c>
    </row>
    <row r="209" spans="2:5" x14ac:dyDescent="0.2">
      <c r="B209" t="s">
        <v>3026</v>
      </c>
    </row>
    <row r="210" spans="2:5" x14ac:dyDescent="0.2">
      <c r="B210" t="s">
        <v>1745</v>
      </c>
    </row>
    <row r="211" spans="2:5" x14ac:dyDescent="0.2">
      <c r="B211" t="s">
        <v>1633</v>
      </c>
      <c r="C211">
        <v>920</v>
      </c>
      <c r="D211" t="s">
        <v>248</v>
      </c>
    </row>
    <row r="212" spans="2:5" x14ac:dyDescent="0.2">
      <c r="B212" t="s">
        <v>1682</v>
      </c>
      <c r="C212">
        <v>930</v>
      </c>
      <c r="D212" t="s">
        <v>248</v>
      </c>
    </row>
    <row r="213" spans="2:5" x14ac:dyDescent="0.2">
      <c r="B213" t="s">
        <v>1635</v>
      </c>
      <c r="C213">
        <v>940</v>
      </c>
      <c r="D213" t="s">
        <v>248</v>
      </c>
    </row>
    <row r="214" spans="2:5" x14ac:dyDescent="0.2">
      <c r="B214" t="s">
        <v>340</v>
      </c>
      <c r="C214">
        <v>950</v>
      </c>
      <c r="D214" t="s">
        <v>248</v>
      </c>
      <c r="E214">
        <f>SUM(E211:E213)</f>
        <v>0</v>
      </c>
    </row>
  </sheetData>
  <sheetProtection sheet="1" objects="1" scenarios="1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CB76"/>
  <sheetViews>
    <sheetView zoomScale="70" zoomScaleNormal="70" workbookViewId="0"/>
  </sheetViews>
  <sheetFormatPr defaultRowHeight="12.75" x14ac:dyDescent="0.2"/>
  <sheetData>
    <row r="1" spans="1:80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0" x14ac:dyDescent="0.2">
      <c r="A2" t="s">
        <v>3727</v>
      </c>
    </row>
    <row r="3" spans="1:80" x14ac:dyDescent="0.2">
      <c r="A3" t="s">
        <v>3780</v>
      </c>
    </row>
    <row r="4" spans="1:80" x14ac:dyDescent="0.2">
      <c r="B4" t="s">
        <v>1749</v>
      </c>
    </row>
    <row r="5" spans="1:80" x14ac:dyDescent="0.2">
      <c r="B5" t="s">
        <v>66</v>
      </c>
      <c r="CA5" t="s">
        <v>230</v>
      </c>
      <c r="CB5">
        <f>0</f>
        <v>0</v>
      </c>
    </row>
    <row r="6" spans="1:80" x14ac:dyDescent="0.2">
      <c r="CA6" t="s">
        <v>231</v>
      </c>
      <c r="CB6" t="s">
        <v>232</v>
      </c>
    </row>
    <row r="7" spans="1:80" x14ac:dyDescent="0.2">
      <c r="D7" t="s">
        <v>25</v>
      </c>
      <c r="E7" t="s">
        <v>235</v>
      </c>
      <c r="F7" t="s">
        <v>236</v>
      </c>
      <c r="G7" t="s">
        <v>293</v>
      </c>
      <c r="H7" t="s">
        <v>294</v>
      </c>
      <c r="CA7">
        <f>SUM(CA10:CA76)</f>
        <v>0</v>
      </c>
      <c r="CB7">
        <f>SUM(CB10:CB76)</f>
        <v>0</v>
      </c>
    </row>
    <row r="8" spans="1:80" x14ac:dyDescent="0.2">
      <c r="B8" t="s">
        <v>192</v>
      </c>
      <c r="C8" t="s">
        <v>238</v>
      </c>
      <c r="E8" t="s">
        <v>1750</v>
      </c>
      <c r="F8" t="s">
        <v>1751</v>
      </c>
      <c r="G8" t="s">
        <v>1752</v>
      </c>
      <c r="H8" t="s">
        <v>358</v>
      </c>
    </row>
    <row r="9" spans="1:80" x14ac:dyDescent="0.2">
      <c r="C9" t="s">
        <v>242</v>
      </c>
      <c r="E9" t="s">
        <v>243</v>
      </c>
      <c r="F9" t="s">
        <v>243</v>
      </c>
      <c r="G9" t="s">
        <v>243</v>
      </c>
    </row>
    <row r="10" spans="1:80" x14ac:dyDescent="0.2">
      <c r="B10" t="s">
        <v>1753</v>
      </c>
    </row>
    <row r="11" spans="1:80" x14ac:dyDescent="0.2">
      <c r="B11" t="s">
        <v>1754</v>
      </c>
      <c r="C11">
        <v>100</v>
      </c>
      <c r="D11" t="s">
        <v>248</v>
      </c>
      <c r="H11">
        <f t="shared" ref="H11:H16" si="0">SUM(E11:G11)</f>
        <v>0</v>
      </c>
    </row>
    <row r="12" spans="1:80" x14ac:dyDescent="0.2">
      <c r="B12" t="s">
        <v>1755</v>
      </c>
      <c r="C12">
        <v>110</v>
      </c>
      <c r="D12" t="s">
        <v>248</v>
      </c>
      <c r="H12">
        <f t="shared" si="0"/>
        <v>0</v>
      </c>
    </row>
    <row r="13" spans="1:80" x14ac:dyDescent="0.2">
      <c r="B13" t="s">
        <v>1756</v>
      </c>
      <c r="C13">
        <v>120</v>
      </c>
      <c r="D13" t="s">
        <v>248</v>
      </c>
      <c r="H13">
        <f t="shared" si="0"/>
        <v>0</v>
      </c>
    </row>
    <row r="14" spans="1:80" x14ac:dyDescent="0.2">
      <c r="B14" t="s">
        <v>1757</v>
      </c>
      <c r="C14">
        <v>130</v>
      </c>
      <c r="D14" t="s">
        <v>248</v>
      </c>
      <c r="H14">
        <f t="shared" si="0"/>
        <v>0</v>
      </c>
    </row>
    <row r="15" spans="1:80" x14ac:dyDescent="0.2">
      <c r="B15" t="s">
        <v>312</v>
      </c>
      <c r="C15">
        <v>140</v>
      </c>
      <c r="D15" t="s">
        <v>248</v>
      </c>
      <c r="H15">
        <f t="shared" si="0"/>
        <v>0</v>
      </c>
    </row>
    <row r="16" spans="1:80" x14ac:dyDescent="0.2">
      <c r="B16" t="s">
        <v>1092</v>
      </c>
      <c r="C16">
        <v>150</v>
      </c>
      <c r="D16" t="s">
        <v>248</v>
      </c>
      <c r="E16">
        <f>SUM(E11:E15)</f>
        <v>0</v>
      </c>
      <c r="F16">
        <f>SUM(F11:F15)</f>
        <v>0</v>
      </c>
      <c r="G16">
        <f>SUM(G11:G15)</f>
        <v>0</v>
      </c>
      <c r="H16">
        <f t="shared" si="0"/>
        <v>0</v>
      </c>
    </row>
    <row r="17" spans="2:7" x14ac:dyDescent="0.2">
      <c r="B17" t="s">
        <v>240</v>
      </c>
    </row>
    <row r="18" spans="2:7" x14ac:dyDescent="0.2">
      <c r="B18" t="s">
        <v>1754</v>
      </c>
      <c r="C18">
        <v>160</v>
      </c>
      <c r="D18" t="s">
        <v>248</v>
      </c>
    </row>
    <row r="19" spans="2:7" x14ac:dyDescent="0.2">
      <c r="B19" t="s">
        <v>1755</v>
      </c>
      <c r="C19">
        <v>170</v>
      </c>
      <c r="D19" t="s">
        <v>248</v>
      </c>
    </row>
    <row r="20" spans="2:7" x14ac:dyDescent="0.2">
      <c r="B20" t="s">
        <v>1758</v>
      </c>
      <c r="C20">
        <v>180</v>
      </c>
      <c r="D20" t="s">
        <v>248</v>
      </c>
    </row>
    <row r="21" spans="2:7" x14ac:dyDescent="0.2">
      <c r="B21" t="s">
        <v>1757</v>
      </c>
      <c r="C21">
        <v>190</v>
      </c>
      <c r="D21" t="s">
        <v>248</v>
      </c>
    </row>
    <row r="22" spans="2:7" x14ac:dyDescent="0.2">
      <c r="B22" t="s">
        <v>312</v>
      </c>
      <c r="C22">
        <v>200</v>
      </c>
      <c r="D22" t="s">
        <v>248</v>
      </c>
    </row>
    <row r="23" spans="2:7" x14ac:dyDescent="0.2">
      <c r="B23" t="s">
        <v>1263</v>
      </c>
      <c r="C23">
        <v>210</v>
      </c>
      <c r="D23" t="s">
        <v>248</v>
      </c>
    </row>
    <row r="27" spans="2:7" x14ac:dyDescent="0.2">
      <c r="D27" t="s">
        <v>25</v>
      </c>
      <c r="E27" t="s">
        <v>235</v>
      </c>
      <c r="F27" t="s">
        <v>236</v>
      </c>
      <c r="G27" t="s">
        <v>293</v>
      </c>
    </row>
    <row r="28" spans="2:7" x14ac:dyDescent="0.2">
      <c r="B28" t="s">
        <v>193</v>
      </c>
      <c r="C28" t="s">
        <v>238</v>
      </c>
      <c r="E28" t="s">
        <v>1750</v>
      </c>
      <c r="F28" t="s">
        <v>352</v>
      </c>
      <c r="G28" t="s">
        <v>358</v>
      </c>
    </row>
    <row r="29" spans="2:7" x14ac:dyDescent="0.2">
      <c r="C29" t="s">
        <v>242</v>
      </c>
      <c r="E29" t="s">
        <v>243</v>
      </c>
      <c r="F29" t="s">
        <v>243</v>
      </c>
    </row>
    <row r="30" spans="2:7" x14ac:dyDescent="0.2">
      <c r="B30" t="s">
        <v>1759</v>
      </c>
    </row>
    <row r="31" spans="2:7" x14ac:dyDescent="0.2">
      <c r="B31" t="s">
        <v>1754</v>
      </c>
      <c r="C31">
        <v>220</v>
      </c>
      <c r="D31" t="s">
        <v>248</v>
      </c>
      <c r="G31">
        <f t="shared" ref="G31:G37" si="1">SUM(E31:F31)</f>
        <v>0</v>
      </c>
    </row>
    <row r="32" spans="2:7" x14ac:dyDescent="0.2">
      <c r="B32" t="s">
        <v>913</v>
      </c>
      <c r="C32">
        <v>230</v>
      </c>
      <c r="D32" t="s">
        <v>248</v>
      </c>
      <c r="G32">
        <f t="shared" si="1"/>
        <v>0</v>
      </c>
    </row>
    <row r="33" spans="2:7" x14ac:dyDescent="0.2">
      <c r="B33" t="s">
        <v>1760</v>
      </c>
      <c r="C33">
        <v>240</v>
      </c>
      <c r="D33" t="s">
        <v>248</v>
      </c>
      <c r="G33">
        <f t="shared" si="1"/>
        <v>0</v>
      </c>
    </row>
    <row r="34" spans="2:7" x14ac:dyDescent="0.2">
      <c r="B34" t="s">
        <v>1761</v>
      </c>
      <c r="C34">
        <v>250</v>
      </c>
      <c r="D34" t="s">
        <v>248</v>
      </c>
      <c r="G34">
        <f t="shared" si="1"/>
        <v>0</v>
      </c>
    </row>
    <row r="35" spans="2:7" x14ac:dyDescent="0.2">
      <c r="B35" t="s">
        <v>1762</v>
      </c>
      <c r="C35">
        <v>260</v>
      </c>
      <c r="D35" t="s">
        <v>248</v>
      </c>
      <c r="G35">
        <f t="shared" si="1"/>
        <v>0</v>
      </c>
    </row>
    <row r="36" spans="2:7" x14ac:dyDescent="0.2">
      <c r="B36" t="s">
        <v>325</v>
      </c>
      <c r="C36">
        <v>270</v>
      </c>
      <c r="D36" t="s">
        <v>248</v>
      </c>
      <c r="G36">
        <f t="shared" si="1"/>
        <v>0</v>
      </c>
    </row>
    <row r="37" spans="2:7" x14ac:dyDescent="0.2">
      <c r="B37" t="s">
        <v>1092</v>
      </c>
      <c r="C37">
        <v>280</v>
      </c>
      <c r="D37" t="s">
        <v>248</v>
      </c>
      <c r="E37">
        <f>SUM(E31:E36)</f>
        <v>0</v>
      </c>
      <c r="F37">
        <f>SUM(F31:F36)</f>
        <v>0</v>
      </c>
      <c r="G37">
        <f t="shared" si="1"/>
        <v>0</v>
      </c>
    </row>
    <row r="38" spans="2:7" x14ac:dyDescent="0.2">
      <c r="B38" t="s">
        <v>240</v>
      </c>
    </row>
    <row r="39" spans="2:7" x14ac:dyDescent="0.2">
      <c r="B39" t="s">
        <v>1754</v>
      </c>
      <c r="C39">
        <v>290</v>
      </c>
      <c r="D39" t="s">
        <v>248</v>
      </c>
    </row>
    <row r="40" spans="2:7" x14ac:dyDescent="0.2">
      <c r="B40" t="s">
        <v>913</v>
      </c>
      <c r="C40">
        <v>300</v>
      </c>
      <c r="D40" t="s">
        <v>248</v>
      </c>
    </row>
    <row r="41" spans="2:7" x14ac:dyDescent="0.2">
      <c r="B41" t="s">
        <v>1760</v>
      </c>
      <c r="C41">
        <v>310</v>
      </c>
      <c r="D41" t="s">
        <v>248</v>
      </c>
    </row>
    <row r="42" spans="2:7" x14ac:dyDescent="0.2">
      <c r="B42" t="s">
        <v>1761</v>
      </c>
      <c r="C42">
        <v>320</v>
      </c>
      <c r="D42" t="s">
        <v>248</v>
      </c>
    </row>
    <row r="43" spans="2:7" x14ac:dyDescent="0.2">
      <c r="B43" t="s">
        <v>1762</v>
      </c>
      <c r="C43">
        <v>330</v>
      </c>
      <c r="D43" t="s">
        <v>248</v>
      </c>
    </row>
    <row r="44" spans="2:7" x14ac:dyDescent="0.2">
      <c r="B44" t="s">
        <v>325</v>
      </c>
      <c r="C44">
        <v>340</v>
      </c>
      <c r="D44" t="s">
        <v>248</v>
      </c>
    </row>
    <row r="45" spans="2:7" x14ac:dyDescent="0.2">
      <c r="B45" t="s">
        <v>1263</v>
      </c>
      <c r="C45">
        <v>350</v>
      </c>
      <c r="D45" t="s">
        <v>248</v>
      </c>
    </row>
    <row r="49" spans="2:79" x14ac:dyDescent="0.2">
      <c r="C49" t="s">
        <v>238</v>
      </c>
      <c r="D49" t="s">
        <v>25</v>
      </c>
      <c r="E49" t="s">
        <v>235</v>
      </c>
    </row>
    <row r="50" spans="2:79" x14ac:dyDescent="0.2">
      <c r="B50" t="s">
        <v>194</v>
      </c>
      <c r="C50" t="s">
        <v>242</v>
      </c>
    </row>
    <row r="51" spans="2:79" x14ac:dyDescent="0.2">
      <c r="B51" t="s">
        <v>1764</v>
      </c>
      <c r="C51">
        <v>400</v>
      </c>
      <c r="D51" t="s">
        <v>251</v>
      </c>
    </row>
    <row r="54" spans="2:79" x14ac:dyDescent="0.2">
      <c r="D54" t="s">
        <v>25</v>
      </c>
      <c r="E54" t="s">
        <v>235</v>
      </c>
      <c r="F54" t="s">
        <v>236</v>
      </c>
      <c r="G54" t="s">
        <v>293</v>
      </c>
    </row>
    <row r="55" spans="2:79" x14ac:dyDescent="0.2">
      <c r="B55" t="s">
        <v>195</v>
      </c>
      <c r="C55" t="s">
        <v>238</v>
      </c>
      <c r="E55" t="s">
        <v>1765</v>
      </c>
      <c r="F55" t="s">
        <v>1766</v>
      </c>
      <c r="G55" t="s">
        <v>340</v>
      </c>
    </row>
    <row r="56" spans="2:79" x14ac:dyDescent="0.2">
      <c r="C56" t="s">
        <v>242</v>
      </c>
      <c r="E56" t="s">
        <v>243</v>
      </c>
      <c r="F56" t="s">
        <v>243</v>
      </c>
      <c r="G56" t="s">
        <v>243</v>
      </c>
    </row>
    <row r="57" spans="2:79" x14ac:dyDescent="0.2">
      <c r="B57" t="s">
        <v>292</v>
      </c>
      <c r="C57">
        <v>450</v>
      </c>
      <c r="D57" t="s">
        <v>248</v>
      </c>
      <c r="G57">
        <f>E57+F57</f>
        <v>0</v>
      </c>
    </row>
    <row r="58" spans="2:79" x14ac:dyDescent="0.2">
      <c r="B58" t="s">
        <v>1237</v>
      </c>
      <c r="C58">
        <v>460</v>
      </c>
      <c r="D58" t="s">
        <v>245</v>
      </c>
      <c r="G58">
        <f>E58+F58</f>
        <v>0</v>
      </c>
      <c r="CA58">
        <f>IF(OR(E58&gt;0,F58&gt;0),1,0)</f>
        <v>0</v>
      </c>
    </row>
    <row r="59" spans="2:79" x14ac:dyDescent="0.2">
      <c r="B59" t="s">
        <v>1767</v>
      </c>
      <c r="C59">
        <v>470</v>
      </c>
      <c r="D59" t="s">
        <v>245</v>
      </c>
      <c r="G59">
        <f>E59+F59</f>
        <v>0</v>
      </c>
      <c r="CA59">
        <f>IF(OR(E59&gt;0,F59&gt;0),1,0)</f>
        <v>0</v>
      </c>
    </row>
    <row r="60" spans="2:79" x14ac:dyDescent="0.2">
      <c r="B60" t="s">
        <v>1768</v>
      </c>
      <c r="C60">
        <v>480</v>
      </c>
      <c r="D60" t="s">
        <v>251</v>
      </c>
      <c r="G60">
        <f>E60+F60</f>
        <v>0</v>
      </c>
    </row>
    <row r="61" spans="2:79" x14ac:dyDescent="0.2">
      <c r="B61" t="s">
        <v>1769</v>
      </c>
      <c r="C61">
        <v>490</v>
      </c>
      <c r="D61" t="s">
        <v>245</v>
      </c>
      <c r="G61">
        <f>E61+F61</f>
        <v>0</v>
      </c>
      <c r="CA61">
        <f>IF(OR(E61&gt;0,F61&gt;0),1,0)</f>
        <v>0</v>
      </c>
    </row>
    <row r="62" spans="2:79" x14ac:dyDescent="0.2">
      <c r="B62" t="s">
        <v>1092</v>
      </c>
      <c r="C62">
        <v>500</v>
      </c>
      <c r="D62" t="s">
        <v>251</v>
      </c>
      <c r="E62">
        <f>SUM(E57:E61)+E69</f>
        <v>0</v>
      </c>
      <c r="F62">
        <f>SUM(F57:F61)+F69</f>
        <v>0</v>
      </c>
      <c r="G62">
        <f>SUM(G57:G61)+G69</f>
        <v>0</v>
      </c>
    </row>
    <row r="63" spans="2:79" x14ac:dyDescent="0.2">
      <c r="B63" t="s">
        <v>1770</v>
      </c>
      <c r="C63">
        <v>510</v>
      </c>
      <c r="D63" t="s">
        <v>248</v>
      </c>
    </row>
    <row r="64" spans="2:79" x14ac:dyDescent="0.2">
      <c r="B64" t="s">
        <v>292</v>
      </c>
      <c r="C64">
        <v>520</v>
      </c>
      <c r="D64" t="s">
        <v>248</v>
      </c>
    </row>
    <row r="65" spans="2:13" x14ac:dyDescent="0.2">
      <c r="B65" t="s">
        <v>1237</v>
      </c>
      <c r="C65">
        <v>530</v>
      </c>
      <c r="D65" t="s">
        <v>245</v>
      </c>
    </row>
    <row r="66" spans="2:13" x14ac:dyDescent="0.2">
      <c r="B66" t="s">
        <v>1767</v>
      </c>
      <c r="C66">
        <v>540</v>
      </c>
      <c r="D66" t="s">
        <v>245</v>
      </c>
    </row>
    <row r="67" spans="2:13" x14ac:dyDescent="0.2">
      <c r="B67" t="s">
        <v>1768</v>
      </c>
      <c r="C67">
        <v>550</v>
      </c>
      <c r="D67" t="s">
        <v>251</v>
      </c>
    </row>
    <row r="68" spans="2:13" x14ac:dyDescent="0.2">
      <c r="B68" t="s">
        <v>1769</v>
      </c>
      <c r="C68">
        <v>560</v>
      </c>
      <c r="D68" t="s">
        <v>245</v>
      </c>
    </row>
    <row r="69" spans="2:13" x14ac:dyDescent="0.2">
      <c r="B69" t="s">
        <v>1771</v>
      </c>
      <c r="C69">
        <v>570</v>
      </c>
      <c r="D69" t="s">
        <v>248</v>
      </c>
    </row>
    <row r="72" spans="2:13" x14ac:dyDescent="0.2">
      <c r="E72" t="s">
        <v>1400</v>
      </c>
      <c r="I72" t="s">
        <v>1401</v>
      </c>
    </row>
    <row r="73" spans="2:13" x14ac:dyDescent="0.2">
      <c r="D73" t="s">
        <v>25</v>
      </c>
      <c r="E73" t="s">
        <v>235</v>
      </c>
      <c r="F73" t="s">
        <v>236</v>
      </c>
      <c r="G73" t="s">
        <v>293</v>
      </c>
      <c r="H73" t="s">
        <v>294</v>
      </c>
      <c r="I73" t="s">
        <v>295</v>
      </c>
      <c r="J73" t="s">
        <v>296</v>
      </c>
      <c r="K73" t="s">
        <v>342</v>
      </c>
      <c r="L73" t="s">
        <v>297</v>
      </c>
      <c r="M73" t="s">
        <v>298</v>
      </c>
    </row>
    <row r="74" spans="2:13" x14ac:dyDescent="0.2">
      <c r="B74" t="s">
        <v>1772</v>
      </c>
      <c r="C74" t="s">
        <v>238</v>
      </c>
      <c r="E74" t="s">
        <v>239</v>
      </c>
      <c r="F74" t="s">
        <v>1773</v>
      </c>
      <c r="G74" t="s">
        <v>1774</v>
      </c>
      <c r="H74" t="s">
        <v>302</v>
      </c>
      <c r="I74" t="s">
        <v>1775</v>
      </c>
      <c r="J74" t="s">
        <v>387</v>
      </c>
      <c r="K74" t="s">
        <v>1776</v>
      </c>
      <c r="L74" t="s">
        <v>3027</v>
      </c>
      <c r="M74" t="s">
        <v>421</v>
      </c>
    </row>
    <row r="75" spans="2:13" x14ac:dyDescent="0.2">
      <c r="C75" t="s">
        <v>242</v>
      </c>
      <c r="E75" t="s">
        <v>243</v>
      </c>
      <c r="F75" t="s">
        <v>243</v>
      </c>
      <c r="G75" t="s">
        <v>243</v>
      </c>
      <c r="H75" t="s">
        <v>243</v>
      </c>
      <c r="I75" t="s">
        <v>243</v>
      </c>
      <c r="J75" t="s">
        <v>243</v>
      </c>
      <c r="K75" t="s">
        <v>243</v>
      </c>
      <c r="L75" t="s">
        <v>243</v>
      </c>
      <c r="M75" t="s">
        <v>243</v>
      </c>
    </row>
    <row r="76" spans="2:13" x14ac:dyDescent="0.2">
      <c r="B76" t="s">
        <v>1778</v>
      </c>
      <c r="C76">
        <v>600</v>
      </c>
      <c r="D76" t="s">
        <v>248</v>
      </c>
    </row>
  </sheetData>
  <sheetProtection sheet="1" objects="1" scenarios="1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/>
  <dimension ref="A1:CC81"/>
  <sheetViews>
    <sheetView zoomScale="70" zoomScaleNormal="70" workbookViewId="0"/>
  </sheetViews>
  <sheetFormatPr defaultRowHeight="12.75" x14ac:dyDescent="0.2"/>
  <sheetData>
    <row r="1" spans="1:81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1" x14ac:dyDescent="0.2">
      <c r="A2" t="s">
        <v>3727</v>
      </c>
    </row>
    <row r="3" spans="1:81" x14ac:dyDescent="0.2">
      <c r="A3" t="s">
        <v>3781</v>
      </c>
    </row>
    <row r="4" spans="1:81" x14ac:dyDescent="0.2">
      <c r="B4" t="s">
        <v>1927</v>
      </c>
    </row>
    <row r="5" spans="1:81" x14ac:dyDescent="0.2">
      <c r="B5" t="s">
        <v>66</v>
      </c>
      <c r="CA5" t="s">
        <v>1928</v>
      </c>
      <c r="CB5">
        <f>0</f>
        <v>0</v>
      </c>
    </row>
    <row r="6" spans="1:81" x14ac:dyDescent="0.2">
      <c r="CA6" t="s">
        <v>231</v>
      </c>
      <c r="CB6" t="s">
        <v>232</v>
      </c>
      <c r="CC6" t="s">
        <v>1929</v>
      </c>
    </row>
    <row r="7" spans="1:81" x14ac:dyDescent="0.2">
      <c r="D7" t="s">
        <v>25</v>
      </c>
      <c r="E7" t="s">
        <v>235</v>
      </c>
      <c r="F7" t="s">
        <v>236</v>
      </c>
      <c r="G7" t="s">
        <v>293</v>
      </c>
      <c r="H7" t="s">
        <v>294</v>
      </c>
      <c r="I7" t="s">
        <v>295</v>
      </c>
      <c r="J7" t="s">
        <v>296</v>
      </c>
      <c r="K7" t="s">
        <v>342</v>
      </c>
      <c r="L7" t="s">
        <v>297</v>
      </c>
      <c r="M7" t="s">
        <v>298</v>
      </c>
      <c r="N7" t="s">
        <v>299</v>
      </c>
      <c r="O7" t="s">
        <v>360</v>
      </c>
      <c r="P7" t="s">
        <v>361</v>
      </c>
    </row>
    <row r="8" spans="1:81" x14ac:dyDescent="0.2">
      <c r="B8" t="s">
        <v>214</v>
      </c>
      <c r="C8" t="s">
        <v>238</v>
      </c>
      <c r="E8" t="s">
        <v>1930</v>
      </c>
      <c r="F8" t="s">
        <v>1931</v>
      </c>
      <c r="G8" t="s">
        <v>1932</v>
      </c>
      <c r="H8" t="s">
        <v>1933</v>
      </c>
      <c r="I8" t="s">
        <v>1934</v>
      </c>
      <c r="J8" t="s">
        <v>1935</v>
      </c>
      <c r="K8" t="s">
        <v>1936</v>
      </c>
      <c r="L8" t="s">
        <v>1937</v>
      </c>
      <c r="M8" t="s">
        <v>1938</v>
      </c>
      <c r="N8" t="s">
        <v>1939</v>
      </c>
      <c r="O8" t="s">
        <v>1940</v>
      </c>
      <c r="P8" t="s">
        <v>1746</v>
      </c>
    </row>
    <row r="9" spans="1:81" x14ac:dyDescent="0.2">
      <c r="C9" t="s">
        <v>242</v>
      </c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N9" t="s">
        <v>243</v>
      </c>
      <c r="O9" t="s">
        <v>243</v>
      </c>
      <c r="P9" t="s">
        <v>243</v>
      </c>
    </row>
    <row r="10" spans="1:81" x14ac:dyDescent="0.2">
      <c r="B10" t="s">
        <v>1942</v>
      </c>
      <c r="C10">
        <v>100</v>
      </c>
      <c r="D10" t="s">
        <v>248</v>
      </c>
    </row>
    <row r="11" spans="1:81" x14ac:dyDescent="0.2">
      <c r="B11" t="s">
        <v>1943</v>
      </c>
      <c r="C11">
        <v>110</v>
      </c>
      <c r="D11" t="s">
        <v>251</v>
      </c>
      <c r="CC11">
        <f>IF(P28&gt;=0,0,IF(P30&gt;0,0,1))</f>
        <v>0</v>
      </c>
    </row>
    <row r="12" spans="1:81" x14ac:dyDescent="0.2">
      <c r="B12" t="s">
        <v>1944</v>
      </c>
    </row>
    <row r="13" spans="1:81" x14ac:dyDescent="0.2">
      <c r="B13" t="s">
        <v>1945</v>
      </c>
      <c r="C13">
        <v>120</v>
      </c>
      <c r="D13" t="s">
        <v>251</v>
      </c>
    </row>
    <row r="14" spans="1:81" x14ac:dyDescent="0.2">
      <c r="B14" t="s">
        <v>1946</v>
      </c>
      <c r="C14">
        <v>130</v>
      </c>
      <c r="D14" t="s">
        <v>251</v>
      </c>
    </row>
    <row r="15" spans="1:81" x14ac:dyDescent="0.2">
      <c r="B15" t="s">
        <v>1947</v>
      </c>
      <c r="C15">
        <v>140</v>
      </c>
      <c r="D15" t="s">
        <v>251</v>
      </c>
    </row>
    <row r="16" spans="1:81" x14ac:dyDescent="0.2">
      <c r="B16" t="s">
        <v>1948</v>
      </c>
      <c r="C16">
        <v>150</v>
      </c>
      <c r="D16" t="s">
        <v>251</v>
      </c>
    </row>
    <row r="17" spans="2:16" x14ac:dyDescent="0.2">
      <c r="B17" t="s">
        <v>1949</v>
      </c>
      <c r="C17">
        <v>160</v>
      </c>
      <c r="D17" t="s">
        <v>251</v>
      </c>
    </row>
    <row r="18" spans="2:16" x14ac:dyDescent="0.2">
      <c r="B18" t="s">
        <v>1950</v>
      </c>
      <c r="C18">
        <v>170</v>
      </c>
      <c r="D18" t="s">
        <v>251</v>
      </c>
    </row>
    <row r="19" spans="2:16" x14ac:dyDescent="0.2">
      <c r="B19" t="s">
        <v>1951</v>
      </c>
      <c r="C19">
        <v>180</v>
      </c>
      <c r="D19" t="s">
        <v>251</v>
      </c>
    </row>
    <row r="20" spans="2:16" x14ac:dyDescent="0.2">
      <c r="B20" t="s">
        <v>1952</v>
      </c>
      <c r="C20">
        <v>185</v>
      </c>
      <c r="D20" t="s">
        <v>251</v>
      </c>
    </row>
    <row r="21" spans="2:16" x14ac:dyDescent="0.2">
      <c r="B21" t="s">
        <v>1953</v>
      </c>
      <c r="C21">
        <v>190</v>
      </c>
      <c r="D21" t="s">
        <v>251</v>
      </c>
    </row>
    <row r="22" spans="2:16" x14ac:dyDescent="0.2">
      <c r="B22" t="s">
        <v>1954</v>
      </c>
      <c r="C22">
        <v>200</v>
      </c>
      <c r="D22" t="s">
        <v>251</v>
      </c>
    </row>
    <row r="23" spans="2:16" x14ac:dyDescent="0.2">
      <c r="B23" t="s">
        <v>1955</v>
      </c>
      <c r="C23">
        <v>195</v>
      </c>
      <c r="D23" t="s">
        <v>251</v>
      </c>
    </row>
    <row r="24" spans="2:16" x14ac:dyDescent="0.2">
      <c r="B24" t="s">
        <v>1956</v>
      </c>
      <c r="C24">
        <v>205</v>
      </c>
      <c r="D24" t="s">
        <v>251</v>
      </c>
    </row>
    <row r="25" spans="2:16" x14ac:dyDescent="0.2">
      <c r="B25" t="s">
        <v>1957</v>
      </c>
      <c r="C25">
        <v>206</v>
      </c>
      <c r="D25" t="s">
        <v>251</v>
      </c>
    </row>
    <row r="26" spans="2:16" x14ac:dyDescent="0.2">
      <c r="B26" t="s">
        <v>1958</v>
      </c>
      <c r="C26">
        <v>210</v>
      </c>
      <c r="D26" t="s">
        <v>251</v>
      </c>
    </row>
    <row r="27" spans="2:16" x14ac:dyDescent="0.2">
      <c r="B27" t="s">
        <v>1959</v>
      </c>
      <c r="C27">
        <v>220</v>
      </c>
      <c r="D27" t="s">
        <v>251</v>
      </c>
      <c r="F27">
        <f t="shared" ref="F27:P27" si="0">SUM(F11:F26)</f>
        <v>0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0</v>
      </c>
      <c r="K27">
        <f t="shared" si="0"/>
        <v>0</v>
      </c>
      <c r="L27">
        <f t="shared" si="0"/>
        <v>0</v>
      </c>
      <c r="M27">
        <f t="shared" si="0"/>
        <v>0</v>
      </c>
      <c r="N27">
        <f t="shared" si="0"/>
        <v>0</v>
      </c>
      <c r="O27">
        <f t="shared" si="0"/>
        <v>0</v>
      </c>
      <c r="P27">
        <f t="shared" si="0"/>
        <v>0</v>
      </c>
    </row>
    <row r="28" spans="2:16" x14ac:dyDescent="0.2">
      <c r="B28" t="s">
        <v>1960</v>
      </c>
      <c r="C28">
        <v>230</v>
      </c>
      <c r="D28" t="s">
        <v>251</v>
      </c>
      <c r="F28">
        <f t="shared" ref="F28:P28" si="1">E28+F27</f>
        <v>0</v>
      </c>
      <c r="G28">
        <f t="shared" si="1"/>
        <v>0</v>
      </c>
      <c r="H28">
        <f t="shared" si="1"/>
        <v>0</v>
      </c>
      <c r="I28">
        <f t="shared" si="1"/>
        <v>0</v>
      </c>
      <c r="J28">
        <f t="shared" si="1"/>
        <v>0</v>
      </c>
      <c r="K28">
        <f t="shared" si="1"/>
        <v>0</v>
      </c>
      <c r="L28">
        <f t="shared" si="1"/>
        <v>0</v>
      </c>
      <c r="M28">
        <f t="shared" si="1"/>
        <v>0</v>
      </c>
      <c r="N28">
        <f t="shared" si="1"/>
        <v>0</v>
      </c>
      <c r="O28">
        <f t="shared" si="1"/>
        <v>0</v>
      </c>
      <c r="P28">
        <f t="shared" si="1"/>
        <v>0</v>
      </c>
    </row>
    <row r="29" spans="2:16" x14ac:dyDescent="0.2">
      <c r="B29" t="s">
        <v>1961</v>
      </c>
      <c r="C29">
        <v>240</v>
      </c>
      <c r="D29" t="s">
        <v>248</v>
      </c>
    </row>
    <row r="30" spans="2:16" x14ac:dyDescent="0.2">
      <c r="B30" t="s">
        <v>3028</v>
      </c>
      <c r="C30">
        <v>250</v>
      </c>
      <c r="D30" t="s">
        <v>248</v>
      </c>
    </row>
    <row r="31" spans="2:16" x14ac:dyDescent="0.2">
      <c r="B31" t="s">
        <v>3029</v>
      </c>
      <c r="C31">
        <v>260</v>
      </c>
      <c r="D31" t="s">
        <v>248</v>
      </c>
    </row>
    <row r="32" spans="2:16" x14ac:dyDescent="0.2">
      <c r="B32" t="s">
        <v>1964</v>
      </c>
      <c r="C32">
        <v>270</v>
      </c>
      <c r="D32" t="s">
        <v>912</v>
      </c>
      <c r="F32">
        <f t="shared" ref="F32:P32" si="2">IF(OR(F27=0,F10=0),0,F27*100/F10)</f>
        <v>0</v>
      </c>
      <c r="G32">
        <f t="shared" si="2"/>
        <v>0</v>
      </c>
      <c r="H32">
        <f t="shared" si="2"/>
        <v>0</v>
      </c>
      <c r="I32">
        <f t="shared" si="2"/>
        <v>0</v>
      </c>
      <c r="J32">
        <f t="shared" si="2"/>
        <v>0</v>
      </c>
      <c r="K32">
        <f t="shared" si="2"/>
        <v>0</v>
      </c>
      <c r="L32">
        <f t="shared" si="2"/>
        <v>0</v>
      </c>
      <c r="M32">
        <f t="shared" si="2"/>
        <v>0</v>
      </c>
      <c r="N32">
        <f t="shared" si="2"/>
        <v>0</v>
      </c>
      <c r="O32">
        <f t="shared" si="2"/>
        <v>0</v>
      </c>
      <c r="P32">
        <f t="shared" si="2"/>
        <v>0</v>
      </c>
    </row>
    <row r="33" spans="2:55" x14ac:dyDescent="0.2">
      <c r="B33" t="s">
        <v>1965</v>
      </c>
      <c r="C33">
        <v>280</v>
      </c>
      <c r="D33" t="s">
        <v>912</v>
      </c>
      <c r="F33">
        <f t="shared" ref="F33:P33" si="3">IF(OR(F28=0,F10=0),0,F28*100/F10)</f>
        <v>0</v>
      </c>
      <c r="G33">
        <f t="shared" si="3"/>
        <v>0</v>
      </c>
      <c r="H33">
        <f t="shared" si="3"/>
        <v>0</v>
      </c>
      <c r="I33">
        <f t="shared" si="3"/>
        <v>0</v>
      </c>
      <c r="J33">
        <f t="shared" si="3"/>
        <v>0</v>
      </c>
      <c r="K33">
        <f t="shared" si="3"/>
        <v>0</v>
      </c>
      <c r="L33">
        <f t="shared" si="3"/>
        <v>0</v>
      </c>
      <c r="M33">
        <f t="shared" si="3"/>
        <v>0</v>
      </c>
      <c r="N33">
        <f t="shared" si="3"/>
        <v>0</v>
      </c>
      <c r="O33">
        <f t="shared" si="3"/>
        <v>0</v>
      </c>
      <c r="P33">
        <f t="shared" si="3"/>
        <v>0</v>
      </c>
    </row>
    <row r="35" spans="2:55" x14ac:dyDescent="0.2">
      <c r="B35" t="s">
        <v>1958</v>
      </c>
      <c r="C35">
        <v>300</v>
      </c>
      <c r="D35" t="s">
        <v>251</v>
      </c>
    </row>
    <row r="36" spans="2:55" x14ac:dyDescent="0.2">
      <c r="B36" t="s">
        <v>1966</v>
      </c>
      <c r="C36">
        <v>305</v>
      </c>
      <c r="D36" t="s">
        <v>251</v>
      </c>
    </row>
    <row r="37" spans="2:55" x14ac:dyDescent="0.2">
      <c r="B37" t="s">
        <v>1967</v>
      </c>
      <c r="C37">
        <v>310</v>
      </c>
      <c r="D37" t="s">
        <v>251</v>
      </c>
    </row>
    <row r="39" spans="2:55" x14ac:dyDescent="0.2">
      <c r="C39" t="s">
        <v>238</v>
      </c>
      <c r="D39" t="s">
        <v>25</v>
      </c>
      <c r="E39" t="s">
        <v>235</v>
      </c>
      <c r="F39" t="s">
        <v>236</v>
      </c>
      <c r="BC39" t="s">
        <v>237</v>
      </c>
    </row>
    <row r="40" spans="2:55" x14ac:dyDescent="0.2">
      <c r="B40" t="s">
        <v>215</v>
      </c>
      <c r="C40" t="s">
        <v>242</v>
      </c>
      <c r="E40" t="s">
        <v>1968</v>
      </c>
      <c r="F40" t="s">
        <v>3030</v>
      </c>
      <c r="BC40" t="s">
        <v>241</v>
      </c>
    </row>
    <row r="41" spans="2:55" x14ac:dyDescent="0.2">
      <c r="E41" t="s">
        <v>243</v>
      </c>
      <c r="F41" t="s">
        <v>243</v>
      </c>
      <c r="BC41" t="s">
        <v>243</v>
      </c>
    </row>
    <row r="42" spans="2:55" x14ac:dyDescent="0.2">
      <c r="B42" t="s">
        <v>1969</v>
      </c>
      <c r="C42">
        <v>330</v>
      </c>
      <c r="D42" t="s">
        <v>248</v>
      </c>
    </row>
    <row r="43" spans="2:55" x14ac:dyDescent="0.2">
      <c r="B43" t="s">
        <v>1970</v>
      </c>
      <c r="C43">
        <v>340</v>
      </c>
      <c r="D43" t="s">
        <v>251</v>
      </c>
    </row>
    <row r="44" spans="2:55" x14ac:dyDescent="0.2">
      <c r="B44" t="s">
        <v>1971</v>
      </c>
      <c r="C44">
        <v>345</v>
      </c>
      <c r="D44" t="s">
        <v>248</v>
      </c>
    </row>
    <row r="45" spans="2:55" x14ac:dyDescent="0.2">
      <c r="B45" t="s">
        <v>1972</v>
      </c>
      <c r="C45">
        <v>350</v>
      </c>
      <c r="D45" t="s">
        <v>248</v>
      </c>
    </row>
    <row r="46" spans="2:55" x14ac:dyDescent="0.2">
      <c r="B46" t="s">
        <v>477</v>
      </c>
      <c r="C46">
        <v>360</v>
      </c>
      <c r="D46" t="s">
        <v>245</v>
      </c>
    </row>
    <row r="47" spans="2:55" x14ac:dyDescent="0.2">
      <c r="B47" t="s">
        <v>1973</v>
      </c>
      <c r="C47">
        <v>370</v>
      </c>
      <c r="D47" t="s">
        <v>251</v>
      </c>
      <c r="E47">
        <f>SUM(E43:E46)</f>
        <v>0</v>
      </c>
      <c r="F47">
        <f>SUM(F43:F46)</f>
        <v>0</v>
      </c>
    </row>
    <row r="48" spans="2:55" x14ac:dyDescent="0.2">
      <c r="B48" t="s">
        <v>1974</v>
      </c>
      <c r="C48">
        <v>380</v>
      </c>
      <c r="D48" t="s">
        <v>251</v>
      </c>
      <c r="E48">
        <f>E42-E47</f>
        <v>0</v>
      </c>
      <c r="F48">
        <f>F42-F47</f>
        <v>0</v>
      </c>
      <c r="BC48">
        <f>BC42-BC47</f>
        <v>0</v>
      </c>
    </row>
    <row r="51" spans="2:55" x14ac:dyDescent="0.2">
      <c r="C51" t="s">
        <v>238</v>
      </c>
      <c r="D51" t="s">
        <v>25</v>
      </c>
      <c r="E51" t="s">
        <v>235</v>
      </c>
      <c r="F51" t="s">
        <v>236</v>
      </c>
      <c r="BC51" t="s">
        <v>237</v>
      </c>
    </row>
    <row r="52" spans="2:55" x14ac:dyDescent="0.2">
      <c r="B52" t="s">
        <v>1975</v>
      </c>
      <c r="C52" t="s">
        <v>242</v>
      </c>
      <c r="E52" t="s">
        <v>1968</v>
      </c>
      <c r="F52" t="s">
        <v>3030</v>
      </c>
      <c r="BC52" t="s">
        <v>241</v>
      </c>
    </row>
    <row r="53" spans="2:55" x14ac:dyDescent="0.2">
      <c r="E53" t="s">
        <v>243</v>
      </c>
      <c r="F53" t="s">
        <v>243</v>
      </c>
      <c r="BC53" t="s">
        <v>243</v>
      </c>
    </row>
    <row r="54" spans="2:55" x14ac:dyDescent="0.2">
      <c r="B54" t="s">
        <v>1976</v>
      </c>
      <c r="C54">
        <v>400</v>
      </c>
      <c r="D54" t="s">
        <v>248</v>
      </c>
    </row>
    <row r="55" spans="2:55" x14ac:dyDescent="0.2">
      <c r="B55" t="s">
        <v>1977</v>
      </c>
      <c r="C55">
        <v>410</v>
      </c>
      <c r="D55" t="s">
        <v>248</v>
      </c>
    </row>
    <row r="56" spans="2:55" x14ac:dyDescent="0.2">
      <c r="B56" t="s">
        <v>1978</v>
      </c>
      <c r="C56">
        <v>420</v>
      </c>
      <c r="D56" t="s">
        <v>248</v>
      </c>
    </row>
    <row r="57" spans="2:55" x14ac:dyDescent="0.2">
      <c r="B57" t="s">
        <v>1979</v>
      </c>
      <c r="C57">
        <v>430</v>
      </c>
      <c r="D57" t="s">
        <v>248</v>
      </c>
    </row>
    <row r="58" spans="2:55" x14ac:dyDescent="0.2">
      <c r="B58" t="s">
        <v>1980</v>
      </c>
      <c r="C58">
        <v>440</v>
      </c>
      <c r="D58" t="s">
        <v>248</v>
      </c>
      <c r="E58">
        <f>SUM(E56:E57)</f>
        <v>0</v>
      </c>
      <c r="F58">
        <f>SUM(F56:F57)</f>
        <v>0</v>
      </c>
      <c r="BC58">
        <f>SUM(BC56:BC57)</f>
        <v>0</v>
      </c>
    </row>
    <row r="59" spans="2:55" x14ac:dyDescent="0.2">
      <c r="B59" t="s">
        <v>1981</v>
      </c>
      <c r="C59">
        <v>450</v>
      </c>
      <c r="D59" t="s">
        <v>245</v>
      </c>
    </row>
    <row r="60" spans="2:55" x14ac:dyDescent="0.2">
      <c r="B60" t="s">
        <v>1982</v>
      </c>
      <c r="C60">
        <v>460</v>
      </c>
      <c r="D60" t="s">
        <v>245</v>
      </c>
    </row>
    <row r="61" spans="2:55" x14ac:dyDescent="0.2">
      <c r="B61" t="s">
        <v>1983</v>
      </c>
      <c r="C61">
        <v>470</v>
      </c>
      <c r="D61" t="s">
        <v>245</v>
      </c>
    </row>
    <row r="62" spans="2:55" x14ac:dyDescent="0.2">
      <c r="B62" t="s">
        <v>1984</v>
      </c>
      <c r="C62">
        <v>480</v>
      </c>
      <c r="D62" t="s">
        <v>245</v>
      </c>
    </row>
    <row r="63" spans="2:55" x14ac:dyDescent="0.2">
      <c r="B63" t="s">
        <v>1985</v>
      </c>
      <c r="C63">
        <v>490</v>
      </c>
      <c r="D63" t="s">
        <v>248</v>
      </c>
    </row>
    <row r="64" spans="2:55" x14ac:dyDescent="0.2">
      <c r="B64" t="s">
        <v>1986</v>
      </c>
      <c r="C64">
        <v>500</v>
      </c>
      <c r="D64" t="s">
        <v>245</v>
      </c>
    </row>
    <row r="65" spans="2:55" x14ac:dyDescent="0.2">
      <c r="B65" t="s">
        <v>1987</v>
      </c>
      <c r="C65">
        <v>510</v>
      </c>
      <c r="D65" t="s">
        <v>245</v>
      </c>
    </row>
    <row r="66" spans="2:55" x14ac:dyDescent="0.2">
      <c r="B66" t="s">
        <v>1988</v>
      </c>
      <c r="C66">
        <v>520</v>
      </c>
      <c r="D66" t="s">
        <v>251</v>
      </c>
      <c r="E66">
        <f>SUM(E58:E65)</f>
        <v>0</v>
      </c>
      <c r="F66">
        <f>SUM(F58:F65)</f>
        <v>0</v>
      </c>
      <c r="BC66">
        <f>SUM(BC58:BC65)</f>
        <v>0</v>
      </c>
    </row>
    <row r="67" spans="2:55" x14ac:dyDescent="0.2">
      <c r="B67" t="s">
        <v>1989</v>
      </c>
      <c r="C67">
        <v>530</v>
      </c>
      <c r="D67" t="s">
        <v>248</v>
      </c>
    </row>
    <row r="68" spans="2:55" x14ac:dyDescent="0.2">
      <c r="B68" t="s">
        <v>1990</v>
      </c>
      <c r="C68">
        <v>540</v>
      </c>
      <c r="D68" t="s">
        <v>251</v>
      </c>
      <c r="E68">
        <f>E67-E66</f>
        <v>0</v>
      </c>
      <c r="F68">
        <f>F67-F66</f>
        <v>0</v>
      </c>
      <c r="BC68">
        <f>BC67-BC66</f>
        <v>0</v>
      </c>
    </row>
    <row r="72" spans="2:55" x14ac:dyDescent="0.2">
      <c r="C72" t="s">
        <v>238</v>
      </c>
      <c r="D72" t="s">
        <v>25</v>
      </c>
      <c r="E72" t="s">
        <v>235</v>
      </c>
      <c r="F72" t="s">
        <v>236</v>
      </c>
      <c r="BC72" t="s">
        <v>237</v>
      </c>
    </row>
    <row r="73" spans="2:55" x14ac:dyDescent="0.2">
      <c r="B73" t="s">
        <v>1991</v>
      </c>
      <c r="C73" t="s">
        <v>242</v>
      </c>
      <c r="E73" t="s">
        <v>1968</v>
      </c>
      <c r="F73" t="s">
        <v>3030</v>
      </c>
      <c r="BC73" t="s">
        <v>241</v>
      </c>
    </row>
    <row r="74" spans="2:55" x14ac:dyDescent="0.2">
      <c r="E74" t="s">
        <v>243</v>
      </c>
      <c r="F74" t="s">
        <v>243</v>
      </c>
      <c r="BC74" t="s">
        <v>243</v>
      </c>
    </row>
    <row r="75" spans="2:55" x14ac:dyDescent="0.2">
      <c r="B75" t="s">
        <v>1992</v>
      </c>
      <c r="C75">
        <v>545</v>
      </c>
      <c r="D75" t="s">
        <v>248</v>
      </c>
      <c r="E75">
        <f>E58</f>
        <v>0</v>
      </c>
      <c r="F75">
        <f>F58</f>
        <v>0</v>
      </c>
      <c r="BC75">
        <f>BC58</f>
        <v>0</v>
      </c>
    </row>
    <row r="76" spans="2:55" x14ac:dyDescent="0.2">
      <c r="B76" t="s">
        <v>1993</v>
      </c>
      <c r="C76">
        <v>550</v>
      </c>
      <c r="D76" t="s">
        <v>245</v>
      </c>
      <c r="E76">
        <f>+E59+E60+E61+E62+E63</f>
        <v>0</v>
      </c>
      <c r="F76">
        <f>+F59+F60+F61+F62+F63</f>
        <v>0</v>
      </c>
      <c r="BC76">
        <f>+BC59+BC60+BC61+BC62+BC63</f>
        <v>0</v>
      </c>
    </row>
    <row r="77" spans="2:55" x14ac:dyDescent="0.2">
      <c r="B77" t="s">
        <v>1994</v>
      </c>
      <c r="C77">
        <v>560</v>
      </c>
      <c r="D77" t="s">
        <v>245</v>
      </c>
      <c r="E77">
        <f>E64</f>
        <v>0</v>
      </c>
      <c r="F77">
        <f>F64</f>
        <v>0</v>
      </c>
      <c r="BC77">
        <f>BC64</f>
        <v>0</v>
      </c>
    </row>
    <row r="78" spans="2:55" x14ac:dyDescent="0.2">
      <c r="B78" t="s">
        <v>1995</v>
      </c>
      <c r="C78">
        <v>570</v>
      </c>
      <c r="D78" t="s">
        <v>245</v>
      </c>
      <c r="E78">
        <f>E65</f>
        <v>0</v>
      </c>
      <c r="F78">
        <f>F65</f>
        <v>0</v>
      </c>
      <c r="BC78">
        <f>BC65</f>
        <v>0</v>
      </c>
    </row>
    <row r="79" spans="2:55" x14ac:dyDescent="0.2">
      <c r="B79" t="s">
        <v>1996</v>
      </c>
      <c r="C79">
        <v>580</v>
      </c>
      <c r="D79" t="s">
        <v>251</v>
      </c>
      <c r="E79">
        <f>SUM(E75:E78)</f>
        <v>0</v>
      </c>
      <c r="F79">
        <f>SUM(F75:F78)</f>
        <v>0</v>
      </c>
      <c r="BC79">
        <f>SUM(BC75:BC78)</f>
        <v>0</v>
      </c>
    </row>
    <row r="80" spans="2:55" x14ac:dyDescent="0.2">
      <c r="B80" t="s">
        <v>1997</v>
      </c>
      <c r="C80">
        <v>590</v>
      </c>
      <c r="D80" t="s">
        <v>248</v>
      </c>
      <c r="E80">
        <f>+E67</f>
        <v>0</v>
      </c>
      <c r="F80">
        <f>+F67</f>
        <v>0</v>
      </c>
      <c r="BC80">
        <f>+BC67</f>
        <v>0</v>
      </c>
    </row>
    <row r="81" spans="2:55" x14ac:dyDescent="0.2">
      <c r="B81" t="s">
        <v>1998</v>
      </c>
      <c r="C81">
        <v>600</v>
      </c>
      <c r="D81" t="s">
        <v>251</v>
      </c>
      <c r="E81">
        <f>+E80-E79</f>
        <v>0</v>
      </c>
      <c r="F81">
        <f>+F80-F79</f>
        <v>0</v>
      </c>
      <c r="BC81">
        <f>+BC80-BC79</f>
        <v>0</v>
      </c>
    </row>
  </sheetData>
  <sheetProtection sheet="1" objects="1" scenarios="1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CH91"/>
  <sheetViews>
    <sheetView zoomScale="70" zoomScaleNormal="70" workbookViewId="0"/>
  </sheetViews>
  <sheetFormatPr defaultRowHeight="12.75" x14ac:dyDescent="0.2"/>
  <sheetData>
    <row r="1" spans="1:81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1" x14ac:dyDescent="0.2">
      <c r="A2" t="s">
        <v>3727</v>
      </c>
    </row>
    <row r="3" spans="1:81" x14ac:dyDescent="0.2">
      <c r="A3" t="s">
        <v>3782</v>
      </c>
    </row>
    <row r="5" spans="1:81" x14ac:dyDescent="0.2">
      <c r="B5" t="s">
        <v>3031</v>
      </c>
      <c r="CC5" t="s">
        <v>1999</v>
      </c>
    </row>
    <row r="7" spans="1:81" x14ac:dyDescent="0.2">
      <c r="B7" t="s">
        <v>3032</v>
      </c>
    </row>
    <row r="8" spans="1:81" x14ac:dyDescent="0.2">
      <c r="B8" t="s">
        <v>3033</v>
      </c>
      <c r="C8" t="s">
        <v>3034</v>
      </c>
      <c r="E8" t="s">
        <v>238</v>
      </c>
      <c r="F8" t="s">
        <v>3035</v>
      </c>
      <c r="H8" t="s">
        <v>2089</v>
      </c>
      <c r="K8" t="s">
        <v>241</v>
      </c>
    </row>
    <row r="9" spans="1:81" x14ac:dyDescent="0.2">
      <c r="G9" t="s">
        <v>2021</v>
      </c>
      <c r="H9" t="s">
        <v>2092</v>
      </c>
      <c r="I9" t="s">
        <v>2023</v>
      </c>
      <c r="J9" t="s">
        <v>2021</v>
      </c>
      <c r="K9" t="s">
        <v>1048</v>
      </c>
      <c r="L9" t="s">
        <v>2023</v>
      </c>
    </row>
    <row r="10" spans="1:81" x14ac:dyDescent="0.2">
      <c r="E10" t="s">
        <v>242</v>
      </c>
      <c r="F10" t="s">
        <v>2036</v>
      </c>
      <c r="G10" t="s">
        <v>2037</v>
      </c>
      <c r="H10" t="s">
        <v>2038</v>
      </c>
      <c r="I10" t="s">
        <v>2039</v>
      </c>
      <c r="J10" t="s">
        <v>2040</v>
      </c>
      <c r="K10" t="s">
        <v>2041</v>
      </c>
      <c r="L10" t="s">
        <v>2042</v>
      </c>
    </row>
    <row r="11" spans="1:81" x14ac:dyDescent="0.2">
      <c r="F11" t="s">
        <v>243</v>
      </c>
      <c r="G11" t="s">
        <v>243</v>
      </c>
      <c r="H11" t="s">
        <v>243</v>
      </c>
      <c r="I11" t="s">
        <v>243</v>
      </c>
      <c r="J11" t="s">
        <v>243</v>
      </c>
      <c r="K11" t="s">
        <v>243</v>
      </c>
      <c r="L11" t="s">
        <v>243</v>
      </c>
    </row>
    <row r="12" spans="1:81" x14ac:dyDescent="0.2">
      <c r="C12" t="s">
        <v>3036</v>
      </c>
      <c r="E12">
        <v>100</v>
      </c>
      <c r="I12">
        <f>H12-G12</f>
        <v>0</v>
      </c>
      <c r="L12">
        <f>K12-J12</f>
        <v>0</v>
      </c>
      <c r="N12" t="s">
        <v>2110</v>
      </c>
      <c r="Q12">
        <f>25</f>
        <v>25</v>
      </c>
      <c r="R12" t="s">
        <v>912</v>
      </c>
    </row>
    <row r="13" spans="1:81" x14ac:dyDescent="0.2">
      <c r="B13" t="s">
        <v>3037</v>
      </c>
      <c r="C13" t="s">
        <v>3038</v>
      </c>
      <c r="E13">
        <v>110</v>
      </c>
      <c r="I13">
        <f>H13-G13</f>
        <v>0</v>
      </c>
      <c r="L13">
        <f>K13-J13</f>
        <v>0</v>
      </c>
    </row>
    <row r="14" spans="1:81" x14ac:dyDescent="0.2">
      <c r="B14" t="s">
        <v>3039</v>
      </c>
      <c r="C14" t="s">
        <v>3040</v>
      </c>
      <c r="E14">
        <v>120</v>
      </c>
      <c r="F14">
        <f>IF(F13&gt;0,(F12/F13)*100,0)</f>
        <v>0</v>
      </c>
      <c r="G14">
        <f>IF(G13&gt;0,(G12/G13)*100,0)</f>
        <v>0</v>
      </c>
      <c r="H14">
        <f>IF(H13&gt;0,(H12/H13)*100,0)</f>
        <v>0</v>
      </c>
      <c r="I14">
        <f>H14-G14</f>
        <v>0</v>
      </c>
      <c r="K14">
        <f>IF(K13&gt;0,(K12/K13)*100,0)</f>
        <v>0</v>
      </c>
      <c r="L14">
        <f>K14-J14</f>
        <v>0</v>
      </c>
      <c r="N14">
        <f>5</f>
        <v>5</v>
      </c>
      <c r="O14">
        <f>4</f>
        <v>4</v>
      </c>
      <c r="P14">
        <f>3</f>
        <v>3</v>
      </c>
      <c r="Q14">
        <f>2</f>
        <v>2</v>
      </c>
      <c r="R14">
        <f>1</f>
        <v>1</v>
      </c>
    </row>
    <row r="15" spans="1:81" x14ac:dyDescent="0.2">
      <c r="C15" t="s">
        <v>3041</v>
      </c>
      <c r="E15">
        <v>130</v>
      </c>
      <c r="F15">
        <f>IF(F14&gt;=11,5,IF(F14&gt;=9,4,IF(F14&gt;=5,3,IF(F14&gt;=1,2,1))))</f>
        <v>1</v>
      </c>
      <c r="G15">
        <f>IF(G14&gt;=11,5,IF(G14&gt;=9,4,IF(G14&gt;=5,3,IF(G14&gt;=1,2,1))))</f>
        <v>1</v>
      </c>
      <c r="H15">
        <f>IF(H14&gt;=11,5,IF(H14&gt;=9,4,IF(H14&gt;=5,3,IF(H14&gt;=1,2,1))))</f>
        <v>1</v>
      </c>
      <c r="I15">
        <f>H15-G15</f>
        <v>0</v>
      </c>
      <c r="J15">
        <f>IF(J14&gt;=11,5,IF(J14&gt;=9,4,IF(J14&gt;=5,3,IF(J14&gt;=1,2,1))))</f>
        <v>1</v>
      </c>
      <c r="K15">
        <f>IF(K14&gt;=11,5,IF(K14&gt;=9,4,IF(K14&gt;=5,3,IF(K14&gt;=1,2,1))))</f>
        <v>1</v>
      </c>
      <c r="L15">
        <f>K15-J15</f>
        <v>0</v>
      </c>
      <c r="N15">
        <f>0.11</f>
        <v>0.11</v>
      </c>
      <c r="O15">
        <f>0.09</f>
        <v>0.09</v>
      </c>
      <c r="P15">
        <f>0.05</f>
        <v>0.05</v>
      </c>
      <c r="Q15">
        <f>0.01</f>
        <v>0.01</v>
      </c>
      <c r="R15" t="s">
        <v>3042</v>
      </c>
    </row>
    <row r="16" spans="1:81" x14ac:dyDescent="0.2">
      <c r="C16" t="s">
        <v>3043</v>
      </c>
      <c r="E16">
        <v>140</v>
      </c>
      <c r="F16">
        <f>F12</f>
        <v>0</v>
      </c>
      <c r="H16">
        <f>H12</f>
        <v>0</v>
      </c>
      <c r="N16" t="s">
        <v>2112</v>
      </c>
      <c r="Q16">
        <f>10</f>
        <v>10</v>
      </c>
      <c r="R16" t="s">
        <v>912</v>
      </c>
    </row>
    <row r="17" spans="2:18" x14ac:dyDescent="0.2">
      <c r="B17" t="s">
        <v>2112</v>
      </c>
      <c r="C17" t="s">
        <v>3044</v>
      </c>
      <c r="E17">
        <v>150</v>
      </c>
      <c r="H17">
        <f>G12</f>
        <v>0</v>
      </c>
    </row>
    <row r="18" spans="2:18" x14ac:dyDescent="0.2">
      <c r="C18" t="s">
        <v>3045</v>
      </c>
      <c r="E18">
        <v>160</v>
      </c>
      <c r="F18">
        <f>IF(F17=0,0,F16/F17)*100</f>
        <v>0</v>
      </c>
      <c r="G18">
        <f>F18</f>
        <v>0</v>
      </c>
      <c r="H18">
        <f>IF(H17=0,0,H16/H17)*100</f>
        <v>0</v>
      </c>
      <c r="I18">
        <f t="shared" ref="I18:I30" si="0">H18-G18</f>
        <v>0</v>
      </c>
      <c r="J18">
        <f>G18</f>
        <v>0</v>
      </c>
      <c r="K18">
        <f>H18</f>
        <v>0</v>
      </c>
      <c r="L18">
        <f t="shared" ref="L18:L40" si="1">K18-J18</f>
        <v>0</v>
      </c>
      <c r="N18">
        <f>5</f>
        <v>5</v>
      </c>
      <c r="O18">
        <f>4</f>
        <v>4</v>
      </c>
      <c r="P18">
        <f>3</f>
        <v>3</v>
      </c>
      <c r="Q18">
        <f>2</f>
        <v>2</v>
      </c>
      <c r="R18">
        <f>1</f>
        <v>1</v>
      </c>
    </row>
    <row r="19" spans="2:18" x14ac:dyDescent="0.2">
      <c r="C19" t="s">
        <v>3046</v>
      </c>
      <c r="E19">
        <v>170</v>
      </c>
      <c r="F19">
        <f>IF(F18&gt;=100,5,IF(F18&gt;=85,4,IF(F18&gt;=70,3,IF(F18&gt;=50,2,1))))</f>
        <v>1</v>
      </c>
      <c r="G19">
        <f>IF(G18&gt;=100,5,IF(G18&gt;=85,4,IF(G18&gt;=70,3,IF(G18&gt;=50,2,1))))</f>
        <v>1</v>
      </c>
      <c r="H19">
        <f>IF(H18&gt;=100,5,IF(H18&gt;=85,4,IF(H18&gt;=70,3,IF(H18&gt;=50,2,1))))</f>
        <v>1</v>
      </c>
      <c r="I19">
        <f t="shared" si="0"/>
        <v>0</v>
      </c>
      <c r="J19">
        <f>G19</f>
        <v>1</v>
      </c>
      <c r="K19">
        <f>H19</f>
        <v>1</v>
      </c>
      <c r="L19">
        <f t="shared" si="1"/>
        <v>0</v>
      </c>
      <c r="N19">
        <f>1</f>
        <v>1</v>
      </c>
      <c r="O19">
        <f>0.85</f>
        <v>0.85</v>
      </c>
      <c r="P19">
        <f>0.7</f>
        <v>0.7</v>
      </c>
      <c r="Q19">
        <f>0.5</f>
        <v>0.5</v>
      </c>
      <c r="R19" t="s">
        <v>3047</v>
      </c>
    </row>
    <row r="20" spans="2:18" x14ac:dyDescent="0.2">
      <c r="C20" t="s">
        <v>3048</v>
      </c>
      <c r="E20">
        <v>180</v>
      </c>
      <c r="I20">
        <f t="shared" si="0"/>
        <v>0</v>
      </c>
      <c r="L20">
        <f t="shared" si="1"/>
        <v>0</v>
      </c>
    </row>
    <row r="21" spans="2:18" x14ac:dyDescent="0.2">
      <c r="B21" t="s">
        <v>2067</v>
      </c>
      <c r="C21" t="s">
        <v>3049</v>
      </c>
      <c r="E21">
        <v>190</v>
      </c>
      <c r="G21">
        <f>$F$22</f>
        <v>0</v>
      </c>
      <c r="H21">
        <f>$F$22</f>
        <v>0</v>
      </c>
      <c r="I21">
        <f t="shared" si="0"/>
        <v>0</v>
      </c>
      <c r="J21">
        <f>F22</f>
        <v>0</v>
      </c>
      <c r="K21">
        <f>F22</f>
        <v>0</v>
      </c>
      <c r="L21">
        <f t="shared" si="1"/>
        <v>0</v>
      </c>
    </row>
    <row r="22" spans="2:18" x14ac:dyDescent="0.2">
      <c r="B22" t="s">
        <v>3050</v>
      </c>
      <c r="C22" t="s">
        <v>3051</v>
      </c>
      <c r="E22">
        <v>200</v>
      </c>
      <c r="I22">
        <f t="shared" si="0"/>
        <v>0</v>
      </c>
      <c r="L22">
        <f t="shared" si="1"/>
        <v>0</v>
      </c>
      <c r="N22" t="s">
        <v>3052</v>
      </c>
      <c r="Q22">
        <f>20</f>
        <v>20</v>
      </c>
      <c r="R22" t="s">
        <v>912</v>
      </c>
    </row>
    <row r="23" spans="2:18" x14ac:dyDescent="0.2">
      <c r="C23" t="s">
        <v>3053</v>
      </c>
      <c r="E23">
        <v>210</v>
      </c>
      <c r="F23" t="e">
        <f>(F20*2/(F21+F22)*360/360)*100</f>
        <v>#DIV/0!</v>
      </c>
      <c r="G23" t="e">
        <f>(G20*2/(G21+G22)*360/360)*100</f>
        <v>#DIV/0!</v>
      </c>
      <c r="H23" t="e">
        <f>(H20*2/(H21+H22)*360/360)*100</f>
        <v>#DIV/0!</v>
      </c>
      <c r="I23" t="e">
        <f t="shared" si="0"/>
        <v>#DIV/0!</v>
      </c>
      <c r="J23" t="e">
        <f>(J20*2/(J21+J22)*360/360)*100</f>
        <v>#DIV/0!</v>
      </c>
      <c r="K23" t="e">
        <f>(K20*2/(K21+K22)*360/360)*100</f>
        <v>#DIV/0!</v>
      </c>
      <c r="L23" t="e">
        <f t="shared" si="1"/>
        <v>#DIV/0!</v>
      </c>
      <c r="N23">
        <f>5</f>
        <v>5</v>
      </c>
      <c r="O23">
        <f>4</f>
        <v>4</v>
      </c>
      <c r="P23">
        <f>3</f>
        <v>3</v>
      </c>
      <c r="Q23">
        <f>2</f>
        <v>2</v>
      </c>
      <c r="R23">
        <f>1</f>
        <v>1</v>
      </c>
    </row>
    <row r="24" spans="2:18" x14ac:dyDescent="0.2">
      <c r="C24" t="s">
        <v>3054</v>
      </c>
      <c r="E24">
        <v>220</v>
      </c>
      <c r="F24" t="e">
        <f>IF(F23&gt;=3,5,IF(F23&gt;=2,4,IF(F23&gt;=-0.5,3,IF(F23&gt;=-5,2,1))))</f>
        <v>#DIV/0!</v>
      </c>
      <c r="G24" t="e">
        <f>IF(G23&gt;=3,5,IF(G23&gt;=2,4,IF(G23&gt;=-0.5,3,IF(G23&gt;=-5,2,1))))</f>
        <v>#DIV/0!</v>
      </c>
      <c r="H24" t="e">
        <f>IF(H23&gt;=3,5,IF(H23&gt;=2,4,IF(H23&gt;=-0.5,3,IF(H23&gt;=-5,2,1))))</f>
        <v>#DIV/0!</v>
      </c>
      <c r="I24" t="e">
        <f t="shared" si="0"/>
        <v>#DIV/0!</v>
      </c>
      <c r="J24" t="e">
        <f>IF(J23&gt;=3,5,IF(J23&gt;=2,4,IF(J23&gt;=-0.5,3,IF(J23&gt;=-5,2,1))))</f>
        <v>#DIV/0!</v>
      </c>
      <c r="K24" t="e">
        <f>IF(K23&gt;=3,5,IF(K23&gt;=2,4,IF(K23&gt;=-0.5,3,IF(K23&gt;=-5,2,1))))</f>
        <v>#DIV/0!</v>
      </c>
      <c r="L24" t="e">
        <f t="shared" si="1"/>
        <v>#DIV/0!</v>
      </c>
      <c r="N24">
        <f>0.03</f>
        <v>0.03</v>
      </c>
      <c r="O24">
        <f>0.02</f>
        <v>0.02</v>
      </c>
      <c r="P24">
        <f>-0.005</f>
        <v>-5.0000000000000001E-3</v>
      </c>
      <c r="Q24">
        <f>-0.05</f>
        <v>-0.05</v>
      </c>
      <c r="R24" t="s">
        <v>3055</v>
      </c>
    </row>
    <row r="25" spans="2:18" x14ac:dyDescent="0.2">
      <c r="C25" t="s">
        <v>3056</v>
      </c>
      <c r="E25">
        <v>230</v>
      </c>
      <c r="I25">
        <f t="shared" si="0"/>
        <v>0</v>
      </c>
      <c r="L25">
        <f t="shared" si="1"/>
        <v>0</v>
      </c>
    </row>
    <row r="26" spans="2:18" x14ac:dyDescent="0.2">
      <c r="C26" t="s">
        <v>3057</v>
      </c>
      <c r="E26">
        <v>240</v>
      </c>
      <c r="I26">
        <f t="shared" si="0"/>
        <v>0</v>
      </c>
      <c r="L26">
        <f t="shared" si="1"/>
        <v>0</v>
      </c>
    </row>
    <row r="27" spans="2:18" x14ac:dyDescent="0.2">
      <c r="B27" t="s">
        <v>2067</v>
      </c>
      <c r="C27" t="s">
        <v>3058</v>
      </c>
      <c r="E27">
        <v>250</v>
      </c>
      <c r="I27">
        <f t="shared" si="0"/>
        <v>0</v>
      </c>
      <c r="L27">
        <f t="shared" si="1"/>
        <v>0</v>
      </c>
    </row>
    <row r="28" spans="2:18" x14ac:dyDescent="0.2">
      <c r="B28" t="s">
        <v>3059</v>
      </c>
      <c r="C28" t="s">
        <v>3060</v>
      </c>
      <c r="E28">
        <v>260</v>
      </c>
      <c r="F28">
        <f>F13</f>
        <v>0</v>
      </c>
      <c r="G28">
        <f>G13</f>
        <v>0</v>
      </c>
      <c r="H28">
        <f>H13</f>
        <v>0</v>
      </c>
      <c r="I28">
        <f t="shared" si="0"/>
        <v>0</v>
      </c>
      <c r="K28">
        <f>K13</f>
        <v>0</v>
      </c>
      <c r="L28">
        <f t="shared" si="1"/>
        <v>0</v>
      </c>
      <c r="N28" t="s">
        <v>3061</v>
      </c>
      <c r="Q28">
        <f>20</f>
        <v>20</v>
      </c>
      <c r="R28" t="s">
        <v>912</v>
      </c>
    </row>
    <row r="29" spans="2:18" x14ac:dyDescent="0.2">
      <c r="C29" t="s">
        <v>3062</v>
      </c>
      <c r="E29">
        <v>270</v>
      </c>
      <c r="F29">
        <f>IF(F28&gt;0,(F25-SUM(F26:F27))/F28)*100</f>
        <v>0</v>
      </c>
      <c r="G29">
        <f>IF(G28&gt;0,(G25-SUM(G26:G27))/G28)*100</f>
        <v>0</v>
      </c>
      <c r="H29">
        <f>IF(H28&gt;0,(H25-SUM(H26:H27))/H28)*100</f>
        <v>0</v>
      </c>
      <c r="I29">
        <f t="shared" si="0"/>
        <v>0</v>
      </c>
      <c r="K29">
        <f>IF(K28&gt;0,(K25-SUM(K26:K27))/K28)*100</f>
        <v>0</v>
      </c>
      <c r="L29">
        <f t="shared" si="1"/>
        <v>0</v>
      </c>
    </row>
    <row r="30" spans="2:18" x14ac:dyDescent="0.2">
      <c r="C30" t="s">
        <v>3063</v>
      </c>
      <c r="E30">
        <v>280</v>
      </c>
      <c r="F30">
        <f>IF(F29&gt;=3,5,IF(F29&gt;=2,4,IF(F29&gt;=1,3,IF(F29&gt;=-2,2,1))))</f>
        <v>2</v>
      </c>
      <c r="G30">
        <f>IF(G29&gt;=3,5,IF(G29&gt;=2,4,IF(G29&gt;=1,3,IF(G29&gt;=-2,2,1))))</f>
        <v>2</v>
      </c>
      <c r="H30">
        <f>IF(H29&gt;=3,5,IF(H29&gt;=2,4,IF(H29&gt;=1,3,IF(H29&gt;=-2,2,1))))</f>
        <v>2</v>
      </c>
      <c r="I30">
        <f t="shared" si="0"/>
        <v>0</v>
      </c>
      <c r="K30">
        <f>IF(K29&gt;=3,5,IF(K29&gt;=2,4,IF(K29&gt;=1,3,IF(K29&gt;=-2,2,1))))</f>
        <v>2</v>
      </c>
      <c r="L30">
        <f t="shared" si="1"/>
        <v>2</v>
      </c>
      <c r="N30">
        <f>5</f>
        <v>5</v>
      </c>
      <c r="O30">
        <f>4</f>
        <v>4</v>
      </c>
      <c r="P30">
        <f>3</f>
        <v>3</v>
      </c>
      <c r="Q30">
        <f>2</f>
        <v>2</v>
      </c>
      <c r="R30">
        <f>1</f>
        <v>1</v>
      </c>
    </row>
    <row r="31" spans="2:18" x14ac:dyDescent="0.2">
      <c r="C31" t="s">
        <v>3064</v>
      </c>
      <c r="E31">
        <v>290</v>
      </c>
      <c r="F31" t="e">
        <f>ROUNDUP((F30+F24)/2,0)</f>
        <v>#DIV/0!</v>
      </c>
      <c r="G31" t="e">
        <f>ROUNDUP((G30+G24)/2,0)</f>
        <v>#DIV/0!</v>
      </c>
      <c r="H31" t="e">
        <f>ROUNDUP((H30+H24)/2,0)</f>
        <v>#DIV/0!</v>
      </c>
      <c r="I31" t="e">
        <f>ROUND(H31,0)-ROUND(G31,0)</f>
        <v>#DIV/0!</v>
      </c>
      <c r="K31" t="e">
        <f>ROUNDUP((K30+K24)/2,0)</f>
        <v>#DIV/0!</v>
      </c>
      <c r="L31" t="e">
        <f t="shared" si="1"/>
        <v>#DIV/0!</v>
      </c>
      <c r="N31">
        <f>0.03</f>
        <v>0.03</v>
      </c>
      <c r="O31">
        <f>0.02</f>
        <v>0.02</v>
      </c>
      <c r="P31">
        <f>0.01</f>
        <v>0.01</v>
      </c>
      <c r="Q31">
        <f>-0.02</f>
        <v>-0.02</v>
      </c>
      <c r="R31" t="s">
        <v>3065</v>
      </c>
    </row>
    <row r="32" spans="2:18" x14ac:dyDescent="0.2">
      <c r="C32" t="s">
        <v>3066</v>
      </c>
      <c r="E32">
        <v>300</v>
      </c>
      <c r="F32">
        <f>(F33/(365)*30)+CC32</f>
        <v>0</v>
      </c>
      <c r="G32">
        <f>(G33/(365)*30)+CD32</f>
        <v>0</v>
      </c>
      <c r="H32">
        <f>(H33/(365*1)*30)+CE32</f>
        <v>0</v>
      </c>
      <c r="I32">
        <f t="shared" ref="I32:I37" si="2">H32-G32</f>
        <v>0</v>
      </c>
      <c r="K32">
        <f>(K33/(365)*30)+CH32</f>
        <v>0</v>
      </c>
      <c r="L32">
        <f t="shared" si="1"/>
        <v>0</v>
      </c>
    </row>
    <row r="33" spans="2:86" x14ac:dyDescent="0.2">
      <c r="C33" t="s">
        <v>3067</v>
      </c>
      <c r="E33">
        <v>310</v>
      </c>
      <c r="I33">
        <f t="shared" si="2"/>
        <v>0</v>
      </c>
      <c r="L33">
        <f t="shared" si="1"/>
        <v>0</v>
      </c>
    </row>
    <row r="34" spans="2:86" x14ac:dyDescent="0.2">
      <c r="B34" t="s">
        <v>2115</v>
      </c>
      <c r="C34" t="s">
        <v>3068</v>
      </c>
      <c r="E34">
        <v>322</v>
      </c>
      <c r="F34">
        <f>F33/(365)*30</f>
        <v>0</v>
      </c>
      <c r="G34">
        <f>G33/(365)*30</f>
        <v>0</v>
      </c>
      <c r="H34">
        <f>H33/(365*1)*30</f>
        <v>0</v>
      </c>
      <c r="I34">
        <f t="shared" si="2"/>
        <v>0</v>
      </c>
      <c r="K34">
        <f>K33/365*30</f>
        <v>0</v>
      </c>
      <c r="L34">
        <f t="shared" si="1"/>
        <v>0</v>
      </c>
    </row>
    <row r="35" spans="2:86" x14ac:dyDescent="0.2">
      <c r="C35" t="s">
        <v>3069</v>
      </c>
      <c r="E35">
        <v>325</v>
      </c>
      <c r="F35">
        <f>IF(F33&lt;&gt;0,F34/(F33)*360,0)</f>
        <v>0</v>
      </c>
      <c r="G35">
        <f>IF(G33&lt;&gt;0,G34/(G33)*360,0)</f>
        <v>0</v>
      </c>
      <c r="H35">
        <f>IF(H33&lt;&gt;0,H34/H33*360,0)</f>
        <v>0</v>
      </c>
      <c r="I35">
        <f t="shared" si="2"/>
        <v>0</v>
      </c>
      <c r="K35">
        <f>IF(K33&lt;&gt;0,K34/K33*360,0)</f>
        <v>0</v>
      </c>
      <c r="L35">
        <f t="shared" si="1"/>
        <v>0</v>
      </c>
    </row>
    <row r="36" spans="2:86" x14ac:dyDescent="0.2">
      <c r="C36" t="s">
        <v>3070</v>
      </c>
      <c r="E36">
        <v>330</v>
      </c>
      <c r="F36">
        <f>IF(F33&lt;&gt;0,F32/F33*360,0)-MAX(F35-30,0)</f>
        <v>0</v>
      </c>
      <c r="G36">
        <f>IF(G33&lt;&gt;0,G32/G33,0)-MAX(G35-30,0)</f>
        <v>0</v>
      </c>
      <c r="H36">
        <f>IF(H33&lt;&gt;0,H32/H33*360,0)-MAX(H35-30,0)</f>
        <v>0</v>
      </c>
      <c r="I36">
        <f t="shared" si="2"/>
        <v>0</v>
      </c>
      <c r="K36">
        <f>IF(K33&lt;&gt;0,K32/K33*360,0)-MAX(K35-30,0)</f>
        <v>0</v>
      </c>
      <c r="L36">
        <f t="shared" si="1"/>
        <v>0</v>
      </c>
      <c r="N36" t="s">
        <v>3071</v>
      </c>
      <c r="Q36">
        <f>25</f>
        <v>25</v>
      </c>
      <c r="R36" t="s">
        <v>912</v>
      </c>
    </row>
    <row r="37" spans="2:86" x14ac:dyDescent="0.2">
      <c r="C37" t="s">
        <v>3072</v>
      </c>
      <c r="E37">
        <v>340</v>
      </c>
      <c r="F37">
        <f>IF(F36&gt;=60,5,IF(F36&gt;=25,4,IF(F36&gt;=15,3,IF(F36&gt;=10,2,1))))</f>
        <v>1</v>
      </c>
      <c r="G37">
        <f>IF(G36&gt;=60,5,IF(G36&gt;=25,4,IF(G36&gt;=15,3,IF(G36&gt;=10,2,1))))</f>
        <v>1</v>
      </c>
      <c r="H37">
        <f>IF(H36&gt;=60,5,IF(H36&gt;=25,4,IF(H36&gt;=15,3,IF(H36&gt;=10,2,1))))</f>
        <v>1</v>
      </c>
      <c r="I37">
        <f t="shared" si="2"/>
        <v>0</v>
      </c>
      <c r="K37">
        <f>IF(K36&gt;=60,5,IF(K36&gt;=25,4,IF(K36&gt;=15,3,IF(K36&gt;=10,2,1))))</f>
        <v>1</v>
      </c>
      <c r="L37">
        <f t="shared" si="1"/>
        <v>1</v>
      </c>
      <c r="N37">
        <f>5</f>
        <v>5</v>
      </c>
      <c r="O37">
        <f>4</f>
        <v>4</v>
      </c>
      <c r="P37">
        <f>3</f>
        <v>3</v>
      </c>
      <c r="Q37">
        <f>2</f>
        <v>2</v>
      </c>
      <c r="R37">
        <f>1</f>
        <v>1</v>
      </c>
    </row>
    <row r="38" spans="2:86" x14ac:dyDescent="0.2">
      <c r="B38" t="s">
        <v>3073</v>
      </c>
      <c r="C38" t="s">
        <v>3074</v>
      </c>
      <c r="E38">
        <v>350</v>
      </c>
      <c r="F38" t="e">
        <f>$Q$12/100*F15+$Q$16/100*F19+$Q$22/100*F24+$Q$28/100*F30+$Q$36/100*F37</f>
        <v>#DIV/0!</v>
      </c>
      <c r="G38" t="e">
        <f>$Q$12/100*G15+$Q$16/100*G19+$Q$22/100*G24+$Q$28/100*G30+$Q$36/100*G37</f>
        <v>#DIV/0!</v>
      </c>
      <c r="H38" t="e">
        <f>$Q$12/100*H15+$Q$16/100*H19+$Q$22/100*H24+$Q$28/100*H30+$Q$36/100*H37</f>
        <v>#DIV/0!</v>
      </c>
      <c r="I38" t="e">
        <f>ROUND(H38,0)-ROUND(G38,0)</f>
        <v>#DIV/0!</v>
      </c>
      <c r="K38" t="e">
        <f>$Q$12/100*K15+$Q$16/100*K19+$Q$22/100*K24+$Q$28/100*K30+$Q$36/100*K37</f>
        <v>#DIV/0!</v>
      </c>
      <c r="L38" t="e">
        <f t="shared" si="1"/>
        <v>#DIV/0!</v>
      </c>
      <c r="N38">
        <f>60</f>
        <v>60</v>
      </c>
      <c r="O38">
        <f>25</f>
        <v>25</v>
      </c>
      <c r="P38">
        <f>15</f>
        <v>15</v>
      </c>
      <c r="Q38">
        <f>10</f>
        <v>10</v>
      </c>
      <c r="R38" t="s">
        <v>3075</v>
      </c>
    </row>
    <row r="39" spans="2:86" x14ac:dyDescent="0.2">
      <c r="B39" t="s">
        <v>3076</v>
      </c>
      <c r="C39" t="s">
        <v>3077</v>
      </c>
      <c r="E39">
        <v>360</v>
      </c>
      <c r="G39" t="e">
        <f>MIN(G52:G59)</f>
        <v>#DIV/0!</v>
      </c>
      <c r="H39" t="e">
        <f>MIN(H52:H59)</f>
        <v>#DIV/0!</v>
      </c>
      <c r="I39" t="e">
        <f>ROUND(H39,0)-ROUND(G39,0)</f>
        <v>#DIV/0!</v>
      </c>
      <c r="K39" t="e">
        <f>MIN(K52:K59)</f>
        <v>#DIV/0!</v>
      </c>
      <c r="L39" t="e">
        <f t="shared" si="1"/>
        <v>#DIV/0!</v>
      </c>
      <c r="CC39" t="s">
        <v>3078</v>
      </c>
    </row>
    <row r="40" spans="2:86" x14ac:dyDescent="0.2">
      <c r="C40" t="s">
        <v>3079</v>
      </c>
      <c r="E40">
        <v>370</v>
      </c>
      <c r="G40" t="e">
        <f>IF(G39&gt;0,MIN(G38,G39),G38)</f>
        <v>#DIV/0!</v>
      </c>
      <c r="H40" t="e">
        <f>IF(H39&gt;0,MIN(H38,H39),H38)</f>
        <v>#DIV/0!</v>
      </c>
      <c r="I40" t="e">
        <f>ROUND(H40,0)-ROUND(G40,0)</f>
        <v>#DIV/0!</v>
      </c>
      <c r="K40" t="e">
        <f>IF(K39&gt;0,MIN(K38,K39),K38)</f>
        <v>#DIV/0!</v>
      </c>
      <c r="L40" t="e">
        <f t="shared" si="1"/>
        <v>#DIV/0!</v>
      </c>
      <c r="CC40" t="s">
        <v>300</v>
      </c>
      <c r="CF40" t="s">
        <v>307</v>
      </c>
    </row>
    <row r="41" spans="2:86" x14ac:dyDescent="0.2">
      <c r="B41" t="s">
        <v>3080</v>
      </c>
      <c r="CC41" t="s">
        <v>3081</v>
      </c>
      <c r="CD41" t="s">
        <v>3082</v>
      </c>
      <c r="CE41" t="s">
        <v>3083</v>
      </c>
      <c r="CF41" t="s">
        <v>3081</v>
      </c>
      <c r="CG41" t="s">
        <v>3082</v>
      </c>
      <c r="CH41" t="s">
        <v>3083</v>
      </c>
    </row>
    <row r="42" spans="2:86" x14ac:dyDescent="0.2">
      <c r="B42" t="s">
        <v>2181</v>
      </c>
      <c r="C42" t="s">
        <v>2449</v>
      </c>
      <c r="E42">
        <v>371</v>
      </c>
      <c r="I42">
        <f t="shared" ref="I42:I50" si="3">H42-G42</f>
        <v>0</v>
      </c>
      <c r="L42">
        <f t="shared" ref="L42:L50" si="4">K42-J42</f>
        <v>0</v>
      </c>
      <c r="CE42">
        <f>CD42-CC42</f>
        <v>0</v>
      </c>
      <c r="CH42">
        <f>CG42-CF42</f>
        <v>0</v>
      </c>
    </row>
    <row r="43" spans="2:86" x14ac:dyDescent="0.2">
      <c r="C43" t="s">
        <v>2451</v>
      </c>
      <c r="E43">
        <v>372</v>
      </c>
      <c r="I43">
        <f t="shared" si="3"/>
        <v>0</v>
      </c>
      <c r="L43">
        <f t="shared" si="4"/>
        <v>0</v>
      </c>
      <c r="N43" t="s">
        <v>2456</v>
      </c>
      <c r="Q43">
        <f>50</f>
        <v>50</v>
      </c>
      <c r="R43" t="s">
        <v>912</v>
      </c>
    </row>
    <row r="44" spans="2:86" x14ac:dyDescent="0.2">
      <c r="C44" t="s">
        <v>2453</v>
      </c>
      <c r="E44">
        <v>373</v>
      </c>
      <c r="F44">
        <f>IF(F43&lt;&gt;0,F42/F43*360,0)</f>
        <v>0</v>
      </c>
      <c r="G44">
        <f>IF(G43&lt;&gt;0,G42/G43*360,0)</f>
        <v>0</v>
      </c>
      <c r="H44">
        <f>IF(H43&lt;&gt;0,H42/H43*360,0)</f>
        <v>0</v>
      </c>
      <c r="I44">
        <f t="shared" si="3"/>
        <v>0</v>
      </c>
      <c r="J44">
        <f>IF(J43&lt;&gt;0,J42/J43*360,0)</f>
        <v>0</v>
      </c>
      <c r="K44">
        <f>IF(K43&lt;&gt;0,K42/K43*360,0)</f>
        <v>0</v>
      </c>
      <c r="L44">
        <f t="shared" si="4"/>
        <v>0</v>
      </c>
      <c r="N44">
        <f>4</f>
        <v>4</v>
      </c>
      <c r="O44">
        <f>3</f>
        <v>3</v>
      </c>
      <c r="P44">
        <f>2</f>
        <v>2</v>
      </c>
      <c r="Q44">
        <f>1</f>
        <v>1</v>
      </c>
      <c r="CB44">
        <f t="shared" ref="CB44:CH44" si="5">IF(CB43&lt;&gt;0,CB42/CB43*360,0)</f>
        <v>0</v>
      </c>
      <c r="CC44">
        <f t="shared" si="5"/>
        <v>0</v>
      </c>
      <c r="CD44">
        <f t="shared" si="5"/>
        <v>0</v>
      </c>
      <c r="CE44">
        <f t="shared" si="5"/>
        <v>0</v>
      </c>
      <c r="CF44">
        <f t="shared" si="5"/>
        <v>0</v>
      </c>
      <c r="CG44">
        <f t="shared" si="5"/>
        <v>0</v>
      </c>
      <c r="CH44">
        <f t="shared" si="5"/>
        <v>0</v>
      </c>
    </row>
    <row r="45" spans="2:86" x14ac:dyDescent="0.2">
      <c r="C45" t="s">
        <v>2455</v>
      </c>
      <c r="E45">
        <v>374</v>
      </c>
      <c r="F45">
        <f>IF(F44&gt;=0,4,IF(F44&gt;=-7,3,IF(F44&gt;=-14,2,1)))</f>
        <v>4</v>
      </c>
      <c r="G45">
        <f>IF(G44&gt;=0,4,IF(G44&gt;=-7,3,IF(G44&gt;=-14,2,1)))</f>
        <v>4</v>
      </c>
      <c r="H45">
        <f>IF(H44&gt;=0,4,IF(H44&gt;=-7,3,IF(H44&gt;=-14,2,1)))</f>
        <v>4</v>
      </c>
      <c r="I45">
        <f t="shared" si="3"/>
        <v>0</v>
      </c>
      <c r="J45">
        <f>IF(J44&gt;=0,4,IF(J44&gt;=-7,3,IF(J44&gt;=-14,2,1)))</f>
        <v>4</v>
      </c>
      <c r="K45">
        <f>IF(K44&gt;=0,4,IF(K44&gt;=-7,3,IF(K44&gt;=-14,2,1)))</f>
        <v>4</v>
      </c>
      <c r="L45">
        <f t="shared" si="4"/>
        <v>0</v>
      </c>
      <c r="N45">
        <f>0</f>
        <v>0</v>
      </c>
      <c r="O45">
        <f>-7</f>
        <v>-7</v>
      </c>
      <c r="P45">
        <f>-14</f>
        <v>-14</v>
      </c>
      <c r="Q45" t="s">
        <v>2459</v>
      </c>
      <c r="CB45">
        <f t="shared" ref="CB45:CH45" si="6">IF(CB44&gt;=0,4,IF(CB44&gt;=-7,3,IF(CB44&gt;=-14,2,1)))</f>
        <v>4</v>
      </c>
      <c r="CC45">
        <f t="shared" si="6"/>
        <v>4</v>
      </c>
      <c r="CD45">
        <f t="shared" si="6"/>
        <v>4</v>
      </c>
      <c r="CE45">
        <f t="shared" si="6"/>
        <v>4</v>
      </c>
      <c r="CF45">
        <f t="shared" si="6"/>
        <v>4</v>
      </c>
      <c r="CG45">
        <f t="shared" si="6"/>
        <v>4</v>
      </c>
      <c r="CH45">
        <f t="shared" si="6"/>
        <v>4</v>
      </c>
    </row>
    <row r="46" spans="2:86" x14ac:dyDescent="0.2">
      <c r="B46" t="s">
        <v>2183</v>
      </c>
      <c r="C46" t="s">
        <v>2458</v>
      </c>
      <c r="E46">
        <v>375</v>
      </c>
      <c r="I46">
        <f t="shared" si="3"/>
        <v>0</v>
      </c>
      <c r="L46">
        <f t="shared" si="4"/>
        <v>0</v>
      </c>
    </row>
    <row r="47" spans="2:86" x14ac:dyDescent="0.2">
      <c r="C47" t="s">
        <v>2460</v>
      </c>
      <c r="E47">
        <v>376</v>
      </c>
      <c r="I47">
        <f t="shared" si="3"/>
        <v>0</v>
      </c>
      <c r="L47">
        <f t="shared" si="4"/>
        <v>0</v>
      </c>
      <c r="N47" t="s">
        <v>3084</v>
      </c>
      <c r="Q47">
        <f>50</f>
        <v>50</v>
      </c>
      <c r="R47" t="s">
        <v>912</v>
      </c>
    </row>
    <row r="48" spans="2:86" x14ac:dyDescent="0.2">
      <c r="C48" t="s">
        <v>2183</v>
      </c>
      <c r="E48">
        <v>377</v>
      </c>
      <c r="F48">
        <f>IF(F47=0,0,F46/F47)</f>
        <v>0</v>
      </c>
      <c r="G48">
        <f>IF(G47=0,0,G46/G47)</f>
        <v>0</v>
      </c>
      <c r="H48">
        <f>IF(H47=0,0,H46/H47)</f>
        <v>0</v>
      </c>
      <c r="I48">
        <f t="shared" si="3"/>
        <v>0</v>
      </c>
      <c r="J48">
        <f>IF(J47=0,0,J46/J47)</f>
        <v>0</v>
      </c>
      <c r="K48">
        <f>IF(K47=0,0,K46/K47)</f>
        <v>0</v>
      </c>
      <c r="L48">
        <f t="shared" si="4"/>
        <v>0</v>
      </c>
      <c r="N48">
        <f>4</f>
        <v>4</v>
      </c>
      <c r="O48">
        <f>3</f>
        <v>3</v>
      </c>
      <c r="P48">
        <f>2</f>
        <v>2</v>
      </c>
      <c r="Q48">
        <f>1</f>
        <v>1</v>
      </c>
    </row>
    <row r="49" spans="2:86" x14ac:dyDescent="0.2">
      <c r="C49" t="s">
        <v>2462</v>
      </c>
      <c r="E49">
        <v>378</v>
      </c>
      <c r="F49">
        <f>IF(F47=0,4,IF(F48&gt;=2.5,4,IF(F48&gt;=1.75,3,IF(F48&gt;=1.25,2,1))))</f>
        <v>4</v>
      </c>
      <c r="G49">
        <f>IF(G47=0,4,IF(G48&gt;=2.5,4,IF(G48&gt;=1.75,3,IF(G48&gt;=1.25,2,1))))</f>
        <v>4</v>
      </c>
      <c r="H49">
        <f>IF(H47=0,4,IF(H48&gt;=2.5,4,IF(H48&gt;=1.75,3,IF(H48&gt;=1.25,2,1))))</f>
        <v>4</v>
      </c>
      <c r="I49">
        <f t="shared" si="3"/>
        <v>0</v>
      </c>
      <c r="J49">
        <f>IF(J47=0,4,IF(J48&gt;=2.5,4,IF(J48&gt;=1.75,3,IF(J48&gt;=1.25,2,1))))</f>
        <v>4</v>
      </c>
      <c r="K49">
        <f>IF(K47=0,4,IF(K48&gt;=2.5,4,IF(K48&gt;=1.75,3,IF(K48&gt;=1.25,2,1))))</f>
        <v>4</v>
      </c>
      <c r="L49">
        <f t="shared" si="4"/>
        <v>0</v>
      </c>
      <c r="N49">
        <f>2.5</f>
        <v>2.5</v>
      </c>
      <c r="O49">
        <f>1.75</f>
        <v>1.75</v>
      </c>
      <c r="P49">
        <f>1.25</f>
        <v>1.25</v>
      </c>
      <c r="Q49" t="s">
        <v>2464</v>
      </c>
    </row>
    <row r="50" spans="2:86" x14ac:dyDescent="0.2">
      <c r="B50" t="s">
        <v>3085</v>
      </c>
      <c r="C50" t="s">
        <v>2463</v>
      </c>
      <c r="E50">
        <v>379</v>
      </c>
      <c r="F50">
        <f>(F45+F49)/2</f>
        <v>4</v>
      </c>
      <c r="G50">
        <f>(G45+G49)/2</f>
        <v>4</v>
      </c>
      <c r="H50">
        <f>(H45+H49)/2</f>
        <v>4</v>
      </c>
      <c r="I50">
        <f t="shared" si="3"/>
        <v>0</v>
      </c>
      <c r="K50">
        <f>(K45+K49)/2</f>
        <v>4</v>
      </c>
      <c r="L50">
        <f t="shared" si="4"/>
        <v>4</v>
      </c>
      <c r="CB50">
        <f t="shared" ref="CB50:CH50" si="7">(CB45+CB49)/2</f>
        <v>2</v>
      </c>
      <c r="CC50">
        <f t="shared" si="7"/>
        <v>2</v>
      </c>
      <c r="CD50">
        <f t="shared" si="7"/>
        <v>2</v>
      </c>
      <c r="CE50">
        <f t="shared" si="7"/>
        <v>2</v>
      </c>
      <c r="CF50">
        <f t="shared" si="7"/>
        <v>2</v>
      </c>
      <c r="CG50">
        <f t="shared" si="7"/>
        <v>2</v>
      </c>
      <c r="CH50">
        <f t="shared" si="7"/>
        <v>2</v>
      </c>
    </row>
    <row r="52" spans="2:86" x14ac:dyDescent="0.2">
      <c r="C52" t="s">
        <v>3086</v>
      </c>
      <c r="D52" t="s">
        <v>3087</v>
      </c>
      <c r="F52" t="s">
        <v>2036</v>
      </c>
      <c r="G52" t="s">
        <v>2037</v>
      </c>
      <c r="H52" t="s">
        <v>2038</v>
      </c>
      <c r="I52" t="s">
        <v>2039</v>
      </c>
      <c r="J52" t="s">
        <v>2040</v>
      </c>
      <c r="K52" t="s">
        <v>2041</v>
      </c>
      <c r="L52" t="s">
        <v>2042</v>
      </c>
    </row>
    <row r="53" spans="2:86" x14ac:dyDescent="0.2">
      <c r="C53">
        <v>3</v>
      </c>
      <c r="D53" t="s">
        <v>3088</v>
      </c>
      <c r="H53" t="str">
        <f>IF(E53="No",3,"")</f>
        <v/>
      </c>
      <c r="K53" t="str">
        <f>IF(E53="No",3,"")</f>
        <v/>
      </c>
    </row>
    <row r="54" spans="2:86" x14ac:dyDescent="0.2">
      <c r="C54">
        <v>3</v>
      </c>
      <c r="D54" t="s">
        <v>3089</v>
      </c>
      <c r="H54" t="str">
        <f>IF(E54="No",3,"")</f>
        <v/>
      </c>
      <c r="K54" t="str">
        <f>IF(E54="No",3,"")</f>
        <v/>
      </c>
    </row>
    <row r="55" spans="2:86" x14ac:dyDescent="0.2">
      <c r="B55" t="s">
        <v>3090</v>
      </c>
      <c r="C55">
        <v>2</v>
      </c>
      <c r="D55" t="s">
        <v>3091</v>
      </c>
      <c r="H55" t="str">
        <f>IF(E55="No",2,"")</f>
        <v/>
      </c>
      <c r="K55" t="str">
        <f>IF(E55="No",2,"")</f>
        <v/>
      </c>
    </row>
    <row r="56" spans="2:86" x14ac:dyDescent="0.2">
      <c r="C56">
        <v>2</v>
      </c>
      <c r="D56" t="s">
        <v>3092</v>
      </c>
      <c r="F56" t="e">
        <f>IF(F87&lt;2,2,"")</f>
        <v>#DIV/0!</v>
      </c>
      <c r="G56" t="e">
        <f>IF(G87&lt;2,2,"")</f>
        <v>#DIV/0!</v>
      </c>
      <c r="H56" t="e">
        <f>IF(H87&lt;2,2,"")</f>
        <v>#DIV/0!</v>
      </c>
      <c r="J56">
        <f>IF(J87&lt;2,2,"")</f>
        <v>2</v>
      </c>
      <c r="K56" t="e">
        <f>IF(K87&lt;2,2,"")</f>
        <v>#DIV/0!</v>
      </c>
    </row>
    <row r="57" spans="2:86" x14ac:dyDescent="0.2">
      <c r="C57">
        <v>3</v>
      </c>
      <c r="D57" t="s">
        <v>3093</v>
      </c>
      <c r="F57" t="str">
        <f>IF(F91=1,3,"")</f>
        <v/>
      </c>
      <c r="G57" t="str">
        <f>IF(G91=1,3,"")</f>
        <v/>
      </c>
      <c r="H57" t="str">
        <f>IF(H91=1,3,"")</f>
        <v/>
      </c>
      <c r="J57" t="str">
        <f>IF(J91=1,3,"")</f>
        <v/>
      </c>
      <c r="K57" t="str">
        <f>IF(K91=1,3,"")</f>
        <v/>
      </c>
    </row>
    <row r="58" spans="2:86" x14ac:dyDescent="0.2">
      <c r="C58">
        <v>2</v>
      </c>
      <c r="D58" t="s">
        <v>3094</v>
      </c>
      <c r="F58">
        <f>IF(F91&gt;=2,2,"")</f>
        <v>2</v>
      </c>
      <c r="G58">
        <f>IF(G91&gt;=2,2,"")</f>
        <v>2</v>
      </c>
      <c r="H58">
        <f>IF(H91&gt;=2,2,"")</f>
        <v>2</v>
      </c>
      <c r="J58">
        <f>IF(J91&gt;=2,2,"")</f>
        <v>2</v>
      </c>
      <c r="K58">
        <f>IF(K91&gt;=2,2,"")</f>
        <v>2</v>
      </c>
    </row>
    <row r="59" spans="2:86" x14ac:dyDescent="0.2">
      <c r="C59">
        <v>1</v>
      </c>
      <c r="D59" t="s">
        <v>3095</v>
      </c>
      <c r="F59">
        <f>IF(F89&gt;=2,1,"")</f>
        <v>1</v>
      </c>
      <c r="G59">
        <f>IF(G89&gt;=2,1,"")</f>
        <v>1</v>
      </c>
      <c r="H59">
        <f>IF(H89&gt;=2,1,"")</f>
        <v>1</v>
      </c>
      <c r="J59">
        <f>IF(J89&gt;=2,1,"")</f>
        <v>1</v>
      </c>
      <c r="K59">
        <f>IF(K89&gt;=2,1,"")</f>
        <v>1</v>
      </c>
    </row>
    <row r="61" spans="2:86" x14ac:dyDescent="0.2">
      <c r="B61" t="s">
        <v>3096</v>
      </c>
      <c r="I61" t="s">
        <v>238</v>
      </c>
      <c r="J61" t="s">
        <v>3097</v>
      </c>
      <c r="T61" t="s">
        <v>1229</v>
      </c>
      <c r="U61">
        <f>0</f>
        <v>0</v>
      </c>
    </row>
    <row r="62" spans="2:86" x14ac:dyDescent="0.2">
      <c r="I62" t="s">
        <v>242</v>
      </c>
      <c r="T62">
        <f>SUM(T63:T77)</f>
        <v>11</v>
      </c>
    </row>
    <row r="63" spans="2:86" x14ac:dyDescent="0.2">
      <c r="B63" t="s">
        <v>3098</v>
      </c>
    </row>
    <row r="65" spans="2:20" x14ac:dyDescent="0.2">
      <c r="B65" t="s">
        <v>3099</v>
      </c>
      <c r="I65">
        <v>380</v>
      </c>
      <c r="T65">
        <f t="shared" ref="T65:T71" si="8">IF(ISBLANK(J65),1,0)</f>
        <v>1</v>
      </c>
    </row>
    <row r="66" spans="2:20" x14ac:dyDescent="0.2">
      <c r="B66" t="s">
        <v>3100</v>
      </c>
      <c r="I66">
        <v>390</v>
      </c>
      <c r="T66">
        <f t="shared" si="8"/>
        <v>1</v>
      </c>
    </row>
    <row r="67" spans="2:20" x14ac:dyDescent="0.2">
      <c r="B67" t="s">
        <v>3101</v>
      </c>
      <c r="I67">
        <v>420</v>
      </c>
      <c r="T67">
        <f t="shared" si="8"/>
        <v>1</v>
      </c>
    </row>
    <row r="68" spans="2:20" x14ac:dyDescent="0.2">
      <c r="B68" t="s">
        <v>3102</v>
      </c>
      <c r="I68">
        <v>430</v>
      </c>
      <c r="T68">
        <f t="shared" si="8"/>
        <v>1</v>
      </c>
    </row>
    <row r="69" spans="2:20" x14ac:dyDescent="0.2">
      <c r="B69" t="s">
        <v>3103</v>
      </c>
      <c r="I69">
        <v>440</v>
      </c>
      <c r="T69">
        <f t="shared" si="8"/>
        <v>1</v>
      </c>
    </row>
    <row r="70" spans="2:20" x14ac:dyDescent="0.2">
      <c r="B70" t="s">
        <v>3104</v>
      </c>
      <c r="I70">
        <v>450</v>
      </c>
      <c r="T70">
        <f t="shared" si="8"/>
        <v>1</v>
      </c>
    </row>
    <row r="71" spans="2:20" x14ac:dyDescent="0.2">
      <c r="B71" t="s">
        <v>3105</v>
      </c>
      <c r="I71">
        <v>460</v>
      </c>
      <c r="T71">
        <f t="shared" si="8"/>
        <v>1</v>
      </c>
    </row>
    <row r="72" spans="2:20" x14ac:dyDescent="0.2">
      <c r="B72" t="s">
        <v>3106</v>
      </c>
      <c r="J72" t="s">
        <v>3097</v>
      </c>
    </row>
    <row r="74" spans="2:20" x14ac:dyDescent="0.2">
      <c r="B74" t="s">
        <v>3107</v>
      </c>
      <c r="I74">
        <v>470</v>
      </c>
      <c r="T74">
        <f>IF(ISBLANK(J74),1,0)</f>
        <v>1</v>
      </c>
    </row>
    <row r="75" spans="2:20" x14ac:dyDescent="0.2">
      <c r="B75" t="s">
        <v>3108</v>
      </c>
      <c r="I75">
        <v>480</v>
      </c>
      <c r="T75">
        <f>IF(ISBLANK(J75),1,0)</f>
        <v>1</v>
      </c>
    </row>
    <row r="76" spans="2:20" x14ac:dyDescent="0.2">
      <c r="B76" t="s">
        <v>3109</v>
      </c>
      <c r="I76">
        <v>490</v>
      </c>
      <c r="T76">
        <f>IF(ISBLANK(J76),1,0)</f>
        <v>1</v>
      </c>
    </row>
    <row r="77" spans="2:20" x14ac:dyDescent="0.2">
      <c r="B77" t="s">
        <v>3110</v>
      </c>
      <c r="I77">
        <v>500</v>
      </c>
      <c r="T77">
        <f>IF(ISBLANK(J77),1,0)</f>
        <v>1</v>
      </c>
    </row>
    <row r="81" spans="4:11" x14ac:dyDescent="0.2">
      <c r="D81" t="s">
        <v>3111</v>
      </c>
    </row>
    <row r="82" spans="4:11" x14ac:dyDescent="0.2">
      <c r="D82" t="s">
        <v>3112</v>
      </c>
    </row>
    <row r="83" spans="4:11" x14ac:dyDescent="0.2">
      <c r="D83" t="s">
        <v>3113</v>
      </c>
      <c r="F83">
        <f>F15</f>
        <v>1</v>
      </c>
      <c r="G83">
        <f>G15</f>
        <v>1</v>
      </c>
      <c r="H83">
        <f>H15</f>
        <v>1</v>
      </c>
      <c r="J83">
        <f>J15</f>
        <v>1</v>
      </c>
      <c r="K83">
        <f>K15</f>
        <v>1</v>
      </c>
    </row>
    <row r="84" spans="4:11" x14ac:dyDescent="0.2">
      <c r="D84" t="s">
        <v>3114</v>
      </c>
      <c r="F84">
        <f>F19</f>
        <v>1</v>
      </c>
      <c r="G84">
        <f>G19</f>
        <v>1</v>
      </c>
      <c r="H84">
        <f>H19</f>
        <v>1</v>
      </c>
      <c r="J84">
        <f>J19</f>
        <v>1</v>
      </c>
      <c r="K84">
        <f>K19</f>
        <v>1</v>
      </c>
    </row>
    <row r="85" spans="4:11" x14ac:dyDescent="0.2">
      <c r="D85" t="s">
        <v>2067</v>
      </c>
      <c r="F85" t="e">
        <f>F31</f>
        <v>#DIV/0!</v>
      </c>
      <c r="G85" t="e">
        <f>G31</f>
        <v>#DIV/0!</v>
      </c>
      <c r="H85" t="e">
        <f>H31</f>
        <v>#DIV/0!</v>
      </c>
      <c r="J85">
        <f>J31</f>
        <v>0</v>
      </c>
      <c r="K85" t="e">
        <f>K31</f>
        <v>#DIV/0!</v>
      </c>
    </row>
    <row r="86" spans="4:11" x14ac:dyDescent="0.2">
      <c r="D86" t="s">
        <v>3115</v>
      </c>
      <c r="F86">
        <f>F37</f>
        <v>1</v>
      </c>
      <c r="G86">
        <f>G37</f>
        <v>1</v>
      </c>
      <c r="H86">
        <f>H37</f>
        <v>1</v>
      </c>
      <c r="J86">
        <f>J37</f>
        <v>0</v>
      </c>
      <c r="K86">
        <f>K37</f>
        <v>1</v>
      </c>
    </row>
    <row r="87" spans="4:11" x14ac:dyDescent="0.2">
      <c r="D87" t="s">
        <v>3116</v>
      </c>
      <c r="F87" t="e">
        <f>MIN(F83:F86)</f>
        <v>#DIV/0!</v>
      </c>
      <c r="G87" t="e">
        <f>MIN(G83:G86)</f>
        <v>#DIV/0!</v>
      </c>
      <c r="H87" t="e">
        <f>MIN(H83:H86)</f>
        <v>#DIV/0!</v>
      </c>
      <c r="J87">
        <f>MIN(J83:J86)</f>
        <v>0</v>
      </c>
      <c r="K87" t="e">
        <f>MIN(K83:K86)</f>
        <v>#DIV/0!</v>
      </c>
    </row>
    <row r="88" spans="4:11" x14ac:dyDescent="0.2">
      <c r="D88" t="s">
        <v>3117</v>
      </c>
    </row>
    <row r="89" spans="4:11" x14ac:dyDescent="0.2">
      <c r="D89" t="s">
        <v>3118</v>
      </c>
      <c r="F89">
        <f>COUNTIF(F83:F86,1)</f>
        <v>3</v>
      </c>
      <c r="G89">
        <f>COUNTIF(G83:G86,1)</f>
        <v>3</v>
      </c>
      <c r="H89">
        <f>COUNTIF(H83:H86,1)</f>
        <v>3</v>
      </c>
      <c r="J89">
        <f>COUNTIF(J83:J86,1)</f>
        <v>2</v>
      </c>
      <c r="K89">
        <f>COUNTIF(K83:K86,1)</f>
        <v>3</v>
      </c>
    </row>
    <row r="90" spans="4:11" x14ac:dyDescent="0.2">
      <c r="D90" t="s">
        <v>3119</v>
      </c>
      <c r="F90">
        <f>COUNTIF(F83:F86,2)</f>
        <v>0</v>
      </c>
      <c r="G90">
        <f>COUNTIF(G83:G86,2)</f>
        <v>0</v>
      </c>
      <c r="H90">
        <f>COUNTIF(H83:H86,2)</f>
        <v>0</v>
      </c>
      <c r="J90">
        <f>COUNTIF(J83:J86,2)</f>
        <v>0</v>
      </c>
      <c r="K90">
        <f>COUNTIF(K83:K86,2)</f>
        <v>0</v>
      </c>
    </row>
    <row r="91" spans="4:11" x14ac:dyDescent="0.2">
      <c r="F91">
        <f>SUM(F89:F90)</f>
        <v>3</v>
      </c>
      <c r="G91">
        <f>SUM(G89:G90)</f>
        <v>3</v>
      </c>
      <c r="H91">
        <f>SUM(H89:H90)</f>
        <v>3</v>
      </c>
      <c r="J91">
        <f>SUM(J89:J90)</f>
        <v>2</v>
      </c>
      <c r="K91">
        <f>SUM(K89:K90)</f>
        <v>3</v>
      </c>
    </row>
  </sheetData>
  <sheetProtection sheet="1" objects="1" scenarios="1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CG115"/>
  <sheetViews>
    <sheetView zoomScale="70" zoomScaleNormal="70" workbookViewId="0"/>
  </sheetViews>
  <sheetFormatPr defaultRowHeight="12.75" x14ac:dyDescent="0.2"/>
  <sheetData>
    <row r="1" spans="1:85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5" x14ac:dyDescent="0.2">
      <c r="A2" t="s">
        <v>3727</v>
      </c>
    </row>
    <row r="3" spans="1:85" x14ac:dyDescent="0.2">
      <c r="A3" t="s">
        <v>3783</v>
      </c>
    </row>
    <row r="5" spans="1:85" x14ac:dyDescent="0.2">
      <c r="B5" t="s">
        <v>2598</v>
      </c>
      <c r="CA5" t="s">
        <v>230</v>
      </c>
      <c r="CB5">
        <f>0</f>
        <v>0</v>
      </c>
    </row>
    <row r="6" spans="1:85" x14ac:dyDescent="0.2">
      <c r="CA6" t="s">
        <v>231</v>
      </c>
      <c r="CB6" t="s">
        <v>232</v>
      </c>
      <c r="CC6" t="s">
        <v>2599</v>
      </c>
      <c r="CF6" t="s">
        <v>3120</v>
      </c>
      <c r="CG6" t="s">
        <v>3121</v>
      </c>
    </row>
    <row r="7" spans="1:85" x14ac:dyDescent="0.2">
      <c r="B7" t="s">
        <v>3122</v>
      </c>
      <c r="C7" t="s">
        <v>238</v>
      </c>
      <c r="D7" t="s">
        <v>25</v>
      </c>
      <c r="E7" t="s">
        <v>1250</v>
      </c>
      <c r="H7" t="s">
        <v>2605</v>
      </c>
      <c r="K7" t="s">
        <v>3123</v>
      </c>
      <c r="CA7">
        <f>SUM(CA8:CA115)</f>
        <v>0</v>
      </c>
      <c r="CB7">
        <f>SUM(CB8:CB115)</f>
        <v>0</v>
      </c>
      <c r="CC7" t="s">
        <v>3124</v>
      </c>
      <c r="CG7">
        <f>SUM(CG8:CG115)</f>
        <v>0</v>
      </c>
    </row>
    <row r="8" spans="1:85" x14ac:dyDescent="0.2">
      <c r="B8" t="s">
        <v>3125</v>
      </c>
      <c r="C8" t="s">
        <v>242</v>
      </c>
      <c r="E8" t="s">
        <v>2606</v>
      </c>
      <c r="F8" t="s">
        <v>2607</v>
      </c>
      <c r="G8" t="s">
        <v>340</v>
      </c>
      <c r="H8" t="s">
        <v>2606</v>
      </c>
      <c r="I8" t="s">
        <v>2607</v>
      </c>
      <c r="J8" t="s">
        <v>340</v>
      </c>
      <c r="K8" t="s">
        <v>2606</v>
      </c>
      <c r="L8" t="s">
        <v>2607</v>
      </c>
      <c r="M8" t="s">
        <v>340</v>
      </c>
    </row>
    <row r="9" spans="1:85" x14ac:dyDescent="0.2">
      <c r="B9" t="s">
        <v>3126</v>
      </c>
      <c r="E9" t="s">
        <v>2036</v>
      </c>
      <c r="F9" t="s">
        <v>2037</v>
      </c>
      <c r="G9" t="s">
        <v>2038</v>
      </c>
      <c r="H9" t="s">
        <v>2039</v>
      </c>
      <c r="I9" t="s">
        <v>2040</v>
      </c>
      <c r="J9" t="s">
        <v>2041</v>
      </c>
      <c r="K9" t="s">
        <v>2042</v>
      </c>
      <c r="L9" t="s">
        <v>2043</v>
      </c>
      <c r="M9" t="s">
        <v>2044</v>
      </c>
      <c r="CD9" t="s">
        <v>3127</v>
      </c>
    </row>
    <row r="10" spans="1:85" x14ac:dyDescent="0.2">
      <c r="B10" t="s">
        <v>3128</v>
      </c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K10" t="s">
        <v>243</v>
      </c>
      <c r="L10" t="s">
        <v>243</v>
      </c>
      <c r="M10" t="s">
        <v>243</v>
      </c>
      <c r="CD10">
        <f>SUM(M66:M68)+M26*-1</f>
        <v>0</v>
      </c>
    </row>
    <row r="11" spans="1:85" x14ac:dyDescent="0.2">
      <c r="B11" t="s">
        <v>3129</v>
      </c>
      <c r="C11">
        <v>100</v>
      </c>
      <c r="D11" t="s">
        <v>248</v>
      </c>
      <c r="M11">
        <f>SUM(K11:L11)</f>
        <v>0</v>
      </c>
      <c r="CB11">
        <f>IF(OR(K11&lt;0,L11&lt;0),1,0)</f>
        <v>0</v>
      </c>
      <c r="CD11" t="s">
        <v>3130</v>
      </c>
    </row>
    <row r="12" spans="1:85" x14ac:dyDescent="0.2">
      <c r="B12" t="s">
        <v>3131</v>
      </c>
      <c r="CD12">
        <f>SUM(M55+M56+M57)*-1+M22</f>
        <v>0</v>
      </c>
    </row>
    <row r="13" spans="1:85" x14ac:dyDescent="0.2">
      <c r="B13" t="s">
        <v>3132</v>
      </c>
      <c r="C13">
        <v>110</v>
      </c>
      <c r="D13" t="s">
        <v>245</v>
      </c>
      <c r="M13">
        <f t="shared" ref="M13:M19" si="0">SUM(K13:L13)</f>
        <v>0</v>
      </c>
      <c r="CA13">
        <f>IF(L13&gt;0,1,0)</f>
        <v>0</v>
      </c>
      <c r="CD13" t="s">
        <v>3133</v>
      </c>
    </row>
    <row r="14" spans="1:85" x14ac:dyDescent="0.2">
      <c r="B14" t="s">
        <v>3134</v>
      </c>
      <c r="C14">
        <v>120</v>
      </c>
      <c r="D14" t="s">
        <v>245</v>
      </c>
      <c r="M14">
        <f t="shared" si="0"/>
        <v>0</v>
      </c>
      <c r="CA14">
        <f>IF(L14&gt;0,1,0)</f>
        <v>0</v>
      </c>
      <c r="CD14">
        <f>SUM(M35:M37)+SUM(M60+M61+M62)*-1</f>
        <v>0</v>
      </c>
    </row>
    <row r="15" spans="1:85" x14ac:dyDescent="0.2">
      <c r="B15" t="s">
        <v>2871</v>
      </c>
      <c r="C15">
        <v>130</v>
      </c>
      <c r="D15" t="s">
        <v>251</v>
      </c>
      <c r="M15">
        <f t="shared" si="0"/>
        <v>0</v>
      </c>
      <c r="CD15" t="s">
        <v>3135</v>
      </c>
    </row>
    <row r="16" spans="1:85" x14ac:dyDescent="0.2">
      <c r="B16" t="s">
        <v>3136</v>
      </c>
      <c r="C16">
        <v>140</v>
      </c>
      <c r="D16" t="s">
        <v>248</v>
      </c>
      <c r="M16">
        <f t="shared" si="0"/>
        <v>0</v>
      </c>
      <c r="CB16">
        <f>IF(L16&lt;0,1,0)</f>
        <v>0</v>
      </c>
    </row>
    <row r="17" spans="2:80" x14ac:dyDescent="0.2">
      <c r="B17" t="s">
        <v>2780</v>
      </c>
      <c r="C17">
        <v>150</v>
      </c>
      <c r="D17" t="s">
        <v>251</v>
      </c>
      <c r="M17">
        <f t="shared" si="0"/>
        <v>0</v>
      </c>
    </row>
    <row r="18" spans="2:80" x14ac:dyDescent="0.2">
      <c r="B18" t="s">
        <v>2782</v>
      </c>
      <c r="C18">
        <v>160</v>
      </c>
      <c r="D18" t="s">
        <v>248</v>
      </c>
      <c r="M18">
        <f t="shared" si="0"/>
        <v>0</v>
      </c>
      <c r="CB18">
        <f>IF(OR(K18&lt;0,L18&lt;0),1,0)</f>
        <v>0</v>
      </c>
    </row>
    <row r="19" spans="2:80" x14ac:dyDescent="0.2">
      <c r="B19" t="s">
        <v>3137</v>
      </c>
      <c r="C19">
        <v>170</v>
      </c>
      <c r="D19" t="s">
        <v>251</v>
      </c>
      <c r="M19">
        <f t="shared" si="0"/>
        <v>0</v>
      </c>
    </row>
    <row r="20" spans="2:80" x14ac:dyDescent="0.2">
      <c r="B20" t="s">
        <v>3138</v>
      </c>
      <c r="C20">
        <v>180</v>
      </c>
      <c r="D20" t="s">
        <v>248</v>
      </c>
      <c r="K20">
        <f>SUM(K11:K19)</f>
        <v>0</v>
      </c>
      <c r="L20">
        <f>SUM(L11:L19)</f>
        <v>0</v>
      </c>
      <c r="M20">
        <f>SUM(M11:M19)</f>
        <v>0</v>
      </c>
      <c r="CB20">
        <f>IF(OR(K20&lt;0,L20&lt;0),1,0)</f>
        <v>0</v>
      </c>
    </row>
    <row r="21" spans="2:80" x14ac:dyDescent="0.2">
      <c r="B21" t="s">
        <v>3139</v>
      </c>
    </row>
    <row r="22" spans="2:80" x14ac:dyDescent="0.2">
      <c r="B22" t="s">
        <v>3140</v>
      </c>
      <c r="C22">
        <v>190</v>
      </c>
      <c r="D22" t="s">
        <v>248</v>
      </c>
      <c r="M22">
        <f t="shared" ref="M22:M41" si="1">SUM(K22:L22)</f>
        <v>0</v>
      </c>
      <c r="CB22">
        <f>IF(OR(K22&lt;0,L22&lt;0),1,0)</f>
        <v>0</v>
      </c>
    </row>
    <row r="23" spans="2:80" x14ac:dyDescent="0.2">
      <c r="B23" t="s">
        <v>2626</v>
      </c>
      <c r="C23">
        <v>200</v>
      </c>
      <c r="D23" t="s">
        <v>245</v>
      </c>
      <c r="M23">
        <f t="shared" si="1"/>
        <v>0</v>
      </c>
      <c r="CA23">
        <f>IF(OR(K23&gt;0,L23&gt;0),1,0)</f>
        <v>0</v>
      </c>
    </row>
    <row r="24" spans="2:80" x14ac:dyDescent="0.2">
      <c r="B24" t="s">
        <v>2627</v>
      </c>
      <c r="C24">
        <v>210</v>
      </c>
      <c r="D24" t="s">
        <v>245</v>
      </c>
      <c r="M24">
        <f t="shared" si="1"/>
        <v>0</v>
      </c>
      <c r="CA24">
        <f>IF(OR(K24&gt;0,L24&gt;0),1,0)</f>
        <v>0</v>
      </c>
    </row>
    <row r="25" spans="2:80" x14ac:dyDescent="0.2">
      <c r="B25" t="s">
        <v>2630</v>
      </c>
      <c r="C25">
        <v>220</v>
      </c>
      <c r="D25" t="s">
        <v>248</v>
      </c>
      <c r="M25">
        <f t="shared" si="1"/>
        <v>0</v>
      </c>
      <c r="CB25">
        <f>IF(OR(K25&lt;0,L25&lt;0),1,0)</f>
        <v>0</v>
      </c>
    </row>
    <row r="26" spans="2:80" x14ac:dyDescent="0.2">
      <c r="B26" t="s">
        <v>2633</v>
      </c>
      <c r="C26">
        <v>230</v>
      </c>
      <c r="D26" t="s">
        <v>248</v>
      </c>
      <c r="M26">
        <f t="shared" si="1"/>
        <v>0</v>
      </c>
      <c r="CB26">
        <f>IF(OR(K26&lt;0,L26&lt;0),1,0)</f>
        <v>0</v>
      </c>
    </row>
    <row r="27" spans="2:80" x14ac:dyDescent="0.2">
      <c r="B27" t="s">
        <v>2806</v>
      </c>
      <c r="C27">
        <v>240</v>
      </c>
      <c r="D27" t="s">
        <v>251</v>
      </c>
      <c r="M27">
        <f t="shared" si="1"/>
        <v>0</v>
      </c>
    </row>
    <row r="28" spans="2:80" x14ac:dyDescent="0.2">
      <c r="B28" t="s">
        <v>3141</v>
      </c>
      <c r="C28">
        <v>250</v>
      </c>
      <c r="D28" t="s">
        <v>251</v>
      </c>
      <c r="M28">
        <f t="shared" si="1"/>
        <v>0</v>
      </c>
    </row>
    <row r="29" spans="2:80" x14ac:dyDescent="0.2">
      <c r="B29" t="s">
        <v>3142</v>
      </c>
      <c r="C29">
        <v>260</v>
      </c>
      <c r="D29" t="s">
        <v>251</v>
      </c>
      <c r="M29">
        <f t="shared" si="1"/>
        <v>0</v>
      </c>
    </row>
    <row r="30" spans="2:80" x14ac:dyDescent="0.2">
      <c r="B30" t="s">
        <v>3143</v>
      </c>
      <c r="C30">
        <v>270</v>
      </c>
      <c r="D30" t="s">
        <v>251</v>
      </c>
      <c r="M30">
        <f t="shared" si="1"/>
        <v>0</v>
      </c>
    </row>
    <row r="31" spans="2:80" x14ac:dyDescent="0.2">
      <c r="B31" t="s">
        <v>3144</v>
      </c>
      <c r="C31">
        <v>280</v>
      </c>
      <c r="D31" t="s">
        <v>251</v>
      </c>
      <c r="M31">
        <f t="shared" si="1"/>
        <v>0</v>
      </c>
    </row>
    <row r="32" spans="2:80" x14ac:dyDescent="0.2">
      <c r="B32" t="s">
        <v>3145</v>
      </c>
      <c r="C32">
        <v>290</v>
      </c>
      <c r="D32" t="s">
        <v>251</v>
      </c>
      <c r="M32">
        <f t="shared" si="1"/>
        <v>0</v>
      </c>
    </row>
    <row r="33" spans="2:80" x14ac:dyDescent="0.2">
      <c r="B33" t="s">
        <v>3146</v>
      </c>
      <c r="C33">
        <v>300</v>
      </c>
      <c r="D33" t="s">
        <v>251</v>
      </c>
      <c r="M33">
        <f t="shared" si="1"/>
        <v>0</v>
      </c>
    </row>
    <row r="34" spans="2:80" x14ac:dyDescent="0.2">
      <c r="B34" t="s">
        <v>3147</v>
      </c>
      <c r="C34">
        <v>310</v>
      </c>
      <c r="D34" t="s">
        <v>251</v>
      </c>
      <c r="M34">
        <f t="shared" si="1"/>
        <v>0</v>
      </c>
    </row>
    <row r="35" spans="2:80" x14ac:dyDescent="0.2">
      <c r="B35" t="s">
        <v>3148</v>
      </c>
      <c r="C35">
        <v>320</v>
      </c>
      <c r="D35" t="s">
        <v>251</v>
      </c>
      <c r="M35">
        <f t="shared" si="1"/>
        <v>0</v>
      </c>
    </row>
    <row r="36" spans="2:80" x14ac:dyDescent="0.2">
      <c r="B36" t="s">
        <v>3149</v>
      </c>
      <c r="C36">
        <v>330</v>
      </c>
      <c r="D36" t="s">
        <v>251</v>
      </c>
      <c r="M36">
        <f t="shared" si="1"/>
        <v>0</v>
      </c>
    </row>
    <row r="37" spans="2:80" x14ac:dyDescent="0.2">
      <c r="B37" t="s">
        <v>3150</v>
      </c>
      <c r="C37">
        <v>340</v>
      </c>
      <c r="D37" t="s">
        <v>251</v>
      </c>
      <c r="M37">
        <f t="shared" si="1"/>
        <v>0</v>
      </c>
    </row>
    <row r="38" spans="2:80" x14ac:dyDescent="0.2">
      <c r="B38" t="s">
        <v>3134</v>
      </c>
      <c r="C38">
        <v>350</v>
      </c>
      <c r="D38" t="s">
        <v>248</v>
      </c>
      <c r="M38">
        <f t="shared" si="1"/>
        <v>0</v>
      </c>
      <c r="CB38">
        <f>IF(OR(K38&lt;0,L38&lt;0),1,0)</f>
        <v>0</v>
      </c>
    </row>
    <row r="39" spans="2:80" x14ac:dyDescent="0.2">
      <c r="B39" t="s">
        <v>2871</v>
      </c>
      <c r="C39">
        <v>360</v>
      </c>
      <c r="D39" t="s">
        <v>251</v>
      </c>
      <c r="M39">
        <f t="shared" si="1"/>
        <v>0</v>
      </c>
    </row>
    <row r="40" spans="2:80" x14ac:dyDescent="0.2">
      <c r="B40" t="s">
        <v>2821</v>
      </c>
      <c r="C40">
        <v>370</v>
      </c>
      <c r="D40" t="s">
        <v>251</v>
      </c>
      <c r="M40">
        <f t="shared" si="1"/>
        <v>0</v>
      </c>
    </row>
    <row r="41" spans="2:80" x14ac:dyDescent="0.2">
      <c r="B41" t="s">
        <v>3151</v>
      </c>
      <c r="C41">
        <v>380</v>
      </c>
      <c r="D41" t="s">
        <v>251</v>
      </c>
      <c r="M41">
        <f t="shared" si="1"/>
        <v>0</v>
      </c>
    </row>
    <row r="42" spans="2:80" x14ac:dyDescent="0.2">
      <c r="B42" t="s">
        <v>3152</v>
      </c>
      <c r="C42">
        <v>390</v>
      </c>
      <c r="D42" t="s">
        <v>251</v>
      </c>
      <c r="K42">
        <f>SUM(K22:K41)</f>
        <v>0</v>
      </c>
      <c r="L42">
        <f>SUM(L22:L41)</f>
        <v>0</v>
      </c>
      <c r="M42">
        <f>K42+L42</f>
        <v>0</v>
      </c>
    </row>
    <row r="43" spans="2:80" x14ac:dyDescent="0.2">
      <c r="B43" t="s">
        <v>3153</v>
      </c>
      <c r="C43">
        <v>400</v>
      </c>
      <c r="D43" t="s">
        <v>248</v>
      </c>
      <c r="K43">
        <f>K42+K20</f>
        <v>0</v>
      </c>
      <c r="L43">
        <f>L42+L20</f>
        <v>0</v>
      </c>
      <c r="M43">
        <f>K43+L43</f>
        <v>0</v>
      </c>
    </row>
    <row r="45" spans="2:80" x14ac:dyDescent="0.2">
      <c r="B45" t="s">
        <v>3154</v>
      </c>
      <c r="C45">
        <v>410</v>
      </c>
      <c r="D45" t="s">
        <v>248</v>
      </c>
      <c r="G45">
        <f>SUM(E45:F45)</f>
        <v>0</v>
      </c>
      <c r="J45">
        <f>SUM(H45:I45)</f>
        <v>0</v>
      </c>
      <c r="K45">
        <f>E45+H45</f>
        <v>0</v>
      </c>
      <c r="L45">
        <f>F45+I45</f>
        <v>0</v>
      </c>
      <c r="M45">
        <f>SUM(K45:L45)</f>
        <v>0</v>
      </c>
      <c r="CB45">
        <f>IF(OR(E45&lt;0,H45&lt;0),1,0)</f>
        <v>0</v>
      </c>
    </row>
    <row r="46" spans="2:80" x14ac:dyDescent="0.2">
      <c r="B46" t="s">
        <v>3155</v>
      </c>
    </row>
    <row r="47" spans="2:80" x14ac:dyDescent="0.2">
      <c r="B47" t="s">
        <v>2675</v>
      </c>
      <c r="C47">
        <v>420</v>
      </c>
      <c r="D47" t="s">
        <v>245</v>
      </c>
      <c r="G47">
        <f t="shared" ref="G47:G52" si="2">SUM(E47:F47)</f>
        <v>0</v>
      </c>
      <c r="J47">
        <f t="shared" ref="J47:J52" si="3">SUM(H47:I47)</f>
        <v>0</v>
      </c>
      <c r="K47">
        <f t="shared" ref="K47:L52" si="4">E47+H47</f>
        <v>0</v>
      </c>
      <c r="L47">
        <f t="shared" si="4"/>
        <v>0</v>
      </c>
      <c r="M47">
        <f t="shared" ref="M47:M52" si="5">SUM(K47:L47)</f>
        <v>0</v>
      </c>
      <c r="CA47">
        <f>IF(OR(E47&gt;0,F47&gt;0,H47&gt;0,I47&gt;0,,K47&gt;0,L47&gt;0),1,0)</f>
        <v>0</v>
      </c>
    </row>
    <row r="48" spans="2:80" x14ac:dyDescent="0.2">
      <c r="B48" t="s">
        <v>2677</v>
      </c>
      <c r="C48">
        <v>430</v>
      </c>
      <c r="D48" t="s">
        <v>248</v>
      </c>
      <c r="G48">
        <f t="shared" si="2"/>
        <v>0</v>
      </c>
      <c r="J48">
        <f t="shared" si="3"/>
        <v>0</v>
      </c>
      <c r="K48">
        <f t="shared" si="4"/>
        <v>0</v>
      </c>
      <c r="L48">
        <f t="shared" si="4"/>
        <v>0</v>
      </c>
      <c r="M48">
        <f t="shared" si="5"/>
        <v>0</v>
      </c>
      <c r="CB48">
        <f>IF(OR(K48&lt;0,L48&lt;0,E48&lt;0,F48&lt;0,H48&lt;0,I48&lt;0),1,0)</f>
        <v>0</v>
      </c>
    </row>
    <row r="49" spans="2:80" x14ac:dyDescent="0.2">
      <c r="B49" t="s">
        <v>2780</v>
      </c>
      <c r="C49">
        <v>440</v>
      </c>
      <c r="D49" t="s">
        <v>251</v>
      </c>
      <c r="G49">
        <f t="shared" si="2"/>
        <v>0</v>
      </c>
      <c r="J49">
        <f t="shared" si="3"/>
        <v>0</v>
      </c>
      <c r="K49">
        <f t="shared" si="4"/>
        <v>0</v>
      </c>
      <c r="L49">
        <f t="shared" si="4"/>
        <v>0</v>
      </c>
      <c r="M49">
        <f t="shared" si="5"/>
        <v>0</v>
      </c>
    </row>
    <row r="50" spans="2:80" x14ac:dyDescent="0.2">
      <c r="B50" t="s">
        <v>2782</v>
      </c>
      <c r="C50">
        <v>450</v>
      </c>
      <c r="D50" t="s">
        <v>248</v>
      </c>
      <c r="G50">
        <f t="shared" si="2"/>
        <v>0</v>
      </c>
      <c r="J50">
        <f t="shared" si="3"/>
        <v>0</v>
      </c>
      <c r="K50">
        <f t="shared" si="4"/>
        <v>0</v>
      </c>
      <c r="L50">
        <f t="shared" si="4"/>
        <v>0</v>
      </c>
      <c r="M50">
        <f t="shared" si="5"/>
        <v>0</v>
      </c>
      <c r="CB50">
        <f>IF(OR(K50&lt;0,L50&lt;0,E50&lt;0,F50&lt;0,H50&lt;0,I50&lt;0),1,0)</f>
        <v>0</v>
      </c>
    </row>
    <row r="51" spans="2:80" x14ac:dyDescent="0.2">
      <c r="B51" t="s">
        <v>2681</v>
      </c>
      <c r="C51">
        <v>460</v>
      </c>
      <c r="D51" t="s">
        <v>245</v>
      </c>
      <c r="G51">
        <f t="shared" si="2"/>
        <v>0</v>
      </c>
      <c r="J51">
        <f t="shared" si="3"/>
        <v>0</v>
      </c>
      <c r="K51">
        <f t="shared" si="4"/>
        <v>0</v>
      </c>
      <c r="L51">
        <f t="shared" si="4"/>
        <v>0</v>
      </c>
      <c r="M51">
        <f t="shared" si="5"/>
        <v>0</v>
      </c>
      <c r="CA51">
        <f>IF(OR(E51&gt;0,F51&gt;0,H51&gt;0,I51&gt;0,,K51&gt;0,L51&gt;0),1,0)</f>
        <v>0</v>
      </c>
    </row>
    <row r="52" spans="2:80" x14ac:dyDescent="0.2">
      <c r="B52" t="s">
        <v>3156</v>
      </c>
      <c r="C52">
        <v>470</v>
      </c>
      <c r="D52" t="s">
        <v>251</v>
      </c>
      <c r="G52">
        <f t="shared" si="2"/>
        <v>0</v>
      </c>
      <c r="J52">
        <f t="shared" si="3"/>
        <v>0</v>
      </c>
      <c r="K52">
        <f t="shared" si="4"/>
        <v>0</v>
      </c>
      <c r="L52">
        <f t="shared" si="4"/>
        <v>0</v>
      </c>
      <c r="M52">
        <f t="shared" si="5"/>
        <v>0</v>
      </c>
    </row>
    <row r="53" spans="2:80" x14ac:dyDescent="0.2">
      <c r="B53" t="s">
        <v>3157</v>
      </c>
      <c r="C53">
        <v>480</v>
      </c>
      <c r="D53" t="s">
        <v>251</v>
      </c>
      <c r="E53">
        <f t="shared" ref="E53:M53" si="6">SUM(E45:E52)</f>
        <v>0</v>
      </c>
      <c r="F53">
        <f t="shared" si="6"/>
        <v>0</v>
      </c>
      <c r="G53">
        <f t="shared" si="6"/>
        <v>0</v>
      </c>
      <c r="H53">
        <f t="shared" si="6"/>
        <v>0</v>
      </c>
      <c r="I53">
        <f t="shared" si="6"/>
        <v>0</v>
      </c>
      <c r="J53">
        <f t="shared" si="6"/>
        <v>0</v>
      </c>
      <c r="K53">
        <f t="shared" si="6"/>
        <v>0</v>
      </c>
      <c r="L53">
        <f t="shared" si="6"/>
        <v>0</v>
      </c>
      <c r="M53">
        <f t="shared" si="6"/>
        <v>0</v>
      </c>
    </row>
    <row r="54" spans="2:80" x14ac:dyDescent="0.2">
      <c r="B54" t="s">
        <v>3158</v>
      </c>
    </row>
    <row r="55" spans="2:80" x14ac:dyDescent="0.2">
      <c r="B55" t="s">
        <v>3159</v>
      </c>
      <c r="C55">
        <v>490</v>
      </c>
      <c r="D55" t="s">
        <v>248</v>
      </c>
      <c r="G55">
        <f t="shared" ref="G55:G66" si="7">SUM(E55:F55)</f>
        <v>0</v>
      </c>
      <c r="J55">
        <f t="shared" ref="J55:J65" si="8">SUM(H55:I55)</f>
        <v>0</v>
      </c>
      <c r="K55">
        <f t="shared" ref="K55:K65" si="9">E55+H55</f>
        <v>0</v>
      </c>
      <c r="L55">
        <f t="shared" ref="L55:L65" si="10">F55+I55</f>
        <v>0</v>
      </c>
      <c r="M55">
        <f t="shared" ref="M55:M71" si="11">SUM(K55:L55)</f>
        <v>0</v>
      </c>
      <c r="CB55">
        <f>IF(OR(K55&lt;0,L55&lt;0,E55&lt;0,F55&lt;0,H55&lt;0,I55&lt;0),1,0)</f>
        <v>0</v>
      </c>
    </row>
    <row r="56" spans="2:80" x14ac:dyDescent="0.2">
      <c r="B56" t="s">
        <v>3160</v>
      </c>
      <c r="C56">
        <v>500</v>
      </c>
      <c r="D56" t="s">
        <v>248</v>
      </c>
      <c r="G56">
        <f t="shared" si="7"/>
        <v>0</v>
      </c>
      <c r="J56">
        <f t="shared" si="8"/>
        <v>0</v>
      </c>
      <c r="K56">
        <f t="shared" si="9"/>
        <v>0</v>
      </c>
      <c r="L56">
        <f t="shared" si="10"/>
        <v>0</v>
      </c>
      <c r="M56">
        <f t="shared" si="11"/>
        <v>0</v>
      </c>
      <c r="CB56">
        <f>IF(OR(K56&lt;0,L56&lt;0,E56&lt;0,F56&lt;0,H56&lt;0,I56&lt;0),1,0)</f>
        <v>0</v>
      </c>
    </row>
    <row r="57" spans="2:80" x14ac:dyDescent="0.2">
      <c r="B57" t="s">
        <v>2690</v>
      </c>
      <c r="C57">
        <v>510</v>
      </c>
      <c r="D57" t="s">
        <v>248</v>
      </c>
      <c r="G57">
        <f t="shared" si="7"/>
        <v>0</v>
      </c>
      <c r="J57">
        <f t="shared" si="8"/>
        <v>0</v>
      </c>
      <c r="K57">
        <f t="shared" si="9"/>
        <v>0</v>
      </c>
      <c r="L57">
        <f t="shared" si="10"/>
        <v>0</v>
      </c>
      <c r="M57">
        <f t="shared" si="11"/>
        <v>0</v>
      </c>
      <c r="CB57">
        <f>IF(OR(K57&lt;0,L57&lt;0,E57&lt;0,F57&lt;0,H57&lt;0,I57&lt;0),1,0)</f>
        <v>0</v>
      </c>
    </row>
    <row r="58" spans="2:80" x14ac:dyDescent="0.2">
      <c r="B58" t="s">
        <v>3161</v>
      </c>
      <c r="C58">
        <v>520</v>
      </c>
      <c r="D58" t="s">
        <v>251</v>
      </c>
      <c r="G58">
        <f t="shared" si="7"/>
        <v>0</v>
      </c>
      <c r="J58">
        <f t="shared" si="8"/>
        <v>0</v>
      </c>
      <c r="K58">
        <f t="shared" si="9"/>
        <v>0</v>
      </c>
      <c r="L58">
        <f t="shared" si="10"/>
        <v>0</v>
      </c>
      <c r="M58">
        <f t="shared" si="11"/>
        <v>0</v>
      </c>
    </row>
    <row r="59" spans="2:80" x14ac:dyDescent="0.2">
      <c r="B59" t="s">
        <v>2806</v>
      </c>
      <c r="C59">
        <v>530</v>
      </c>
      <c r="D59" t="s">
        <v>251</v>
      </c>
      <c r="G59">
        <f t="shared" si="7"/>
        <v>0</v>
      </c>
      <c r="J59">
        <f t="shared" si="8"/>
        <v>0</v>
      </c>
      <c r="K59">
        <f t="shared" si="9"/>
        <v>0</v>
      </c>
      <c r="L59">
        <f t="shared" si="10"/>
        <v>0</v>
      </c>
      <c r="M59">
        <f t="shared" si="11"/>
        <v>0</v>
      </c>
    </row>
    <row r="60" spans="2:80" x14ac:dyDescent="0.2">
      <c r="B60" t="s">
        <v>3162</v>
      </c>
      <c r="C60">
        <v>540</v>
      </c>
      <c r="D60" t="s">
        <v>251</v>
      </c>
      <c r="G60">
        <f t="shared" si="7"/>
        <v>0</v>
      </c>
      <c r="J60">
        <f t="shared" si="8"/>
        <v>0</v>
      </c>
      <c r="K60">
        <f t="shared" si="9"/>
        <v>0</v>
      </c>
      <c r="L60">
        <f t="shared" si="10"/>
        <v>0</v>
      </c>
      <c r="M60">
        <f t="shared" si="11"/>
        <v>0</v>
      </c>
    </row>
    <row r="61" spans="2:80" x14ac:dyDescent="0.2">
      <c r="B61" t="s">
        <v>3163</v>
      </c>
      <c r="C61">
        <v>550</v>
      </c>
      <c r="D61" t="s">
        <v>251</v>
      </c>
      <c r="G61">
        <f t="shared" si="7"/>
        <v>0</v>
      </c>
      <c r="J61">
        <f t="shared" si="8"/>
        <v>0</v>
      </c>
      <c r="K61">
        <f t="shared" si="9"/>
        <v>0</v>
      </c>
      <c r="L61">
        <f t="shared" si="10"/>
        <v>0</v>
      </c>
      <c r="M61">
        <f t="shared" si="11"/>
        <v>0</v>
      </c>
    </row>
    <row r="62" spans="2:80" x14ac:dyDescent="0.2">
      <c r="B62" t="s">
        <v>3150</v>
      </c>
      <c r="C62">
        <v>560</v>
      </c>
      <c r="D62" t="s">
        <v>251</v>
      </c>
      <c r="G62">
        <f t="shared" si="7"/>
        <v>0</v>
      </c>
      <c r="J62">
        <f t="shared" si="8"/>
        <v>0</v>
      </c>
      <c r="K62">
        <f t="shared" si="9"/>
        <v>0</v>
      </c>
      <c r="L62">
        <f t="shared" si="10"/>
        <v>0</v>
      </c>
      <c r="M62">
        <f t="shared" si="11"/>
        <v>0</v>
      </c>
    </row>
    <row r="63" spans="2:80" x14ac:dyDescent="0.2">
      <c r="B63" t="s">
        <v>2699</v>
      </c>
      <c r="C63">
        <v>570</v>
      </c>
      <c r="D63" t="s">
        <v>248</v>
      </c>
      <c r="G63">
        <f t="shared" si="7"/>
        <v>0</v>
      </c>
      <c r="J63">
        <f t="shared" si="8"/>
        <v>0</v>
      </c>
      <c r="K63">
        <f t="shared" si="9"/>
        <v>0</v>
      </c>
      <c r="L63">
        <f t="shared" si="10"/>
        <v>0</v>
      </c>
      <c r="M63">
        <f t="shared" si="11"/>
        <v>0</v>
      </c>
      <c r="CB63">
        <f>IF(OR(K63&lt;0,L63&lt;0,E63&lt;0,F63&lt;0,H63&lt;0,I63&lt;0),1,0)</f>
        <v>0</v>
      </c>
    </row>
    <row r="64" spans="2:80" x14ac:dyDescent="0.2">
      <c r="B64" t="s">
        <v>3164</v>
      </c>
      <c r="C64">
        <v>580</v>
      </c>
      <c r="D64" t="s">
        <v>248</v>
      </c>
      <c r="G64">
        <f t="shared" si="7"/>
        <v>0</v>
      </c>
      <c r="J64">
        <f t="shared" si="8"/>
        <v>0</v>
      </c>
      <c r="K64">
        <f t="shared" si="9"/>
        <v>0</v>
      </c>
      <c r="L64">
        <f t="shared" si="10"/>
        <v>0</v>
      </c>
      <c r="M64">
        <f t="shared" si="11"/>
        <v>0</v>
      </c>
      <c r="CB64">
        <f>IF(OR(K64&lt;0,L64&lt;0,E64&lt;0,F64&lt;0,H64&lt;0,I64&lt;0),1,0)</f>
        <v>0</v>
      </c>
    </row>
    <row r="65" spans="2:80" x14ac:dyDescent="0.2">
      <c r="B65" t="s">
        <v>2703</v>
      </c>
      <c r="C65">
        <v>590</v>
      </c>
      <c r="D65" t="s">
        <v>248</v>
      </c>
      <c r="G65">
        <f t="shared" si="7"/>
        <v>0</v>
      </c>
      <c r="J65">
        <f t="shared" si="8"/>
        <v>0</v>
      </c>
      <c r="K65">
        <f t="shared" si="9"/>
        <v>0</v>
      </c>
      <c r="L65">
        <f t="shared" si="10"/>
        <v>0</v>
      </c>
      <c r="M65">
        <f t="shared" si="11"/>
        <v>0</v>
      </c>
      <c r="CB65">
        <f>IF(OR(K65&lt;0,L65&lt;0,E65&lt;0,F65&lt;0,H65&lt;0,I65&lt;0),1,0)</f>
        <v>0</v>
      </c>
    </row>
    <row r="66" spans="2:80" x14ac:dyDescent="0.2">
      <c r="B66" t="s">
        <v>3165</v>
      </c>
      <c r="C66">
        <v>600</v>
      </c>
      <c r="D66" t="s">
        <v>245</v>
      </c>
      <c r="G66">
        <f t="shared" si="7"/>
        <v>0</v>
      </c>
      <c r="K66">
        <f>E66</f>
        <v>0</v>
      </c>
      <c r="L66">
        <f>F66</f>
        <v>0</v>
      </c>
      <c r="M66">
        <f t="shared" si="11"/>
        <v>0</v>
      </c>
      <c r="CA66">
        <f>IF(OR(E66&gt;0,F66&gt;0,H66&gt;0,I66&gt;0,,K66&gt;0,L66&gt;0),1,0)</f>
        <v>0</v>
      </c>
    </row>
    <row r="67" spans="2:80" x14ac:dyDescent="0.2">
      <c r="B67" t="s">
        <v>3166</v>
      </c>
      <c r="C67">
        <v>610</v>
      </c>
      <c r="D67" t="s">
        <v>245</v>
      </c>
      <c r="J67">
        <f>SUM(H67:I67)</f>
        <v>0</v>
      </c>
      <c r="K67">
        <f>H67</f>
        <v>0</v>
      </c>
      <c r="L67">
        <f>I67</f>
        <v>0</v>
      </c>
      <c r="M67">
        <f t="shared" si="11"/>
        <v>0</v>
      </c>
      <c r="CA67">
        <f>IF(OR(E67&gt;0,F67&gt;0,H67&gt;0,I67&gt;0,,K67&gt;0,L67&gt;0),1,0)</f>
        <v>0</v>
      </c>
    </row>
    <row r="68" spans="2:80" x14ac:dyDescent="0.2">
      <c r="B68" t="s">
        <v>3167</v>
      </c>
      <c r="C68">
        <v>620</v>
      </c>
      <c r="D68" t="s">
        <v>245</v>
      </c>
      <c r="G68">
        <f>SUM(E68:F68)</f>
        <v>0</v>
      </c>
      <c r="J68">
        <f>SUM(H68:I68)</f>
        <v>0</v>
      </c>
      <c r="K68">
        <f t="shared" ref="K68:L71" si="12">E68+H68</f>
        <v>0</v>
      </c>
      <c r="L68">
        <f t="shared" si="12"/>
        <v>0</v>
      </c>
      <c r="M68">
        <f t="shared" si="11"/>
        <v>0</v>
      </c>
      <c r="CA68">
        <f>IF(OR(E68&gt;0,F68&gt;0,H68&gt;0,I68&gt;0,,K68&gt;0,L68&gt;0),1,0)</f>
        <v>0</v>
      </c>
    </row>
    <row r="69" spans="2:80" x14ac:dyDescent="0.2">
      <c r="B69" t="s">
        <v>3168</v>
      </c>
      <c r="C69">
        <v>630</v>
      </c>
      <c r="D69" t="s">
        <v>248</v>
      </c>
      <c r="E69">
        <f>E115</f>
        <v>0</v>
      </c>
      <c r="F69">
        <f>F115</f>
        <v>0</v>
      </c>
      <c r="G69">
        <f>SUM(E69:F69)</f>
        <v>0</v>
      </c>
      <c r="H69">
        <f>H115</f>
        <v>0</v>
      </c>
      <c r="I69">
        <f>I115</f>
        <v>0</v>
      </c>
      <c r="J69">
        <f>SUM(H69:I69)</f>
        <v>0</v>
      </c>
      <c r="K69">
        <f t="shared" si="12"/>
        <v>0</v>
      </c>
      <c r="L69">
        <f t="shared" si="12"/>
        <v>0</v>
      </c>
      <c r="M69">
        <f t="shared" si="11"/>
        <v>0</v>
      </c>
      <c r="CB69">
        <f>IF(OR(K69&lt;0,L69&lt;0,E69&lt;0,F69&lt;0,H69&lt;0,I69&lt;0),1,0)</f>
        <v>0</v>
      </c>
    </row>
    <row r="70" spans="2:80" x14ac:dyDescent="0.2">
      <c r="B70" t="s">
        <v>3169</v>
      </c>
      <c r="C70">
        <v>640</v>
      </c>
      <c r="D70" t="s">
        <v>251</v>
      </c>
      <c r="G70">
        <f>SUM(E70:F70)</f>
        <v>0</v>
      </c>
      <c r="J70">
        <f>SUM(H70:I70)</f>
        <v>0</v>
      </c>
      <c r="K70">
        <f t="shared" si="12"/>
        <v>0</v>
      </c>
      <c r="L70">
        <f t="shared" si="12"/>
        <v>0</v>
      </c>
      <c r="M70">
        <f t="shared" si="11"/>
        <v>0</v>
      </c>
    </row>
    <row r="71" spans="2:80" x14ac:dyDescent="0.2">
      <c r="B71" t="s">
        <v>352</v>
      </c>
      <c r="C71">
        <v>650</v>
      </c>
      <c r="D71" t="s">
        <v>251</v>
      </c>
      <c r="G71">
        <f>SUM(E71:F71)</f>
        <v>0</v>
      </c>
      <c r="J71">
        <f>SUM(H71:I71)</f>
        <v>0</v>
      </c>
      <c r="K71">
        <f t="shared" si="12"/>
        <v>0</v>
      </c>
      <c r="L71">
        <f t="shared" si="12"/>
        <v>0</v>
      </c>
      <c r="M71">
        <f t="shared" si="11"/>
        <v>0</v>
      </c>
    </row>
    <row r="72" spans="2:80" x14ac:dyDescent="0.2">
      <c r="B72" t="s">
        <v>3170</v>
      </c>
      <c r="C72">
        <v>660</v>
      </c>
      <c r="D72" t="s">
        <v>251</v>
      </c>
      <c r="E72">
        <f t="shared" ref="E72:M72" si="13">SUM(E55:E71)</f>
        <v>0</v>
      </c>
      <c r="F72">
        <f t="shared" si="13"/>
        <v>0</v>
      </c>
      <c r="G72">
        <f t="shared" si="13"/>
        <v>0</v>
      </c>
      <c r="H72">
        <f t="shared" si="13"/>
        <v>0</v>
      </c>
      <c r="I72">
        <f t="shared" si="13"/>
        <v>0</v>
      </c>
      <c r="J72">
        <f t="shared" si="13"/>
        <v>0</v>
      </c>
      <c r="K72">
        <f t="shared" si="13"/>
        <v>0</v>
      </c>
      <c r="L72">
        <f t="shared" si="13"/>
        <v>0</v>
      </c>
      <c r="M72">
        <f t="shared" si="13"/>
        <v>0</v>
      </c>
    </row>
    <row r="73" spans="2:80" x14ac:dyDescent="0.2">
      <c r="B73" t="s">
        <v>3171</v>
      </c>
      <c r="C73">
        <v>670</v>
      </c>
      <c r="D73" t="s">
        <v>248</v>
      </c>
      <c r="E73">
        <f t="shared" ref="E73:M73" si="14">E72+E53</f>
        <v>0</v>
      </c>
      <c r="F73">
        <f t="shared" si="14"/>
        <v>0</v>
      </c>
      <c r="G73">
        <f t="shared" si="14"/>
        <v>0</v>
      </c>
      <c r="H73">
        <f t="shared" si="14"/>
        <v>0</v>
      </c>
      <c r="I73">
        <f t="shared" si="14"/>
        <v>0</v>
      </c>
      <c r="J73">
        <f t="shared" si="14"/>
        <v>0</v>
      </c>
      <c r="K73">
        <f t="shared" si="14"/>
        <v>0</v>
      </c>
      <c r="L73">
        <f t="shared" si="14"/>
        <v>0</v>
      </c>
      <c r="M73">
        <f t="shared" si="14"/>
        <v>0</v>
      </c>
    </row>
    <row r="79" spans="2:80" x14ac:dyDescent="0.2">
      <c r="B79" t="s">
        <v>3172</v>
      </c>
      <c r="C79" t="s">
        <v>238</v>
      </c>
      <c r="D79" t="s">
        <v>25</v>
      </c>
      <c r="E79" t="s">
        <v>2606</v>
      </c>
      <c r="F79" t="s">
        <v>2607</v>
      </c>
      <c r="G79" t="s">
        <v>340</v>
      </c>
      <c r="H79" t="s">
        <v>3173</v>
      </c>
    </row>
    <row r="80" spans="2:80" x14ac:dyDescent="0.2">
      <c r="C80" t="s">
        <v>242</v>
      </c>
      <c r="E80" t="s">
        <v>2036</v>
      </c>
      <c r="F80" t="s">
        <v>2037</v>
      </c>
      <c r="G80" t="s">
        <v>2038</v>
      </c>
      <c r="H80" t="s">
        <v>2039</v>
      </c>
    </row>
    <row r="81" spans="2:80" x14ac:dyDescent="0.2">
      <c r="E81" t="s">
        <v>243</v>
      </c>
      <c r="F81" t="s">
        <v>243</v>
      </c>
      <c r="G81" t="s">
        <v>243</v>
      </c>
      <c r="H81" t="s">
        <v>912</v>
      </c>
    </row>
    <row r="82" spans="2:80" x14ac:dyDescent="0.2">
      <c r="B82" t="s">
        <v>2726</v>
      </c>
      <c r="C82">
        <v>680</v>
      </c>
      <c r="D82" t="s">
        <v>248</v>
      </c>
      <c r="G82">
        <f>SUM(E82:F82)</f>
        <v>0</v>
      </c>
      <c r="H82">
        <f t="shared" ref="H82:H87" si="15">IF($M$20=0,0,G82/$M$20*100)</f>
        <v>0</v>
      </c>
      <c r="CB82">
        <f t="shared" ref="CB82:CB87" si="16">IF(OR(E82&lt;0,F82&lt;0),1,0)</f>
        <v>0</v>
      </c>
    </row>
    <row r="83" spans="2:80" x14ac:dyDescent="0.2">
      <c r="B83" t="s">
        <v>2728</v>
      </c>
      <c r="C83">
        <v>690</v>
      </c>
      <c r="D83" t="s">
        <v>248</v>
      </c>
      <c r="G83">
        <f>SUM(E83:F83)</f>
        <v>0</v>
      </c>
      <c r="H83">
        <f t="shared" si="15"/>
        <v>0</v>
      </c>
      <c r="CB83">
        <f t="shared" si="16"/>
        <v>0</v>
      </c>
    </row>
    <row r="84" spans="2:80" x14ac:dyDescent="0.2">
      <c r="B84" t="s">
        <v>3174</v>
      </c>
      <c r="C84">
        <v>700</v>
      </c>
      <c r="D84" t="s">
        <v>248</v>
      </c>
      <c r="G84">
        <f>SUM(E84:F84)</f>
        <v>0</v>
      </c>
      <c r="H84">
        <f t="shared" si="15"/>
        <v>0</v>
      </c>
      <c r="CB84">
        <f t="shared" si="16"/>
        <v>0</v>
      </c>
    </row>
    <row r="85" spans="2:80" x14ac:dyDescent="0.2">
      <c r="B85" t="s">
        <v>2732</v>
      </c>
      <c r="C85">
        <v>710</v>
      </c>
      <c r="D85" t="s">
        <v>248</v>
      </c>
      <c r="G85">
        <f>SUM(E85:F85)</f>
        <v>0</v>
      </c>
      <c r="H85">
        <f t="shared" si="15"/>
        <v>0</v>
      </c>
      <c r="CB85">
        <f t="shared" si="16"/>
        <v>0</v>
      </c>
    </row>
    <row r="86" spans="2:80" x14ac:dyDescent="0.2">
      <c r="B86" t="s">
        <v>3175</v>
      </c>
      <c r="C86">
        <v>720</v>
      </c>
      <c r="D86" t="s">
        <v>248</v>
      </c>
      <c r="G86">
        <f>F86</f>
        <v>0</v>
      </c>
      <c r="H86">
        <f t="shared" si="15"/>
        <v>0</v>
      </c>
      <c r="CB86">
        <f t="shared" si="16"/>
        <v>0</v>
      </c>
    </row>
    <row r="87" spans="2:80" x14ac:dyDescent="0.2">
      <c r="B87" t="s">
        <v>2736</v>
      </c>
      <c r="C87">
        <v>730</v>
      </c>
      <c r="D87" t="s">
        <v>248</v>
      </c>
      <c r="G87">
        <f>SUM(E87:F87)</f>
        <v>0</v>
      </c>
      <c r="H87">
        <f t="shared" si="15"/>
        <v>0</v>
      </c>
      <c r="CB87">
        <f t="shared" si="16"/>
        <v>0</v>
      </c>
    </row>
    <row r="88" spans="2:80" x14ac:dyDescent="0.2">
      <c r="B88" t="s">
        <v>3176</v>
      </c>
      <c r="C88" t="s">
        <v>238</v>
      </c>
      <c r="D88" t="s">
        <v>25</v>
      </c>
      <c r="E88" t="s">
        <v>2606</v>
      </c>
      <c r="F88" t="s">
        <v>2607</v>
      </c>
      <c r="G88" t="s">
        <v>340</v>
      </c>
      <c r="H88" t="s">
        <v>3173</v>
      </c>
    </row>
    <row r="89" spans="2:80" x14ac:dyDescent="0.2">
      <c r="C89" t="s">
        <v>242</v>
      </c>
      <c r="E89" t="s">
        <v>2036</v>
      </c>
      <c r="F89" t="s">
        <v>2037</v>
      </c>
      <c r="G89" t="s">
        <v>2038</v>
      </c>
      <c r="H89" t="s">
        <v>2039</v>
      </c>
    </row>
    <row r="90" spans="2:80" x14ac:dyDescent="0.2">
      <c r="E90" t="s">
        <v>243</v>
      </c>
      <c r="F90" t="s">
        <v>243</v>
      </c>
      <c r="G90" t="s">
        <v>243</v>
      </c>
      <c r="H90" t="s">
        <v>912</v>
      </c>
    </row>
    <row r="91" spans="2:80" x14ac:dyDescent="0.2">
      <c r="B91" t="s">
        <v>3177</v>
      </c>
      <c r="C91">
        <v>740</v>
      </c>
      <c r="D91" t="s">
        <v>248</v>
      </c>
      <c r="G91">
        <f>F91</f>
        <v>0</v>
      </c>
      <c r="H91">
        <f>IF($M$11=0,0,G91/$M$11*100)</f>
        <v>0</v>
      </c>
      <c r="CB91">
        <f>IF(OR(E91&lt;0,F91&lt;0),1,0)</f>
        <v>0</v>
      </c>
    </row>
    <row r="92" spans="2:80" x14ac:dyDescent="0.2">
      <c r="B92" t="s">
        <v>3178</v>
      </c>
      <c r="C92" t="s">
        <v>238</v>
      </c>
      <c r="D92" t="s">
        <v>25</v>
      </c>
      <c r="E92" t="s">
        <v>2606</v>
      </c>
      <c r="F92" t="s">
        <v>2607</v>
      </c>
      <c r="G92" t="s">
        <v>340</v>
      </c>
      <c r="H92" t="s">
        <v>3173</v>
      </c>
    </row>
    <row r="93" spans="2:80" x14ac:dyDescent="0.2">
      <c r="C93" t="s">
        <v>242</v>
      </c>
      <c r="E93" t="s">
        <v>2036</v>
      </c>
      <c r="F93" t="s">
        <v>2037</v>
      </c>
      <c r="G93" t="s">
        <v>2038</v>
      </c>
      <c r="H93" t="s">
        <v>2039</v>
      </c>
    </row>
    <row r="94" spans="2:80" x14ac:dyDescent="0.2">
      <c r="E94" t="s">
        <v>243</v>
      </c>
      <c r="F94" t="s">
        <v>243</v>
      </c>
      <c r="G94" t="s">
        <v>243</v>
      </c>
      <c r="H94" t="s">
        <v>912</v>
      </c>
    </row>
    <row r="95" spans="2:80" x14ac:dyDescent="0.2">
      <c r="B95" t="s">
        <v>3179</v>
      </c>
      <c r="C95">
        <v>745</v>
      </c>
      <c r="D95" t="s">
        <v>248</v>
      </c>
      <c r="G95">
        <f>SUM(E95:F95)</f>
        <v>0</v>
      </c>
      <c r="H95">
        <f>IF($M$43=0,0,G95/$M$43*100)</f>
        <v>0</v>
      </c>
      <c r="CB95">
        <f>IF(OR(E95&lt;0,F95&lt;0),1,0)</f>
        <v>0</v>
      </c>
    </row>
    <row r="99" spans="2:85" x14ac:dyDescent="0.2">
      <c r="B99" t="s">
        <v>3180</v>
      </c>
      <c r="C99" t="s">
        <v>238</v>
      </c>
      <c r="G99" t="s">
        <v>340</v>
      </c>
      <c r="H99" t="s">
        <v>2716</v>
      </c>
    </row>
    <row r="100" spans="2:85" x14ac:dyDescent="0.2">
      <c r="C100" t="s">
        <v>242</v>
      </c>
      <c r="G100" t="s">
        <v>2038</v>
      </c>
      <c r="H100" t="s">
        <v>2039</v>
      </c>
    </row>
    <row r="101" spans="2:85" x14ac:dyDescent="0.2">
      <c r="G101" t="s">
        <v>243</v>
      </c>
      <c r="H101" t="s">
        <v>243</v>
      </c>
      <c r="CC101" t="s">
        <v>3181</v>
      </c>
    </row>
    <row r="102" spans="2:85" x14ac:dyDescent="0.2">
      <c r="B102" t="s">
        <v>3182</v>
      </c>
      <c r="C102">
        <v>750</v>
      </c>
      <c r="G102">
        <f>M11-M45</f>
        <v>0</v>
      </c>
      <c r="H102">
        <f>IF($CC$102=0,0,G102/$CC$102*100)</f>
        <v>0</v>
      </c>
    </row>
    <row r="103" spans="2:85" x14ac:dyDescent="0.2">
      <c r="B103" t="s">
        <v>3183</v>
      </c>
      <c r="C103">
        <v>760</v>
      </c>
      <c r="G103">
        <f>K20-K53</f>
        <v>0</v>
      </c>
      <c r="H103">
        <f>IF($CC$102=0,0,G103/$CC$102*100)</f>
        <v>0</v>
      </c>
      <c r="CC103" t="s">
        <v>2717</v>
      </c>
    </row>
    <row r="104" spans="2:85" x14ac:dyDescent="0.2">
      <c r="B104" t="s">
        <v>3184</v>
      </c>
      <c r="C104">
        <v>770</v>
      </c>
      <c r="G104">
        <f>M43-M73</f>
        <v>0</v>
      </c>
      <c r="H104">
        <f>IF($CC$104=0,0,G104/$CC$104*100)</f>
        <v>0</v>
      </c>
    </row>
    <row r="105" spans="2:85" x14ac:dyDescent="0.2">
      <c r="B105" t="s">
        <v>3185</v>
      </c>
      <c r="C105">
        <v>780</v>
      </c>
      <c r="G105">
        <f>K43-K73</f>
        <v>0</v>
      </c>
      <c r="H105">
        <f>IF($CC$104=0,0,G105/$CC$104*100)</f>
        <v>0</v>
      </c>
    </row>
    <row r="108" spans="2:85" x14ac:dyDescent="0.2">
      <c r="B108" t="s">
        <v>3186</v>
      </c>
      <c r="C108" t="s">
        <v>238</v>
      </c>
      <c r="D108" t="s">
        <v>25</v>
      </c>
      <c r="E108" t="s">
        <v>1250</v>
      </c>
      <c r="H108" t="s">
        <v>2605</v>
      </c>
      <c r="K108" t="s">
        <v>3123</v>
      </c>
      <c r="N108" t="s">
        <v>2836</v>
      </c>
    </row>
    <row r="109" spans="2:85" x14ac:dyDescent="0.2">
      <c r="C109" t="s">
        <v>242</v>
      </c>
      <c r="E109" t="s">
        <v>2606</v>
      </c>
      <c r="F109" t="s">
        <v>2607</v>
      </c>
      <c r="G109" t="s">
        <v>340</v>
      </c>
      <c r="H109" t="s">
        <v>2606</v>
      </c>
      <c r="I109" t="s">
        <v>2607</v>
      </c>
      <c r="J109" t="s">
        <v>340</v>
      </c>
      <c r="K109" t="s">
        <v>2606</v>
      </c>
      <c r="L109" t="s">
        <v>2607</v>
      </c>
      <c r="M109" t="s">
        <v>340</v>
      </c>
      <c r="N109" t="s">
        <v>3187</v>
      </c>
    </row>
    <row r="110" spans="2:85" x14ac:dyDescent="0.2">
      <c r="E110" t="s">
        <v>2036</v>
      </c>
      <c r="F110" t="s">
        <v>2037</v>
      </c>
      <c r="G110" t="s">
        <v>2038</v>
      </c>
      <c r="H110" t="s">
        <v>2039</v>
      </c>
      <c r="I110" t="s">
        <v>2040</v>
      </c>
      <c r="J110" t="s">
        <v>2041</v>
      </c>
      <c r="K110" t="s">
        <v>2042</v>
      </c>
      <c r="L110" t="s">
        <v>2043</v>
      </c>
      <c r="M110" t="s">
        <v>2044</v>
      </c>
      <c r="N110" t="s">
        <v>2045</v>
      </c>
    </row>
    <row r="111" spans="2:85" x14ac:dyDescent="0.2">
      <c r="E111" t="s">
        <v>243</v>
      </c>
      <c r="F111" t="s">
        <v>243</v>
      </c>
      <c r="G111" t="s">
        <v>243</v>
      </c>
      <c r="H111" t="s">
        <v>243</v>
      </c>
      <c r="I111" t="s">
        <v>243</v>
      </c>
      <c r="J111" t="s">
        <v>243</v>
      </c>
      <c r="K111" t="s">
        <v>243</v>
      </c>
      <c r="L111" t="s">
        <v>243</v>
      </c>
      <c r="M111" t="s">
        <v>243</v>
      </c>
      <c r="N111" t="s">
        <v>243</v>
      </c>
    </row>
    <row r="112" spans="2:85" x14ac:dyDescent="0.2">
      <c r="B112" t="s">
        <v>3188</v>
      </c>
      <c r="C112">
        <v>790</v>
      </c>
      <c r="D112" t="s">
        <v>248</v>
      </c>
      <c r="G112">
        <f>SUM(E112:F112)</f>
        <v>0</v>
      </c>
      <c r="J112">
        <f>SUM(H112:I112)</f>
        <v>0</v>
      </c>
      <c r="K112">
        <f t="shared" ref="K112:L114" si="17">E112+H112</f>
        <v>0</v>
      </c>
      <c r="L112">
        <f t="shared" si="17"/>
        <v>0</v>
      </c>
      <c r="M112">
        <f>SUM(K112:L112)</f>
        <v>0</v>
      </c>
      <c r="N112">
        <f>M112</f>
        <v>0</v>
      </c>
      <c r="CB112">
        <f>IF(OR(E112&lt;0,F112&lt;0,H112&lt;0,I112&lt;0,N112&lt;0),1,0)</f>
        <v>0</v>
      </c>
      <c r="CE112" t="s">
        <v>3189</v>
      </c>
      <c r="CG112">
        <f>IF(ISBLANK(N112),1,0)</f>
        <v>0</v>
      </c>
    </row>
    <row r="113" spans="2:85" x14ac:dyDescent="0.2">
      <c r="B113" t="s">
        <v>3190</v>
      </c>
      <c r="C113">
        <v>800</v>
      </c>
      <c r="D113" t="s">
        <v>248</v>
      </c>
      <c r="G113">
        <f>SUM(E113:F113)</f>
        <v>0</v>
      </c>
      <c r="J113">
        <f>SUM(H113:I113)</f>
        <v>0</v>
      </c>
      <c r="K113">
        <f t="shared" si="17"/>
        <v>0</v>
      </c>
      <c r="L113">
        <f t="shared" si="17"/>
        <v>0</v>
      </c>
      <c r="M113">
        <f>SUM(K113:L113)</f>
        <v>0</v>
      </c>
      <c r="N113">
        <f>M113</f>
        <v>0</v>
      </c>
      <c r="CB113">
        <f>IF(OR(E113&lt;0,F113&lt;0,H113&lt;0,I113&lt;0,N113&lt;0),1,0)</f>
        <v>0</v>
      </c>
      <c r="CE113">
        <f>SUM(M113+M114)</f>
        <v>0</v>
      </c>
      <c r="CG113">
        <f>IF(ISBLANK(N113),1,0)</f>
        <v>0</v>
      </c>
    </row>
    <row r="114" spans="2:85" x14ac:dyDescent="0.2">
      <c r="B114" t="s">
        <v>3191</v>
      </c>
      <c r="C114">
        <v>805</v>
      </c>
      <c r="D114" t="s">
        <v>248</v>
      </c>
      <c r="G114">
        <f>SUM(E114:F114)</f>
        <v>0</v>
      </c>
      <c r="J114">
        <f>SUM(H114:I114)</f>
        <v>0</v>
      </c>
      <c r="K114">
        <f t="shared" si="17"/>
        <v>0</v>
      </c>
      <c r="L114">
        <f t="shared" si="17"/>
        <v>0</v>
      </c>
      <c r="M114">
        <f>SUM(K114:L114)</f>
        <v>0</v>
      </c>
      <c r="N114">
        <f>M114</f>
        <v>0</v>
      </c>
      <c r="CB114">
        <f>IF(OR(E114&lt;0,F114&lt;0,H114&lt;0,I114&lt;0,N114&lt;0),1,0)</f>
        <v>0</v>
      </c>
      <c r="CG114">
        <f>IF(ISBLANK(N114),1,0)</f>
        <v>0</v>
      </c>
    </row>
    <row r="115" spans="2:85" x14ac:dyDescent="0.2">
      <c r="B115" t="s">
        <v>3192</v>
      </c>
      <c r="C115">
        <v>810</v>
      </c>
      <c r="D115" t="s">
        <v>248</v>
      </c>
      <c r="E115">
        <f t="shared" ref="E115:N115" si="18">SUM(E112:E114)</f>
        <v>0</v>
      </c>
      <c r="F115">
        <f t="shared" si="18"/>
        <v>0</v>
      </c>
      <c r="G115">
        <f t="shared" si="18"/>
        <v>0</v>
      </c>
      <c r="H115">
        <f t="shared" si="18"/>
        <v>0</v>
      </c>
      <c r="I115">
        <f t="shared" si="18"/>
        <v>0</v>
      </c>
      <c r="J115">
        <f t="shared" si="18"/>
        <v>0</v>
      </c>
      <c r="K115">
        <f t="shared" si="18"/>
        <v>0</v>
      </c>
      <c r="L115">
        <f t="shared" si="18"/>
        <v>0</v>
      </c>
      <c r="M115">
        <f t="shared" si="18"/>
        <v>0</v>
      </c>
      <c r="N115">
        <f t="shared" si="18"/>
        <v>0</v>
      </c>
    </row>
  </sheetData>
  <sheetProtection sheet="1" objects="1" scenarios="1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CK151"/>
  <sheetViews>
    <sheetView zoomScale="70" zoomScaleNormal="70" workbookViewId="0"/>
  </sheetViews>
  <sheetFormatPr defaultRowHeight="12.75" x14ac:dyDescent="0.2"/>
  <sheetData>
    <row r="1" spans="1:86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6" x14ac:dyDescent="0.2">
      <c r="A2" t="s">
        <v>3727</v>
      </c>
    </row>
    <row r="3" spans="1:86" x14ac:dyDescent="0.2">
      <c r="A3" t="s">
        <v>3784</v>
      </c>
    </row>
    <row r="4" spans="1:86" x14ac:dyDescent="0.2">
      <c r="B4" t="s">
        <v>3193</v>
      </c>
    </row>
    <row r="5" spans="1:86" x14ac:dyDescent="0.2">
      <c r="B5" t="s">
        <v>221</v>
      </c>
    </row>
    <row r="7" spans="1:86" x14ac:dyDescent="0.2">
      <c r="G7" t="s">
        <v>2836</v>
      </c>
      <c r="J7" t="s">
        <v>241</v>
      </c>
    </row>
    <row r="8" spans="1:86" x14ac:dyDescent="0.2">
      <c r="B8" t="s">
        <v>3194</v>
      </c>
      <c r="C8" t="s">
        <v>3195</v>
      </c>
      <c r="D8" t="s">
        <v>2838</v>
      </c>
      <c r="E8" t="s">
        <v>3196</v>
      </c>
      <c r="F8" t="s">
        <v>3197</v>
      </c>
      <c r="G8" t="s">
        <v>2021</v>
      </c>
      <c r="H8" t="s">
        <v>2092</v>
      </c>
      <c r="I8" t="s">
        <v>2023</v>
      </c>
      <c r="J8" t="s">
        <v>2021</v>
      </c>
      <c r="K8" t="s">
        <v>1048</v>
      </c>
      <c r="L8" t="s">
        <v>2023</v>
      </c>
    </row>
    <row r="9" spans="1:86" x14ac:dyDescent="0.2">
      <c r="C9" t="s">
        <v>2036</v>
      </c>
      <c r="D9" t="s">
        <v>2037</v>
      </c>
      <c r="E9" t="s">
        <v>2038</v>
      </c>
      <c r="F9" t="s">
        <v>2039</v>
      </c>
      <c r="G9" t="s">
        <v>2040</v>
      </c>
      <c r="H9" t="s">
        <v>2041</v>
      </c>
      <c r="I9" t="s">
        <v>2042</v>
      </c>
      <c r="J9" t="s">
        <v>2043</v>
      </c>
      <c r="K9" t="s">
        <v>2044</v>
      </c>
      <c r="L9" t="s">
        <v>2045</v>
      </c>
      <c r="CA9" t="s">
        <v>230</v>
      </c>
      <c r="CB9">
        <f>0</f>
        <v>0</v>
      </c>
      <c r="CC9" t="s">
        <v>2472</v>
      </c>
      <c r="CD9" t="s">
        <v>2472</v>
      </c>
      <c r="CE9" t="s">
        <v>2472</v>
      </c>
      <c r="CF9" t="s">
        <v>2472</v>
      </c>
      <c r="CG9" t="s">
        <v>340</v>
      </c>
      <c r="CH9" t="s">
        <v>2474</v>
      </c>
    </row>
    <row r="10" spans="1:86" x14ac:dyDescent="0.2">
      <c r="G10" t="s">
        <v>243</v>
      </c>
      <c r="H10" t="s">
        <v>243</v>
      </c>
      <c r="I10" t="s">
        <v>243</v>
      </c>
      <c r="J10" t="s">
        <v>243</v>
      </c>
      <c r="K10" t="s">
        <v>243</v>
      </c>
      <c r="L10" t="s">
        <v>243</v>
      </c>
      <c r="CA10" t="s">
        <v>231</v>
      </c>
      <c r="CB10" t="s">
        <v>232</v>
      </c>
      <c r="CC10" t="s">
        <v>2476</v>
      </c>
      <c r="CD10" t="s">
        <v>2476</v>
      </c>
      <c r="CE10" t="s">
        <v>2841</v>
      </c>
      <c r="CF10" t="s">
        <v>3198</v>
      </c>
    </row>
    <row r="11" spans="1:86" x14ac:dyDescent="0.2">
      <c r="B11" t="s">
        <v>3199</v>
      </c>
      <c r="CA11">
        <f t="shared" ref="CA11:CF11" si="0">SUM(CA13:CA143)</f>
        <v>0</v>
      </c>
      <c r="CB11">
        <f t="shared" si="0"/>
        <v>0</v>
      </c>
      <c r="CC11">
        <f t="shared" si="0"/>
        <v>0</v>
      </c>
      <c r="CD11">
        <f t="shared" si="0"/>
        <v>0</v>
      </c>
      <c r="CE11">
        <f t="shared" si="0"/>
        <v>0</v>
      </c>
      <c r="CF11">
        <f t="shared" si="0"/>
        <v>0</v>
      </c>
      <c r="CG11">
        <f>SUM(CC11:CF11)</f>
        <v>0</v>
      </c>
      <c r="CH11">
        <f>SUM(CH13:CH143)</f>
        <v>0</v>
      </c>
    </row>
    <row r="12" spans="1:86" x14ac:dyDescent="0.2">
      <c r="B12" t="s">
        <v>2842</v>
      </c>
    </row>
    <row r="13" spans="1:86" x14ac:dyDescent="0.2">
      <c r="A13">
        <v>1</v>
      </c>
      <c r="I13">
        <f t="shared" ref="I13:I44" si="1">H13-G13</f>
        <v>0</v>
      </c>
      <c r="K13">
        <f t="shared" ref="K13:K44" si="2">H13</f>
        <v>0</v>
      </c>
      <c r="L13">
        <f t="shared" ref="L13:L44" si="3">K13-J13</f>
        <v>0</v>
      </c>
      <c r="CB13">
        <f t="shared" ref="CB13:CB44" si="4">IF(OR(H13&lt;0,K13&lt;0),1,0)</f>
        <v>0</v>
      </c>
      <c r="CC13">
        <f t="shared" ref="CC13:CC44" si="5">IF(AND(H13&gt;0,ISBLANK(B13)),1,IF(AND(H13&gt;0,ISBLANK(C13)),1,IF(AND(H13&gt;0,ISBLANK(D13)),1,IF(AND(H13&gt;0,ISBLANK(E13)),1,0))))</f>
        <v>0</v>
      </c>
      <c r="CD13">
        <f t="shared" ref="CD13:CD44" si="6">IF(AND(K13&gt;0,ISBLANK(B13)),1,IF(AND(K13&gt;0,ISBLANK(C13)),1,IF(AND(K13&gt;0,ISBLANK(D13)),1,IF(AND(K13&gt;0,ISBLANK(E13)),1,0))))</f>
        <v>0</v>
      </c>
      <c r="CE13">
        <f t="shared" ref="CE13:CE44" si="7">IF(AND((K13)=0,COUNTIF(B13:E13,"")=4),0,IF(AND(K13&gt;=0,COUNTIF(B13:E13,"")=0),0,1))</f>
        <v>0</v>
      </c>
      <c r="CF13">
        <f t="shared" ref="CF13:CF44" si="8">IF(AND(E13="C",K13&gt;0),IF(ISBLANK(F13)=FALSE,0,1),0)</f>
        <v>0</v>
      </c>
      <c r="CH13">
        <f t="shared" ref="CH13:CH44" si="9">IF(H13&gt;K13,1,0)</f>
        <v>0</v>
      </c>
    </row>
    <row r="14" spans="1:86" x14ac:dyDescent="0.2">
      <c r="A14">
        <v>2</v>
      </c>
      <c r="I14">
        <f t="shared" si="1"/>
        <v>0</v>
      </c>
      <c r="K14">
        <f t="shared" si="2"/>
        <v>0</v>
      </c>
      <c r="L14">
        <f t="shared" si="3"/>
        <v>0</v>
      </c>
      <c r="CB14">
        <f t="shared" si="4"/>
        <v>0</v>
      </c>
      <c r="CC14">
        <f t="shared" si="5"/>
        <v>0</v>
      </c>
      <c r="CD14">
        <f t="shared" si="6"/>
        <v>0</v>
      </c>
      <c r="CE14">
        <f t="shared" si="7"/>
        <v>0</v>
      </c>
      <c r="CF14">
        <f t="shared" si="8"/>
        <v>0</v>
      </c>
      <c r="CH14">
        <f t="shared" si="9"/>
        <v>0</v>
      </c>
    </row>
    <row r="15" spans="1:86" x14ac:dyDescent="0.2">
      <c r="A15">
        <v>3</v>
      </c>
      <c r="I15">
        <f t="shared" si="1"/>
        <v>0</v>
      </c>
      <c r="K15">
        <f t="shared" si="2"/>
        <v>0</v>
      </c>
      <c r="L15">
        <f t="shared" si="3"/>
        <v>0</v>
      </c>
      <c r="CB15">
        <f t="shared" si="4"/>
        <v>0</v>
      </c>
      <c r="CC15">
        <f t="shared" si="5"/>
        <v>0</v>
      </c>
      <c r="CD15">
        <f t="shared" si="6"/>
        <v>0</v>
      </c>
      <c r="CE15">
        <f t="shared" si="7"/>
        <v>0</v>
      </c>
      <c r="CF15">
        <f t="shared" si="8"/>
        <v>0</v>
      </c>
      <c r="CH15">
        <f t="shared" si="9"/>
        <v>0</v>
      </c>
    </row>
    <row r="16" spans="1:86" x14ac:dyDescent="0.2">
      <c r="A16">
        <v>4</v>
      </c>
      <c r="I16">
        <f t="shared" si="1"/>
        <v>0</v>
      </c>
      <c r="K16">
        <f t="shared" si="2"/>
        <v>0</v>
      </c>
      <c r="L16">
        <f t="shared" si="3"/>
        <v>0</v>
      </c>
      <c r="CB16">
        <f t="shared" si="4"/>
        <v>0</v>
      </c>
      <c r="CC16">
        <f t="shared" si="5"/>
        <v>0</v>
      </c>
      <c r="CD16">
        <f t="shared" si="6"/>
        <v>0</v>
      </c>
      <c r="CE16">
        <f t="shared" si="7"/>
        <v>0</v>
      </c>
      <c r="CF16">
        <f t="shared" si="8"/>
        <v>0</v>
      </c>
      <c r="CH16">
        <f t="shared" si="9"/>
        <v>0</v>
      </c>
    </row>
    <row r="17" spans="1:86" x14ac:dyDescent="0.2">
      <c r="A17">
        <v>5</v>
      </c>
      <c r="I17">
        <f t="shared" si="1"/>
        <v>0</v>
      </c>
      <c r="K17">
        <f t="shared" si="2"/>
        <v>0</v>
      </c>
      <c r="L17">
        <f t="shared" si="3"/>
        <v>0</v>
      </c>
      <c r="CB17">
        <f t="shared" si="4"/>
        <v>0</v>
      </c>
      <c r="CC17">
        <f t="shared" si="5"/>
        <v>0</v>
      </c>
      <c r="CD17">
        <f t="shared" si="6"/>
        <v>0</v>
      </c>
      <c r="CE17">
        <f t="shared" si="7"/>
        <v>0</v>
      </c>
      <c r="CF17">
        <f t="shared" si="8"/>
        <v>0</v>
      </c>
      <c r="CH17">
        <f t="shared" si="9"/>
        <v>0</v>
      </c>
    </row>
    <row r="18" spans="1:86" x14ac:dyDescent="0.2">
      <c r="A18">
        <v>6</v>
      </c>
      <c r="I18">
        <f t="shared" si="1"/>
        <v>0</v>
      </c>
      <c r="K18">
        <f t="shared" si="2"/>
        <v>0</v>
      </c>
      <c r="L18">
        <f t="shared" si="3"/>
        <v>0</v>
      </c>
      <c r="CB18">
        <f t="shared" si="4"/>
        <v>0</v>
      </c>
      <c r="CC18">
        <f t="shared" si="5"/>
        <v>0</v>
      </c>
      <c r="CD18">
        <f t="shared" si="6"/>
        <v>0</v>
      </c>
      <c r="CE18">
        <f t="shared" si="7"/>
        <v>0</v>
      </c>
      <c r="CF18">
        <f t="shared" si="8"/>
        <v>0</v>
      </c>
      <c r="CH18">
        <f t="shared" si="9"/>
        <v>0</v>
      </c>
    </row>
    <row r="19" spans="1:86" x14ac:dyDescent="0.2">
      <c r="A19">
        <v>7</v>
      </c>
      <c r="I19">
        <f t="shared" si="1"/>
        <v>0</v>
      </c>
      <c r="K19">
        <f t="shared" si="2"/>
        <v>0</v>
      </c>
      <c r="L19">
        <f t="shared" si="3"/>
        <v>0</v>
      </c>
      <c r="CB19">
        <f t="shared" si="4"/>
        <v>0</v>
      </c>
      <c r="CC19">
        <f t="shared" si="5"/>
        <v>0</v>
      </c>
      <c r="CD19">
        <f t="shared" si="6"/>
        <v>0</v>
      </c>
      <c r="CE19">
        <f t="shared" si="7"/>
        <v>0</v>
      </c>
      <c r="CF19">
        <f t="shared" si="8"/>
        <v>0</v>
      </c>
      <c r="CH19">
        <f t="shared" si="9"/>
        <v>0</v>
      </c>
    </row>
    <row r="20" spans="1:86" x14ac:dyDescent="0.2">
      <c r="A20">
        <v>8</v>
      </c>
      <c r="I20">
        <f t="shared" si="1"/>
        <v>0</v>
      </c>
      <c r="K20">
        <f t="shared" si="2"/>
        <v>0</v>
      </c>
      <c r="L20">
        <f t="shared" si="3"/>
        <v>0</v>
      </c>
      <c r="CB20">
        <f t="shared" si="4"/>
        <v>0</v>
      </c>
      <c r="CC20">
        <f t="shared" si="5"/>
        <v>0</v>
      </c>
      <c r="CD20">
        <f t="shared" si="6"/>
        <v>0</v>
      </c>
      <c r="CE20">
        <f t="shared" si="7"/>
        <v>0</v>
      </c>
      <c r="CF20">
        <f t="shared" si="8"/>
        <v>0</v>
      </c>
      <c r="CH20">
        <f t="shared" si="9"/>
        <v>0</v>
      </c>
    </row>
    <row r="21" spans="1:86" x14ac:dyDescent="0.2">
      <c r="A21">
        <v>9</v>
      </c>
      <c r="I21">
        <f t="shared" si="1"/>
        <v>0</v>
      </c>
      <c r="K21">
        <f t="shared" si="2"/>
        <v>0</v>
      </c>
      <c r="L21">
        <f t="shared" si="3"/>
        <v>0</v>
      </c>
      <c r="CB21">
        <f t="shared" si="4"/>
        <v>0</v>
      </c>
      <c r="CC21">
        <f t="shared" si="5"/>
        <v>0</v>
      </c>
      <c r="CD21">
        <f t="shared" si="6"/>
        <v>0</v>
      </c>
      <c r="CE21">
        <f t="shared" si="7"/>
        <v>0</v>
      </c>
      <c r="CF21">
        <f t="shared" si="8"/>
        <v>0</v>
      </c>
      <c r="CH21">
        <f t="shared" si="9"/>
        <v>0</v>
      </c>
    </row>
    <row r="22" spans="1:86" x14ac:dyDescent="0.2">
      <c r="A22">
        <v>10</v>
      </c>
      <c r="I22">
        <f t="shared" si="1"/>
        <v>0</v>
      </c>
      <c r="K22">
        <f t="shared" si="2"/>
        <v>0</v>
      </c>
      <c r="L22">
        <f t="shared" si="3"/>
        <v>0</v>
      </c>
      <c r="CB22">
        <f t="shared" si="4"/>
        <v>0</v>
      </c>
      <c r="CC22">
        <f t="shared" si="5"/>
        <v>0</v>
      </c>
      <c r="CD22">
        <f t="shared" si="6"/>
        <v>0</v>
      </c>
      <c r="CE22">
        <f t="shared" si="7"/>
        <v>0</v>
      </c>
      <c r="CF22">
        <f t="shared" si="8"/>
        <v>0</v>
      </c>
      <c r="CH22">
        <f t="shared" si="9"/>
        <v>0</v>
      </c>
    </row>
    <row r="23" spans="1:86" x14ac:dyDescent="0.2">
      <c r="A23">
        <v>11</v>
      </c>
      <c r="I23">
        <f t="shared" si="1"/>
        <v>0</v>
      </c>
      <c r="K23">
        <f t="shared" si="2"/>
        <v>0</v>
      </c>
      <c r="L23">
        <f t="shared" si="3"/>
        <v>0</v>
      </c>
      <c r="CB23">
        <f t="shared" si="4"/>
        <v>0</v>
      </c>
      <c r="CC23">
        <f t="shared" si="5"/>
        <v>0</v>
      </c>
      <c r="CD23">
        <f t="shared" si="6"/>
        <v>0</v>
      </c>
      <c r="CE23">
        <f t="shared" si="7"/>
        <v>0</v>
      </c>
      <c r="CF23">
        <f t="shared" si="8"/>
        <v>0</v>
      </c>
      <c r="CH23">
        <f t="shared" si="9"/>
        <v>0</v>
      </c>
    </row>
    <row r="24" spans="1:86" x14ac:dyDescent="0.2">
      <c r="A24">
        <v>12</v>
      </c>
      <c r="I24">
        <f t="shared" si="1"/>
        <v>0</v>
      </c>
      <c r="K24">
        <f t="shared" si="2"/>
        <v>0</v>
      </c>
      <c r="L24">
        <f t="shared" si="3"/>
        <v>0</v>
      </c>
      <c r="CB24">
        <f t="shared" si="4"/>
        <v>0</v>
      </c>
      <c r="CC24">
        <f t="shared" si="5"/>
        <v>0</v>
      </c>
      <c r="CD24">
        <f t="shared" si="6"/>
        <v>0</v>
      </c>
      <c r="CE24">
        <f t="shared" si="7"/>
        <v>0</v>
      </c>
      <c r="CF24">
        <f t="shared" si="8"/>
        <v>0</v>
      </c>
      <c r="CH24">
        <f t="shared" si="9"/>
        <v>0</v>
      </c>
    </row>
    <row r="25" spans="1:86" x14ac:dyDescent="0.2">
      <c r="A25">
        <v>13</v>
      </c>
      <c r="I25">
        <f t="shared" si="1"/>
        <v>0</v>
      </c>
      <c r="K25">
        <f t="shared" si="2"/>
        <v>0</v>
      </c>
      <c r="L25">
        <f t="shared" si="3"/>
        <v>0</v>
      </c>
      <c r="CB25">
        <f t="shared" si="4"/>
        <v>0</v>
      </c>
      <c r="CC25">
        <f t="shared" si="5"/>
        <v>0</v>
      </c>
      <c r="CD25">
        <f t="shared" si="6"/>
        <v>0</v>
      </c>
      <c r="CE25">
        <f t="shared" si="7"/>
        <v>0</v>
      </c>
      <c r="CF25">
        <f t="shared" si="8"/>
        <v>0</v>
      </c>
      <c r="CH25">
        <f t="shared" si="9"/>
        <v>0</v>
      </c>
    </row>
    <row r="26" spans="1:86" x14ac:dyDescent="0.2">
      <c r="A26">
        <v>14</v>
      </c>
      <c r="I26">
        <f t="shared" si="1"/>
        <v>0</v>
      </c>
      <c r="K26">
        <f t="shared" si="2"/>
        <v>0</v>
      </c>
      <c r="L26">
        <f t="shared" si="3"/>
        <v>0</v>
      </c>
      <c r="CB26">
        <f t="shared" si="4"/>
        <v>0</v>
      </c>
      <c r="CC26">
        <f t="shared" si="5"/>
        <v>0</v>
      </c>
      <c r="CD26">
        <f t="shared" si="6"/>
        <v>0</v>
      </c>
      <c r="CE26">
        <f t="shared" si="7"/>
        <v>0</v>
      </c>
      <c r="CF26">
        <f t="shared" si="8"/>
        <v>0</v>
      </c>
      <c r="CH26">
        <f t="shared" si="9"/>
        <v>0</v>
      </c>
    </row>
    <row r="27" spans="1:86" x14ac:dyDescent="0.2">
      <c r="A27">
        <v>15</v>
      </c>
      <c r="I27">
        <f t="shared" si="1"/>
        <v>0</v>
      </c>
      <c r="K27">
        <f t="shared" si="2"/>
        <v>0</v>
      </c>
      <c r="L27">
        <f t="shared" si="3"/>
        <v>0</v>
      </c>
      <c r="CB27">
        <f t="shared" si="4"/>
        <v>0</v>
      </c>
      <c r="CC27">
        <f t="shared" si="5"/>
        <v>0</v>
      </c>
      <c r="CD27">
        <f t="shared" si="6"/>
        <v>0</v>
      </c>
      <c r="CE27">
        <f t="shared" si="7"/>
        <v>0</v>
      </c>
      <c r="CF27">
        <f t="shared" si="8"/>
        <v>0</v>
      </c>
      <c r="CH27">
        <f t="shared" si="9"/>
        <v>0</v>
      </c>
    </row>
    <row r="28" spans="1:86" x14ac:dyDescent="0.2">
      <c r="A28">
        <v>16</v>
      </c>
      <c r="I28">
        <f t="shared" si="1"/>
        <v>0</v>
      </c>
      <c r="K28">
        <f t="shared" si="2"/>
        <v>0</v>
      </c>
      <c r="L28">
        <f t="shared" si="3"/>
        <v>0</v>
      </c>
      <c r="CB28">
        <f t="shared" si="4"/>
        <v>0</v>
      </c>
      <c r="CC28">
        <f t="shared" si="5"/>
        <v>0</v>
      </c>
      <c r="CD28">
        <f t="shared" si="6"/>
        <v>0</v>
      </c>
      <c r="CE28">
        <f t="shared" si="7"/>
        <v>0</v>
      </c>
      <c r="CF28">
        <f t="shared" si="8"/>
        <v>0</v>
      </c>
      <c r="CH28">
        <f t="shared" si="9"/>
        <v>0</v>
      </c>
    </row>
    <row r="29" spans="1:86" x14ac:dyDescent="0.2">
      <c r="A29">
        <v>17</v>
      </c>
      <c r="I29">
        <f t="shared" si="1"/>
        <v>0</v>
      </c>
      <c r="K29">
        <f t="shared" si="2"/>
        <v>0</v>
      </c>
      <c r="L29">
        <f t="shared" si="3"/>
        <v>0</v>
      </c>
      <c r="CB29">
        <f t="shared" si="4"/>
        <v>0</v>
      </c>
      <c r="CC29">
        <f t="shared" si="5"/>
        <v>0</v>
      </c>
      <c r="CD29">
        <f t="shared" si="6"/>
        <v>0</v>
      </c>
      <c r="CE29">
        <f t="shared" si="7"/>
        <v>0</v>
      </c>
      <c r="CF29">
        <f t="shared" si="8"/>
        <v>0</v>
      </c>
      <c r="CH29">
        <f t="shared" si="9"/>
        <v>0</v>
      </c>
    </row>
    <row r="30" spans="1:86" x14ac:dyDescent="0.2">
      <c r="A30">
        <v>18</v>
      </c>
      <c r="I30">
        <f t="shared" si="1"/>
        <v>0</v>
      </c>
      <c r="K30">
        <f t="shared" si="2"/>
        <v>0</v>
      </c>
      <c r="L30">
        <f t="shared" si="3"/>
        <v>0</v>
      </c>
      <c r="CB30">
        <f t="shared" si="4"/>
        <v>0</v>
      </c>
      <c r="CC30">
        <f t="shared" si="5"/>
        <v>0</v>
      </c>
      <c r="CD30">
        <f t="shared" si="6"/>
        <v>0</v>
      </c>
      <c r="CE30">
        <f t="shared" si="7"/>
        <v>0</v>
      </c>
      <c r="CF30">
        <f t="shared" si="8"/>
        <v>0</v>
      </c>
      <c r="CH30">
        <f t="shared" si="9"/>
        <v>0</v>
      </c>
    </row>
    <row r="31" spans="1:86" x14ac:dyDescent="0.2">
      <c r="A31">
        <v>19</v>
      </c>
      <c r="I31">
        <f t="shared" si="1"/>
        <v>0</v>
      </c>
      <c r="K31">
        <f t="shared" si="2"/>
        <v>0</v>
      </c>
      <c r="L31">
        <f t="shared" si="3"/>
        <v>0</v>
      </c>
      <c r="CB31">
        <f t="shared" si="4"/>
        <v>0</v>
      </c>
      <c r="CC31">
        <f t="shared" si="5"/>
        <v>0</v>
      </c>
      <c r="CD31">
        <f t="shared" si="6"/>
        <v>0</v>
      </c>
      <c r="CE31">
        <f t="shared" si="7"/>
        <v>0</v>
      </c>
      <c r="CF31">
        <f t="shared" si="8"/>
        <v>0</v>
      </c>
      <c r="CH31">
        <f t="shared" si="9"/>
        <v>0</v>
      </c>
    </row>
    <row r="32" spans="1:86" x14ac:dyDescent="0.2">
      <c r="A32">
        <v>20</v>
      </c>
      <c r="I32">
        <f t="shared" si="1"/>
        <v>0</v>
      </c>
      <c r="K32">
        <f t="shared" si="2"/>
        <v>0</v>
      </c>
      <c r="L32">
        <f t="shared" si="3"/>
        <v>0</v>
      </c>
      <c r="CB32">
        <f t="shared" si="4"/>
        <v>0</v>
      </c>
      <c r="CC32">
        <f t="shared" si="5"/>
        <v>0</v>
      </c>
      <c r="CD32">
        <f t="shared" si="6"/>
        <v>0</v>
      </c>
      <c r="CE32">
        <f t="shared" si="7"/>
        <v>0</v>
      </c>
      <c r="CF32">
        <f t="shared" si="8"/>
        <v>0</v>
      </c>
      <c r="CH32">
        <f t="shared" si="9"/>
        <v>0</v>
      </c>
    </row>
    <row r="33" spans="1:86" x14ac:dyDescent="0.2">
      <c r="A33">
        <v>21</v>
      </c>
      <c r="I33">
        <f t="shared" si="1"/>
        <v>0</v>
      </c>
      <c r="K33">
        <f t="shared" si="2"/>
        <v>0</v>
      </c>
      <c r="L33">
        <f t="shared" si="3"/>
        <v>0</v>
      </c>
      <c r="CB33">
        <f t="shared" si="4"/>
        <v>0</v>
      </c>
      <c r="CC33">
        <f t="shared" si="5"/>
        <v>0</v>
      </c>
      <c r="CD33">
        <f t="shared" si="6"/>
        <v>0</v>
      </c>
      <c r="CE33">
        <f t="shared" si="7"/>
        <v>0</v>
      </c>
      <c r="CF33">
        <f t="shared" si="8"/>
        <v>0</v>
      </c>
      <c r="CH33">
        <f t="shared" si="9"/>
        <v>0</v>
      </c>
    </row>
    <row r="34" spans="1:86" x14ac:dyDescent="0.2">
      <c r="A34">
        <v>22</v>
      </c>
      <c r="I34">
        <f t="shared" si="1"/>
        <v>0</v>
      </c>
      <c r="K34">
        <f t="shared" si="2"/>
        <v>0</v>
      </c>
      <c r="L34">
        <f t="shared" si="3"/>
        <v>0</v>
      </c>
      <c r="CB34">
        <f t="shared" si="4"/>
        <v>0</v>
      </c>
      <c r="CC34">
        <f t="shared" si="5"/>
        <v>0</v>
      </c>
      <c r="CD34">
        <f t="shared" si="6"/>
        <v>0</v>
      </c>
      <c r="CE34">
        <f t="shared" si="7"/>
        <v>0</v>
      </c>
      <c r="CF34">
        <f t="shared" si="8"/>
        <v>0</v>
      </c>
      <c r="CH34">
        <f t="shared" si="9"/>
        <v>0</v>
      </c>
    </row>
    <row r="35" spans="1:86" x14ac:dyDescent="0.2">
      <c r="A35">
        <v>23</v>
      </c>
      <c r="I35">
        <f t="shared" si="1"/>
        <v>0</v>
      </c>
      <c r="K35">
        <f t="shared" si="2"/>
        <v>0</v>
      </c>
      <c r="L35">
        <f t="shared" si="3"/>
        <v>0</v>
      </c>
      <c r="CB35">
        <f t="shared" si="4"/>
        <v>0</v>
      </c>
      <c r="CC35">
        <f t="shared" si="5"/>
        <v>0</v>
      </c>
      <c r="CD35">
        <f t="shared" si="6"/>
        <v>0</v>
      </c>
      <c r="CE35">
        <f t="shared" si="7"/>
        <v>0</v>
      </c>
      <c r="CF35">
        <f t="shared" si="8"/>
        <v>0</v>
      </c>
      <c r="CH35">
        <f t="shared" si="9"/>
        <v>0</v>
      </c>
    </row>
    <row r="36" spans="1:86" x14ac:dyDescent="0.2">
      <c r="A36">
        <v>24</v>
      </c>
      <c r="I36">
        <f t="shared" si="1"/>
        <v>0</v>
      </c>
      <c r="K36">
        <f t="shared" si="2"/>
        <v>0</v>
      </c>
      <c r="L36">
        <f t="shared" si="3"/>
        <v>0</v>
      </c>
      <c r="CB36">
        <f t="shared" si="4"/>
        <v>0</v>
      </c>
      <c r="CC36">
        <f t="shared" si="5"/>
        <v>0</v>
      </c>
      <c r="CD36">
        <f t="shared" si="6"/>
        <v>0</v>
      </c>
      <c r="CE36">
        <f t="shared" si="7"/>
        <v>0</v>
      </c>
      <c r="CF36">
        <f t="shared" si="8"/>
        <v>0</v>
      </c>
      <c r="CH36">
        <f t="shared" si="9"/>
        <v>0</v>
      </c>
    </row>
    <row r="37" spans="1:86" x14ac:dyDescent="0.2">
      <c r="A37">
        <v>25</v>
      </c>
      <c r="I37">
        <f t="shared" si="1"/>
        <v>0</v>
      </c>
      <c r="K37">
        <f t="shared" si="2"/>
        <v>0</v>
      </c>
      <c r="L37">
        <f t="shared" si="3"/>
        <v>0</v>
      </c>
      <c r="CB37">
        <f t="shared" si="4"/>
        <v>0</v>
      </c>
      <c r="CC37">
        <f t="shared" si="5"/>
        <v>0</v>
      </c>
      <c r="CD37">
        <f t="shared" si="6"/>
        <v>0</v>
      </c>
      <c r="CE37">
        <f t="shared" si="7"/>
        <v>0</v>
      </c>
      <c r="CF37">
        <f t="shared" si="8"/>
        <v>0</v>
      </c>
      <c r="CH37">
        <f t="shared" si="9"/>
        <v>0</v>
      </c>
    </row>
    <row r="38" spans="1:86" x14ac:dyDescent="0.2">
      <c r="A38">
        <v>26</v>
      </c>
      <c r="I38">
        <f t="shared" si="1"/>
        <v>0</v>
      </c>
      <c r="K38">
        <f t="shared" si="2"/>
        <v>0</v>
      </c>
      <c r="L38">
        <f t="shared" si="3"/>
        <v>0</v>
      </c>
      <c r="CB38">
        <f t="shared" si="4"/>
        <v>0</v>
      </c>
      <c r="CC38">
        <f t="shared" si="5"/>
        <v>0</v>
      </c>
      <c r="CD38">
        <f t="shared" si="6"/>
        <v>0</v>
      </c>
      <c r="CE38">
        <f t="shared" si="7"/>
        <v>0</v>
      </c>
      <c r="CF38">
        <f t="shared" si="8"/>
        <v>0</v>
      </c>
      <c r="CH38">
        <f t="shared" si="9"/>
        <v>0</v>
      </c>
    </row>
    <row r="39" spans="1:86" x14ac:dyDescent="0.2">
      <c r="A39">
        <v>27</v>
      </c>
      <c r="I39">
        <f t="shared" si="1"/>
        <v>0</v>
      </c>
      <c r="K39">
        <f t="shared" si="2"/>
        <v>0</v>
      </c>
      <c r="L39">
        <f t="shared" si="3"/>
        <v>0</v>
      </c>
      <c r="CB39">
        <f t="shared" si="4"/>
        <v>0</v>
      </c>
      <c r="CC39">
        <f t="shared" si="5"/>
        <v>0</v>
      </c>
      <c r="CD39">
        <f t="shared" si="6"/>
        <v>0</v>
      </c>
      <c r="CE39">
        <f t="shared" si="7"/>
        <v>0</v>
      </c>
      <c r="CF39">
        <f t="shared" si="8"/>
        <v>0</v>
      </c>
      <c r="CH39">
        <f t="shared" si="9"/>
        <v>0</v>
      </c>
    </row>
    <row r="40" spans="1:86" x14ac:dyDescent="0.2">
      <c r="A40">
        <v>28</v>
      </c>
      <c r="I40">
        <f t="shared" si="1"/>
        <v>0</v>
      </c>
      <c r="K40">
        <f t="shared" si="2"/>
        <v>0</v>
      </c>
      <c r="L40">
        <f t="shared" si="3"/>
        <v>0</v>
      </c>
      <c r="CB40">
        <f t="shared" si="4"/>
        <v>0</v>
      </c>
      <c r="CC40">
        <f t="shared" si="5"/>
        <v>0</v>
      </c>
      <c r="CD40">
        <f t="shared" si="6"/>
        <v>0</v>
      </c>
      <c r="CE40">
        <f t="shared" si="7"/>
        <v>0</v>
      </c>
      <c r="CF40">
        <f t="shared" si="8"/>
        <v>0</v>
      </c>
      <c r="CH40">
        <f t="shared" si="9"/>
        <v>0</v>
      </c>
    </row>
    <row r="41" spans="1:86" x14ac:dyDescent="0.2">
      <c r="A41">
        <v>29</v>
      </c>
      <c r="I41">
        <f t="shared" si="1"/>
        <v>0</v>
      </c>
      <c r="K41">
        <f t="shared" si="2"/>
        <v>0</v>
      </c>
      <c r="L41">
        <f t="shared" si="3"/>
        <v>0</v>
      </c>
      <c r="CB41">
        <f t="shared" si="4"/>
        <v>0</v>
      </c>
      <c r="CC41">
        <f t="shared" si="5"/>
        <v>0</v>
      </c>
      <c r="CD41">
        <f t="shared" si="6"/>
        <v>0</v>
      </c>
      <c r="CE41">
        <f t="shared" si="7"/>
        <v>0</v>
      </c>
      <c r="CF41">
        <f t="shared" si="8"/>
        <v>0</v>
      </c>
      <c r="CH41">
        <f t="shared" si="9"/>
        <v>0</v>
      </c>
    </row>
    <row r="42" spans="1:86" x14ac:dyDescent="0.2">
      <c r="A42">
        <v>30</v>
      </c>
      <c r="I42">
        <f t="shared" si="1"/>
        <v>0</v>
      </c>
      <c r="K42">
        <f t="shared" si="2"/>
        <v>0</v>
      </c>
      <c r="L42">
        <f t="shared" si="3"/>
        <v>0</v>
      </c>
      <c r="CB42">
        <f t="shared" si="4"/>
        <v>0</v>
      </c>
      <c r="CC42">
        <f t="shared" si="5"/>
        <v>0</v>
      </c>
      <c r="CD42">
        <f t="shared" si="6"/>
        <v>0</v>
      </c>
      <c r="CE42">
        <f t="shared" si="7"/>
        <v>0</v>
      </c>
      <c r="CF42">
        <f t="shared" si="8"/>
        <v>0</v>
      </c>
      <c r="CH42">
        <f t="shared" si="9"/>
        <v>0</v>
      </c>
    </row>
    <row r="43" spans="1:86" x14ac:dyDescent="0.2">
      <c r="A43">
        <v>31</v>
      </c>
      <c r="I43">
        <f t="shared" si="1"/>
        <v>0</v>
      </c>
      <c r="K43">
        <f t="shared" si="2"/>
        <v>0</v>
      </c>
      <c r="L43">
        <f t="shared" si="3"/>
        <v>0</v>
      </c>
      <c r="CB43">
        <f t="shared" si="4"/>
        <v>0</v>
      </c>
      <c r="CC43">
        <f t="shared" si="5"/>
        <v>0</v>
      </c>
      <c r="CD43">
        <f t="shared" si="6"/>
        <v>0</v>
      </c>
      <c r="CE43">
        <f t="shared" si="7"/>
        <v>0</v>
      </c>
      <c r="CF43">
        <f t="shared" si="8"/>
        <v>0</v>
      </c>
      <c r="CH43">
        <f t="shared" si="9"/>
        <v>0</v>
      </c>
    </row>
    <row r="44" spans="1:86" x14ac:dyDescent="0.2">
      <c r="A44">
        <v>32</v>
      </c>
      <c r="I44">
        <f t="shared" si="1"/>
        <v>0</v>
      </c>
      <c r="K44">
        <f t="shared" si="2"/>
        <v>0</v>
      </c>
      <c r="L44">
        <f t="shared" si="3"/>
        <v>0</v>
      </c>
      <c r="CB44">
        <f t="shared" si="4"/>
        <v>0</v>
      </c>
      <c r="CC44">
        <f t="shared" si="5"/>
        <v>0</v>
      </c>
      <c r="CD44">
        <f t="shared" si="6"/>
        <v>0</v>
      </c>
      <c r="CE44">
        <f t="shared" si="7"/>
        <v>0</v>
      </c>
      <c r="CF44">
        <f t="shared" si="8"/>
        <v>0</v>
      </c>
      <c r="CH44">
        <f t="shared" si="9"/>
        <v>0</v>
      </c>
    </row>
    <row r="45" spans="1:86" x14ac:dyDescent="0.2">
      <c r="A45">
        <v>33</v>
      </c>
      <c r="I45">
        <f t="shared" ref="I45:I76" si="10">H45-G45</f>
        <v>0</v>
      </c>
      <c r="K45">
        <f t="shared" ref="K45:K80" si="11">H45</f>
        <v>0</v>
      </c>
      <c r="L45">
        <f t="shared" ref="L45:L76" si="12">K45-J45</f>
        <v>0</v>
      </c>
      <c r="CB45">
        <f t="shared" ref="CB45:CB80" si="13">IF(OR(H45&lt;0,K45&lt;0),1,0)</f>
        <v>0</v>
      </c>
      <c r="CC45">
        <f t="shared" ref="CC45:CC80" si="14">IF(AND(H45&gt;0,ISBLANK(B45)),1,IF(AND(H45&gt;0,ISBLANK(C45)),1,IF(AND(H45&gt;0,ISBLANK(D45)),1,IF(AND(H45&gt;0,ISBLANK(E45)),1,0))))</f>
        <v>0</v>
      </c>
      <c r="CD45">
        <f t="shared" ref="CD45:CD80" si="15">IF(AND(K45&gt;0,ISBLANK(B45)),1,IF(AND(K45&gt;0,ISBLANK(C45)),1,IF(AND(K45&gt;0,ISBLANK(D45)),1,IF(AND(K45&gt;0,ISBLANK(E45)),1,0))))</f>
        <v>0</v>
      </c>
      <c r="CE45">
        <f t="shared" ref="CE45:CE80" si="16">IF(AND((K45)=0,COUNTIF(B45:E45,"")=4),0,IF(AND(K45&gt;=0,COUNTIF(B45:E45,"")=0),0,1))</f>
        <v>0</v>
      </c>
      <c r="CF45">
        <f t="shared" ref="CF45:CF80" si="17">IF(AND(E45="C",K45&gt;0),IF(ISBLANK(F45)=FALSE,0,1),0)</f>
        <v>0</v>
      </c>
      <c r="CH45">
        <f t="shared" ref="CH45:CH80" si="18">IF(H45&gt;K45,1,0)</f>
        <v>0</v>
      </c>
    </row>
    <row r="46" spans="1:86" x14ac:dyDescent="0.2">
      <c r="A46">
        <v>34</v>
      </c>
      <c r="I46">
        <f t="shared" si="10"/>
        <v>0</v>
      </c>
      <c r="K46">
        <f t="shared" si="11"/>
        <v>0</v>
      </c>
      <c r="L46">
        <f t="shared" si="12"/>
        <v>0</v>
      </c>
      <c r="CB46">
        <f t="shared" si="13"/>
        <v>0</v>
      </c>
      <c r="CC46">
        <f t="shared" si="14"/>
        <v>0</v>
      </c>
      <c r="CD46">
        <f t="shared" si="15"/>
        <v>0</v>
      </c>
      <c r="CE46">
        <f t="shared" si="16"/>
        <v>0</v>
      </c>
      <c r="CF46">
        <f t="shared" si="17"/>
        <v>0</v>
      </c>
      <c r="CH46">
        <f t="shared" si="18"/>
        <v>0</v>
      </c>
    </row>
    <row r="47" spans="1:86" x14ac:dyDescent="0.2">
      <c r="A47">
        <v>35</v>
      </c>
      <c r="I47">
        <f t="shared" si="10"/>
        <v>0</v>
      </c>
      <c r="K47">
        <f t="shared" si="11"/>
        <v>0</v>
      </c>
      <c r="L47">
        <f t="shared" si="12"/>
        <v>0</v>
      </c>
      <c r="CB47">
        <f t="shared" si="13"/>
        <v>0</v>
      </c>
      <c r="CC47">
        <f t="shared" si="14"/>
        <v>0</v>
      </c>
      <c r="CD47">
        <f t="shared" si="15"/>
        <v>0</v>
      </c>
      <c r="CE47">
        <f t="shared" si="16"/>
        <v>0</v>
      </c>
      <c r="CF47">
        <f t="shared" si="17"/>
        <v>0</v>
      </c>
      <c r="CH47">
        <f t="shared" si="18"/>
        <v>0</v>
      </c>
    </row>
    <row r="48" spans="1:86" x14ac:dyDescent="0.2">
      <c r="A48">
        <v>36</v>
      </c>
      <c r="I48">
        <f t="shared" si="10"/>
        <v>0</v>
      </c>
      <c r="K48">
        <f t="shared" si="11"/>
        <v>0</v>
      </c>
      <c r="L48">
        <f t="shared" si="12"/>
        <v>0</v>
      </c>
      <c r="CB48">
        <f t="shared" si="13"/>
        <v>0</v>
      </c>
      <c r="CC48">
        <f t="shared" si="14"/>
        <v>0</v>
      </c>
      <c r="CD48">
        <f t="shared" si="15"/>
        <v>0</v>
      </c>
      <c r="CE48">
        <f t="shared" si="16"/>
        <v>0</v>
      </c>
      <c r="CF48">
        <f t="shared" si="17"/>
        <v>0</v>
      </c>
      <c r="CH48">
        <f t="shared" si="18"/>
        <v>0</v>
      </c>
    </row>
    <row r="49" spans="1:86" x14ac:dyDescent="0.2">
      <c r="A49">
        <v>37</v>
      </c>
      <c r="I49">
        <f t="shared" si="10"/>
        <v>0</v>
      </c>
      <c r="K49">
        <f t="shared" si="11"/>
        <v>0</v>
      </c>
      <c r="L49">
        <f t="shared" si="12"/>
        <v>0</v>
      </c>
      <c r="CB49">
        <f t="shared" si="13"/>
        <v>0</v>
      </c>
      <c r="CC49">
        <f t="shared" si="14"/>
        <v>0</v>
      </c>
      <c r="CD49">
        <f t="shared" si="15"/>
        <v>0</v>
      </c>
      <c r="CE49">
        <f t="shared" si="16"/>
        <v>0</v>
      </c>
      <c r="CF49">
        <f t="shared" si="17"/>
        <v>0</v>
      </c>
      <c r="CH49">
        <f t="shared" si="18"/>
        <v>0</v>
      </c>
    </row>
    <row r="50" spans="1:86" x14ac:dyDescent="0.2">
      <c r="A50">
        <v>38</v>
      </c>
      <c r="I50">
        <f t="shared" si="10"/>
        <v>0</v>
      </c>
      <c r="K50">
        <f t="shared" si="11"/>
        <v>0</v>
      </c>
      <c r="L50">
        <f t="shared" si="12"/>
        <v>0</v>
      </c>
      <c r="CB50">
        <f t="shared" si="13"/>
        <v>0</v>
      </c>
      <c r="CC50">
        <f t="shared" si="14"/>
        <v>0</v>
      </c>
      <c r="CD50">
        <f t="shared" si="15"/>
        <v>0</v>
      </c>
      <c r="CE50">
        <f t="shared" si="16"/>
        <v>0</v>
      </c>
      <c r="CF50">
        <f t="shared" si="17"/>
        <v>0</v>
      </c>
      <c r="CH50">
        <f t="shared" si="18"/>
        <v>0</v>
      </c>
    </row>
    <row r="51" spans="1:86" x14ac:dyDescent="0.2">
      <c r="A51">
        <v>39</v>
      </c>
      <c r="I51">
        <f t="shared" si="10"/>
        <v>0</v>
      </c>
      <c r="K51">
        <f t="shared" si="11"/>
        <v>0</v>
      </c>
      <c r="L51">
        <f t="shared" si="12"/>
        <v>0</v>
      </c>
      <c r="CB51">
        <f t="shared" si="13"/>
        <v>0</v>
      </c>
      <c r="CC51">
        <f t="shared" si="14"/>
        <v>0</v>
      </c>
      <c r="CD51">
        <f t="shared" si="15"/>
        <v>0</v>
      </c>
      <c r="CE51">
        <f t="shared" si="16"/>
        <v>0</v>
      </c>
      <c r="CF51">
        <f t="shared" si="17"/>
        <v>0</v>
      </c>
      <c r="CH51">
        <f t="shared" si="18"/>
        <v>0</v>
      </c>
    </row>
    <row r="52" spans="1:86" x14ac:dyDescent="0.2">
      <c r="A52">
        <v>40</v>
      </c>
      <c r="I52">
        <f t="shared" si="10"/>
        <v>0</v>
      </c>
      <c r="K52">
        <f t="shared" si="11"/>
        <v>0</v>
      </c>
      <c r="L52">
        <f t="shared" si="12"/>
        <v>0</v>
      </c>
      <c r="CB52">
        <f t="shared" si="13"/>
        <v>0</v>
      </c>
      <c r="CC52">
        <f t="shared" si="14"/>
        <v>0</v>
      </c>
      <c r="CD52">
        <f t="shared" si="15"/>
        <v>0</v>
      </c>
      <c r="CE52">
        <f t="shared" si="16"/>
        <v>0</v>
      </c>
      <c r="CF52">
        <f t="shared" si="17"/>
        <v>0</v>
      </c>
      <c r="CH52">
        <f t="shared" si="18"/>
        <v>0</v>
      </c>
    </row>
    <row r="53" spans="1:86" x14ac:dyDescent="0.2">
      <c r="A53">
        <v>41</v>
      </c>
      <c r="I53">
        <f t="shared" si="10"/>
        <v>0</v>
      </c>
      <c r="K53">
        <f t="shared" si="11"/>
        <v>0</v>
      </c>
      <c r="L53">
        <f t="shared" si="12"/>
        <v>0</v>
      </c>
      <c r="CB53">
        <f t="shared" si="13"/>
        <v>0</v>
      </c>
      <c r="CC53">
        <f t="shared" si="14"/>
        <v>0</v>
      </c>
      <c r="CD53">
        <f t="shared" si="15"/>
        <v>0</v>
      </c>
      <c r="CE53">
        <f t="shared" si="16"/>
        <v>0</v>
      </c>
      <c r="CF53">
        <f t="shared" si="17"/>
        <v>0</v>
      </c>
      <c r="CH53">
        <f t="shared" si="18"/>
        <v>0</v>
      </c>
    </row>
    <row r="54" spans="1:86" x14ac:dyDescent="0.2">
      <c r="A54">
        <v>42</v>
      </c>
      <c r="I54">
        <f t="shared" si="10"/>
        <v>0</v>
      </c>
      <c r="K54">
        <f t="shared" si="11"/>
        <v>0</v>
      </c>
      <c r="L54">
        <f t="shared" si="12"/>
        <v>0</v>
      </c>
      <c r="CB54">
        <f t="shared" si="13"/>
        <v>0</v>
      </c>
      <c r="CC54">
        <f t="shared" si="14"/>
        <v>0</v>
      </c>
      <c r="CD54">
        <f t="shared" si="15"/>
        <v>0</v>
      </c>
      <c r="CE54">
        <f t="shared" si="16"/>
        <v>0</v>
      </c>
      <c r="CF54">
        <f t="shared" si="17"/>
        <v>0</v>
      </c>
      <c r="CH54">
        <f t="shared" si="18"/>
        <v>0</v>
      </c>
    </row>
    <row r="55" spans="1:86" x14ac:dyDescent="0.2">
      <c r="A55">
        <v>43</v>
      </c>
      <c r="I55">
        <f t="shared" si="10"/>
        <v>0</v>
      </c>
      <c r="K55">
        <f t="shared" si="11"/>
        <v>0</v>
      </c>
      <c r="L55">
        <f t="shared" si="12"/>
        <v>0</v>
      </c>
      <c r="CB55">
        <f t="shared" si="13"/>
        <v>0</v>
      </c>
      <c r="CC55">
        <f t="shared" si="14"/>
        <v>0</v>
      </c>
      <c r="CD55">
        <f t="shared" si="15"/>
        <v>0</v>
      </c>
      <c r="CE55">
        <f t="shared" si="16"/>
        <v>0</v>
      </c>
      <c r="CF55">
        <f t="shared" si="17"/>
        <v>0</v>
      </c>
      <c r="CH55">
        <f t="shared" si="18"/>
        <v>0</v>
      </c>
    </row>
    <row r="56" spans="1:86" x14ac:dyDescent="0.2">
      <c r="A56">
        <v>44</v>
      </c>
      <c r="I56">
        <f t="shared" si="10"/>
        <v>0</v>
      </c>
      <c r="K56">
        <f t="shared" si="11"/>
        <v>0</v>
      </c>
      <c r="L56">
        <f t="shared" si="12"/>
        <v>0</v>
      </c>
      <c r="CB56">
        <f t="shared" si="13"/>
        <v>0</v>
      </c>
      <c r="CC56">
        <f t="shared" si="14"/>
        <v>0</v>
      </c>
      <c r="CD56">
        <f t="shared" si="15"/>
        <v>0</v>
      </c>
      <c r="CE56">
        <f t="shared" si="16"/>
        <v>0</v>
      </c>
      <c r="CF56">
        <f t="shared" si="17"/>
        <v>0</v>
      </c>
      <c r="CH56">
        <f t="shared" si="18"/>
        <v>0</v>
      </c>
    </row>
    <row r="57" spans="1:86" x14ac:dyDescent="0.2">
      <c r="A57">
        <v>45</v>
      </c>
      <c r="I57">
        <f t="shared" si="10"/>
        <v>0</v>
      </c>
      <c r="K57">
        <f t="shared" si="11"/>
        <v>0</v>
      </c>
      <c r="L57">
        <f t="shared" si="12"/>
        <v>0</v>
      </c>
      <c r="CB57">
        <f t="shared" si="13"/>
        <v>0</v>
      </c>
      <c r="CC57">
        <f t="shared" si="14"/>
        <v>0</v>
      </c>
      <c r="CD57">
        <f t="shared" si="15"/>
        <v>0</v>
      </c>
      <c r="CE57">
        <f t="shared" si="16"/>
        <v>0</v>
      </c>
      <c r="CF57">
        <f t="shared" si="17"/>
        <v>0</v>
      </c>
      <c r="CH57">
        <f t="shared" si="18"/>
        <v>0</v>
      </c>
    </row>
    <row r="58" spans="1:86" x14ac:dyDescent="0.2">
      <c r="A58">
        <v>46</v>
      </c>
      <c r="I58">
        <f t="shared" si="10"/>
        <v>0</v>
      </c>
      <c r="K58">
        <f t="shared" si="11"/>
        <v>0</v>
      </c>
      <c r="L58">
        <f t="shared" si="12"/>
        <v>0</v>
      </c>
      <c r="CB58">
        <f t="shared" si="13"/>
        <v>0</v>
      </c>
      <c r="CC58">
        <f t="shared" si="14"/>
        <v>0</v>
      </c>
      <c r="CD58">
        <f t="shared" si="15"/>
        <v>0</v>
      </c>
      <c r="CE58">
        <f t="shared" si="16"/>
        <v>0</v>
      </c>
      <c r="CF58">
        <f t="shared" si="17"/>
        <v>0</v>
      </c>
      <c r="CH58">
        <f t="shared" si="18"/>
        <v>0</v>
      </c>
    </row>
    <row r="59" spans="1:86" x14ac:dyDescent="0.2">
      <c r="A59">
        <v>47</v>
      </c>
      <c r="I59">
        <f t="shared" si="10"/>
        <v>0</v>
      </c>
      <c r="K59">
        <f t="shared" si="11"/>
        <v>0</v>
      </c>
      <c r="L59">
        <f t="shared" si="12"/>
        <v>0</v>
      </c>
      <c r="CB59">
        <f t="shared" si="13"/>
        <v>0</v>
      </c>
      <c r="CC59">
        <f t="shared" si="14"/>
        <v>0</v>
      </c>
      <c r="CD59">
        <f t="shared" si="15"/>
        <v>0</v>
      </c>
      <c r="CE59">
        <f t="shared" si="16"/>
        <v>0</v>
      </c>
      <c r="CF59">
        <f t="shared" si="17"/>
        <v>0</v>
      </c>
      <c r="CH59">
        <f t="shared" si="18"/>
        <v>0</v>
      </c>
    </row>
    <row r="60" spans="1:86" x14ac:dyDescent="0.2">
      <c r="A60">
        <v>48</v>
      </c>
      <c r="I60">
        <f t="shared" si="10"/>
        <v>0</v>
      </c>
      <c r="K60">
        <f t="shared" si="11"/>
        <v>0</v>
      </c>
      <c r="L60">
        <f t="shared" si="12"/>
        <v>0</v>
      </c>
      <c r="CB60">
        <f t="shared" si="13"/>
        <v>0</v>
      </c>
      <c r="CC60">
        <f t="shared" si="14"/>
        <v>0</v>
      </c>
      <c r="CD60">
        <f t="shared" si="15"/>
        <v>0</v>
      </c>
      <c r="CE60">
        <f t="shared" si="16"/>
        <v>0</v>
      </c>
      <c r="CF60">
        <f t="shared" si="17"/>
        <v>0</v>
      </c>
      <c r="CH60">
        <f t="shared" si="18"/>
        <v>0</v>
      </c>
    </row>
    <row r="61" spans="1:86" x14ac:dyDescent="0.2">
      <c r="A61">
        <v>49</v>
      </c>
      <c r="I61">
        <f t="shared" si="10"/>
        <v>0</v>
      </c>
      <c r="K61">
        <f t="shared" si="11"/>
        <v>0</v>
      </c>
      <c r="L61">
        <f t="shared" si="12"/>
        <v>0</v>
      </c>
      <c r="CB61">
        <f t="shared" si="13"/>
        <v>0</v>
      </c>
      <c r="CC61">
        <f t="shared" si="14"/>
        <v>0</v>
      </c>
      <c r="CD61">
        <f t="shared" si="15"/>
        <v>0</v>
      </c>
      <c r="CE61">
        <f t="shared" si="16"/>
        <v>0</v>
      </c>
      <c r="CF61">
        <f t="shared" si="17"/>
        <v>0</v>
      </c>
      <c r="CH61">
        <f t="shared" si="18"/>
        <v>0</v>
      </c>
    </row>
    <row r="62" spans="1:86" x14ac:dyDescent="0.2">
      <c r="A62">
        <v>50</v>
      </c>
      <c r="I62">
        <f t="shared" si="10"/>
        <v>0</v>
      </c>
      <c r="K62">
        <f t="shared" si="11"/>
        <v>0</v>
      </c>
      <c r="L62">
        <f t="shared" si="12"/>
        <v>0</v>
      </c>
      <c r="CB62">
        <f t="shared" si="13"/>
        <v>0</v>
      </c>
      <c r="CC62">
        <f t="shared" si="14"/>
        <v>0</v>
      </c>
      <c r="CD62">
        <f t="shared" si="15"/>
        <v>0</v>
      </c>
      <c r="CE62">
        <f t="shared" si="16"/>
        <v>0</v>
      </c>
      <c r="CF62">
        <f t="shared" si="17"/>
        <v>0</v>
      </c>
      <c r="CH62">
        <f t="shared" si="18"/>
        <v>0</v>
      </c>
    </row>
    <row r="63" spans="1:86" x14ac:dyDescent="0.2">
      <c r="A63">
        <v>51</v>
      </c>
      <c r="I63">
        <f t="shared" si="10"/>
        <v>0</v>
      </c>
      <c r="K63">
        <f t="shared" si="11"/>
        <v>0</v>
      </c>
      <c r="L63">
        <f t="shared" si="12"/>
        <v>0</v>
      </c>
      <c r="CB63">
        <f t="shared" si="13"/>
        <v>0</v>
      </c>
      <c r="CC63">
        <f t="shared" si="14"/>
        <v>0</v>
      </c>
      <c r="CD63">
        <f t="shared" si="15"/>
        <v>0</v>
      </c>
      <c r="CE63">
        <f t="shared" si="16"/>
        <v>0</v>
      </c>
      <c r="CF63">
        <f t="shared" si="17"/>
        <v>0</v>
      </c>
      <c r="CH63">
        <f t="shared" si="18"/>
        <v>0</v>
      </c>
    </row>
    <row r="64" spans="1:86" x14ac:dyDescent="0.2">
      <c r="A64">
        <v>52</v>
      </c>
      <c r="I64">
        <f t="shared" si="10"/>
        <v>0</v>
      </c>
      <c r="K64">
        <f t="shared" si="11"/>
        <v>0</v>
      </c>
      <c r="L64">
        <f t="shared" si="12"/>
        <v>0</v>
      </c>
      <c r="CB64">
        <f t="shared" si="13"/>
        <v>0</v>
      </c>
      <c r="CC64">
        <f t="shared" si="14"/>
        <v>0</v>
      </c>
      <c r="CD64">
        <f t="shared" si="15"/>
        <v>0</v>
      </c>
      <c r="CE64">
        <f t="shared" si="16"/>
        <v>0</v>
      </c>
      <c r="CF64">
        <f t="shared" si="17"/>
        <v>0</v>
      </c>
      <c r="CH64">
        <f t="shared" si="18"/>
        <v>0</v>
      </c>
    </row>
    <row r="65" spans="1:86" x14ac:dyDescent="0.2">
      <c r="A65">
        <v>53</v>
      </c>
      <c r="I65">
        <f t="shared" si="10"/>
        <v>0</v>
      </c>
      <c r="K65">
        <f t="shared" si="11"/>
        <v>0</v>
      </c>
      <c r="L65">
        <f t="shared" si="12"/>
        <v>0</v>
      </c>
      <c r="CB65">
        <f t="shared" si="13"/>
        <v>0</v>
      </c>
      <c r="CC65">
        <f t="shared" si="14"/>
        <v>0</v>
      </c>
      <c r="CD65">
        <f t="shared" si="15"/>
        <v>0</v>
      </c>
      <c r="CE65">
        <f t="shared" si="16"/>
        <v>0</v>
      </c>
      <c r="CF65">
        <f t="shared" si="17"/>
        <v>0</v>
      </c>
      <c r="CH65">
        <f t="shared" si="18"/>
        <v>0</v>
      </c>
    </row>
    <row r="66" spans="1:86" x14ac:dyDescent="0.2">
      <c r="A66">
        <v>54</v>
      </c>
      <c r="I66">
        <f t="shared" si="10"/>
        <v>0</v>
      </c>
      <c r="K66">
        <f t="shared" si="11"/>
        <v>0</v>
      </c>
      <c r="L66">
        <f t="shared" si="12"/>
        <v>0</v>
      </c>
      <c r="CB66">
        <f t="shared" si="13"/>
        <v>0</v>
      </c>
      <c r="CC66">
        <f t="shared" si="14"/>
        <v>0</v>
      </c>
      <c r="CD66">
        <f t="shared" si="15"/>
        <v>0</v>
      </c>
      <c r="CE66">
        <f t="shared" si="16"/>
        <v>0</v>
      </c>
      <c r="CF66">
        <f t="shared" si="17"/>
        <v>0</v>
      </c>
      <c r="CH66">
        <f t="shared" si="18"/>
        <v>0</v>
      </c>
    </row>
    <row r="67" spans="1:86" x14ac:dyDescent="0.2">
      <c r="A67">
        <v>55</v>
      </c>
      <c r="I67">
        <f t="shared" si="10"/>
        <v>0</v>
      </c>
      <c r="K67">
        <f t="shared" si="11"/>
        <v>0</v>
      </c>
      <c r="L67">
        <f t="shared" si="12"/>
        <v>0</v>
      </c>
      <c r="CB67">
        <f t="shared" si="13"/>
        <v>0</v>
      </c>
      <c r="CC67">
        <f t="shared" si="14"/>
        <v>0</v>
      </c>
      <c r="CD67">
        <f t="shared" si="15"/>
        <v>0</v>
      </c>
      <c r="CE67">
        <f t="shared" si="16"/>
        <v>0</v>
      </c>
      <c r="CF67">
        <f t="shared" si="17"/>
        <v>0</v>
      </c>
      <c r="CH67">
        <f t="shared" si="18"/>
        <v>0</v>
      </c>
    </row>
    <row r="68" spans="1:86" x14ac:dyDescent="0.2">
      <c r="A68">
        <v>56</v>
      </c>
      <c r="I68">
        <f t="shared" si="10"/>
        <v>0</v>
      </c>
      <c r="K68">
        <f t="shared" si="11"/>
        <v>0</v>
      </c>
      <c r="L68">
        <f t="shared" si="12"/>
        <v>0</v>
      </c>
      <c r="CB68">
        <f t="shared" si="13"/>
        <v>0</v>
      </c>
      <c r="CC68">
        <f t="shared" si="14"/>
        <v>0</v>
      </c>
      <c r="CD68">
        <f t="shared" si="15"/>
        <v>0</v>
      </c>
      <c r="CE68">
        <f t="shared" si="16"/>
        <v>0</v>
      </c>
      <c r="CF68">
        <f t="shared" si="17"/>
        <v>0</v>
      </c>
      <c r="CH68">
        <f t="shared" si="18"/>
        <v>0</v>
      </c>
    </row>
    <row r="69" spans="1:86" x14ac:dyDescent="0.2">
      <c r="A69">
        <v>57</v>
      </c>
      <c r="I69">
        <f t="shared" si="10"/>
        <v>0</v>
      </c>
      <c r="K69">
        <f t="shared" si="11"/>
        <v>0</v>
      </c>
      <c r="L69">
        <f t="shared" si="12"/>
        <v>0</v>
      </c>
      <c r="CB69">
        <f t="shared" si="13"/>
        <v>0</v>
      </c>
      <c r="CC69">
        <f t="shared" si="14"/>
        <v>0</v>
      </c>
      <c r="CD69">
        <f t="shared" si="15"/>
        <v>0</v>
      </c>
      <c r="CE69">
        <f t="shared" si="16"/>
        <v>0</v>
      </c>
      <c r="CF69">
        <f t="shared" si="17"/>
        <v>0</v>
      </c>
      <c r="CH69">
        <f t="shared" si="18"/>
        <v>0</v>
      </c>
    </row>
    <row r="70" spans="1:86" x14ac:dyDescent="0.2">
      <c r="A70">
        <v>58</v>
      </c>
      <c r="I70">
        <f t="shared" si="10"/>
        <v>0</v>
      </c>
      <c r="K70">
        <f t="shared" si="11"/>
        <v>0</v>
      </c>
      <c r="L70">
        <f t="shared" si="12"/>
        <v>0</v>
      </c>
      <c r="CB70">
        <f t="shared" si="13"/>
        <v>0</v>
      </c>
      <c r="CC70">
        <f t="shared" si="14"/>
        <v>0</v>
      </c>
      <c r="CD70">
        <f t="shared" si="15"/>
        <v>0</v>
      </c>
      <c r="CE70">
        <f t="shared" si="16"/>
        <v>0</v>
      </c>
      <c r="CF70">
        <f t="shared" si="17"/>
        <v>0</v>
      </c>
      <c r="CH70">
        <f t="shared" si="18"/>
        <v>0</v>
      </c>
    </row>
    <row r="71" spans="1:86" x14ac:dyDescent="0.2">
      <c r="A71">
        <v>59</v>
      </c>
      <c r="I71">
        <f t="shared" si="10"/>
        <v>0</v>
      </c>
      <c r="K71">
        <f t="shared" si="11"/>
        <v>0</v>
      </c>
      <c r="L71">
        <f t="shared" si="12"/>
        <v>0</v>
      </c>
      <c r="CB71">
        <f t="shared" si="13"/>
        <v>0</v>
      </c>
      <c r="CC71">
        <f t="shared" si="14"/>
        <v>0</v>
      </c>
      <c r="CD71">
        <f t="shared" si="15"/>
        <v>0</v>
      </c>
      <c r="CE71">
        <f t="shared" si="16"/>
        <v>0</v>
      </c>
      <c r="CF71">
        <f t="shared" si="17"/>
        <v>0</v>
      </c>
      <c r="CH71">
        <f t="shared" si="18"/>
        <v>0</v>
      </c>
    </row>
    <row r="72" spans="1:86" x14ac:dyDescent="0.2">
      <c r="A72">
        <v>60</v>
      </c>
      <c r="I72">
        <f t="shared" si="10"/>
        <v>0</v>
      </c>
      <c r="K72">
        <f t="shared" si="11"/>
        <v>0</v>
      </c>
      <c r="L72">
        <f t="shared" si="12"/>
        <v>0</v>
      </c>
      <c r="CB72">
        <f t="shared" si="13"/>
        <v>0</v>
      </c>
      <c r="CC72">
        <f t="shared" si="14"/>
        <v>0</v>
      </c>
      <c r="CD72">
        <f t="shared" si="15"/>
        <v>0</v>
      </c>
      <c r="CE72">
        <f t="shared" si="16"/>
        <v>0</v>
      </c>
      <c r="CF72">
        <f t="shared" si="17"/>
        <v>0</v>
      </c>
      <c r="CH72">
        <f t="shared" si="18"/>
        <v>0</v>
      </c>
    </row>
    <row r="73" spans="1:86" x14ac:dyDescent="0.2">
      <c r="A73">
        <v>61</v>
      </c>
      <c r="I73">
        <f t="shared" si="10"/>
        <v>0</v>
      </c>
      <c r="K73">
        <f t="shared" si="11"/>
        <v>0</v>
      </c>
      <c r="L73">
        <f t="shared" si="12"/>
        <v>0</v>
      </c>
      <c r="CB73">
        <f t="shared" si="13"/>
        <v>0</v>
      </c>
      <c r="CC73">
        <f t="shared" si="14"/>
        <v>0</v>
      </c>
      <c r="CD73">
        <f t="shared" si="15"/>
        <v>0</v>
      </c>
      <c r="CE73">
        <f t="shared" si="16"/>
        <v>0</v>
      </c>
      <c r="CF73">
        <f t="shared" si="17"/>
        <v>0</v>
      </c>
      <c r="CH73">
        <f t="shared" si="18"/>
        <v>0</v>
      </c>
    </row>
    <row r="74" spans="1:86" x14ac:dyDescent="0.2">
      <c r="A74">
        <v>62</v>
      </c>
      <c r="I74">
        <f t="shared" si="10"/>
        <v>0</v>
      </c>
      <c r="K74">
        <f t="shared" si="11"/>
        <v>0</v>
      </c>
      <c r="L74">
        <f t="shared" si="12"/>
        <v>0</v>
      </c>
      <c r="CB74">
        <f t="shared" si="13"/>
        <v>0</v>
      </c>
      <c r="CC74">
        <f t="shared" si="14"/>
        <v>0</v>
      </c>
      <c r="CD74">
        <f t="shared" si="15"/>
        <v>0</v>
      </c>
      <c r="CE74">
        <f t="shared" si="16"/>
        <v>0</v>
      </c>
      <c r="CF74">
        <f t="shared" si="17"/>
        <v>0</v>
      </c>
      <c r="CH74">
        <f t="shared" si="18"/>
        <v>0</v>
      </c>
    </row>
    <row r="75" spans="1:86" x14ac:dyDescent="0.2">
      <c r="A75">
        <v>63</v>
      </c>
      <c r="I75">
        <f t="shared" si="10"/>
        <v>0</v>
      </c>
      <c r="K75">
        <f t="shared" si="11"/>
        <v>0</v>
      </c>
      <c r="L75">
        <f t="shared" si="12"/>
        <v>0</v>
      </c>
      <c r="CB75">
        <f t="shared" si="13"/>
        <v>0</v>
      </c>
      <c r="CC75">
        <f t="shared" si="14"/>
        <v>0</v>
      </c>
      <c r="CD75">
        <f t="shared" si="15"/>
        <v>0</v>
      </c>
      <c r="CE75">
        <f t="shared" si="16"/>
        <v>0</v>
      </c>
      <c r="CF75">
        <f t="shared" si="17"/>
        <v>0</v>
      </c>
      <c r="CH75">
        <f t="shared" si="18"/>
        <v>0</v>
      </c>
    </row>
    <row r="76" spans="1:86" x14ac:dyDescent="0.2">
      <c r="A76">
        <v>64</v>
      </c>
      <c r="I76">
        <f t="shared" si="10"/>
        <v>0</v>
      </c>
      <c r="K76">
        <f t="shared" si="11"/>
        <v>0</v>
      </c>
      <c r="L76">
        <f t="shared" si="12"/>
        <v>0</v>
      </c>
      <c r="CB76">
        <f t="shared" si="13"/>
        <v>0</v>
      </c>
      <c r="CC76">
        <f t="shared" si="14"/>
        <v>0</v>
      </c>
      <c r="CD76">
        <f t="shared" si="15"/>
        <v>0</v>
      </c>
      <c r="CE76">
        <f t="shared" si="16"/>
        <v>0</v>
      </c>
      <c r="CF76">
        <f t="shared" si="17"/>
        <v>0</v>
      </c>
      <c r="CH76">
        <f t="shared" si="18"/>
        <v>0</v>
      </c>
    </row>
    <row r="77" spans="1:86" x14ac:dyDescent="0.2">
      <c r="A77">
        <v>65</v>
      </c>
      <c r="I77">
        <f t="shared" ref="I77:I80" si="19">H77-G77</f>
        <v>0</v>
      </c>
      <c r="K77">
        <f t="shared" si="11"/>
        <v>0</v>
      </c>
      <c r="L77">
        <f t="shared" ref="L77:L80" si="20">K77-J77</f>
        <v>0</v>
      </c>
      <c r="CB77">
        <f t="shared" si="13"/>
        <v>0</v>
      </c>
      <c r="CC77">
        <f t="shared" si="14"/>
        <v>0</v>
      </c>
      <c r="CD77">
        <f t="shared" si="15"/>
        <v>0</v>
      </c>
      <c r="CE77">
        <f t="shared" si="16"/>
        <v>0</v>
      </c>
      <c r="CF77">
        <f t="shared" si="17"/>
        <v>0</v>
      </c>
      <c r="CH77">
        <f t="shared" si="18"/>
        <v>0</v>
      </c>
    </row>
    <row r="78" spans="1:86" x14ac:dyDescent="0.2">
      <c r="A78">
        <v>66</v>
      </c>
      <c r="I78">
        <f t="shared" si="19"/>
        <v>0</v>
      </c>
      <c r="K78">
        <f t="shared" si="11"/>
        <v>0</v>
      </c>
      <c r="L78">
        <f t="shared" si="20"/>
        <v>0</v>
      </c>
      <c r="CB78">
        <f t="shared" si="13"/>
        <v>0</v>
      </c>
      <c r="CC78">
        <f t="shared" si="14"/>
        <v>0</v>
      </c>
      <c r="CD78">
        <f t="shared" si="15"/>
        <v>0</v>
      </c>
      <c r="CE78">
        <f t="shared" si="16"/>
        <v>0</v>
      </c>
      <c r="CF78">
        <f t="shared" si="17"/>
        <v>0</v>
      </c>
      <c r="CH78">
        <f t="shared" si="18"/>
        <v>0</v>
      </c>
    </row>
    <row r="79" spans="1:86" x14ac:dyDescent="0.2">
      <c r="A79">
        <v>67</v>
      </c>
      <c r="I79">
        <f t="shared" si="19"/>
        <v>0</v>
      </c>
      <c r="K79">
        <f t="shared" si="11"/>
        <v>0</v>
      </c>
      <c r="L79">
        <f t="shared" si="20"/>
        <v>0</v>
      </c>
      <c r="CB79">
        <f t="shared" si="13"/>
        <v>0</v>
      </c>
      <c r="CC79">
        <f t="shared" si="14"/>
        <v>0</v>
      </c>
      <c r="CD79">
        <f t="shared" si="15"/>
        <v>0</v>
      </c>
      <c r="CE79">
        <f t="shared" si="16"/>
        <v>0</v>
      </c>
      <c r="CF79">
        <f t="shared" si="17"/>
        <v>0</v>
      </c>
      <c r="CH79">
        <f t="shared" si="18"/>
        <v>0</v>
      </c>
    </row>
    <row r="80" spans="1:86" x14ac:dyDescent="0.2">
      <c r="A80">
        <v>68</v>
      </c>
      <c r="I80">
        <f t="shared" si="19"/>
        <v>0</v>
      </c>
      <c r="K80">
        <f t="shared" si="11"/>
        <v>0</v>
      </c>
      <c r="L80">
        <f t="shared" si="20"/>
        <v>0</v>
      </c>
      <c r="CB80">
        <f t="shared" si="13"/>
        <v>0</v>
      </c>
      <c r="CC80">
        <f t="shared" si="14"/>
        <v>0</v>
      </c>
      <c r="CD80">
        <f t="shared" si="15"/>
        <v>0</v>
      </c>
      <c r="CE80">
        <f t="shared" si="16"/>
        <v>0</v>
      </c>
      <c r="CF80">
        <f t="shared" si="17"/>
        <v>0</v>
      </c>
      <c r="CH80">
        <f t="shared" si="18"/>
        <v>0</v>
      </c>
    </row>
    <row r="81" spans="1:86" x14ac:dyDescent="0.2">
      <c r="B81" t="s">
        <v>3200</v>
      </c>
    </row>
    <row r="82" spans="1:86" x14ac:dyDescent="0.2">
      <c r="A82">
        <v>69</v>
      </c>
      <c r="I82">
        <f t="shared" ref="I82:I108" si="21">H82-G82</f>
        <v>0</v>
      </c>
      <c r="K82">
        <f t="shared" ref="K82:K108" si="22">H82</f>
        <v>0</v>
      </c>
      <c r="L82">
        <f t="shared" ref="L82:L108" si="23">K82-J82</f>
        <v>0</v>
      </c>
      <c r="CB82">
        <f t="shared" ref="CB82:CB108" si="24">IF(OR(H82&lt;0,K82&lt;0),1,0)</f>
        <v>0</v>
      </c>
      <c r="CC82">
        <f t="shared" ref="CC82:CC108" si="25">IF(AND(H82&gt;0,ISBLANK(B82)),1,IF(AND(H82&gt;0,ISBLANK(C82)),1,IF(AND(H82&gt;0,ISBLANK(D82)),1,IF(AND(H82&gt;0,ISBLANK(E82)),1,0))))</f>
        <v>0</v>
      </c>
      <c r="CD82">
        <f t="shared" ref="CD82:CD108" si="26">IF(AND(K82&gt;0,ISBLANK(B82)),1,IF(AND(K82&gt;0,ISBLANK(C82)),1,IF(AND(K82&gt;0,ISBLANK(D82)),1,IF(AND(K82&gt;0,ISBLANK(E82)),1,0))))</f>
        <v>0</v>
      </c>
      <c r="CE82">
        <f t="shared" ref="CE82:CE108" si="27">IF(AND((K82)=0,COUNTIF(B82:E82,"")=4),0,IF(AND(K82&gt;=0,COUNTIF(B82:E82,"")=0),0,1))</f>
        <v>0</v>
      </c>
      <c r="CF82">
        <f t="shared" ref="CF82:CF108" si="28">IF(AND(E82="C",K82&gt;0),IF(ISBLANK(F82)=FALSE,0,1),0)</f>
        <v>0</v>
      </c>
      <c r="CH82">
        <f t="shared" ref="CH82:CH108" si="29">IF(H82&gt;K82,1,0)</f>
        <v>0</v>
      </c>
    </row>
    <row r="83" spans="1:86" x14ac:dyDescent="0.2">
      <c r="A83">
        <v>70</v>
      </c>
      <c r="I83">
        <f t="shared" si="21"/>
        <v>0</v>
      </c>
      <c r="K83">
        <f t="shared" si="22"/>
        <v>0</v>
      </c>
      <c r="L83">
        <f t="shared" si="23"/>
        <v>0</v>
      </c>
      <c r="CB83">
        <f t="shared" si="24"/>
        <v>0</v>
      </c>
      <c r="CC83">
        <f t="shared" si="25"/>
        <v>0</v>
      </c>
      <c r="CD83">
        <f t="shared" si="26"/>
        <v>0</v>
      </c>
      <c r="CE83">
        <f t="shared" si="27"/>
        <v>0</v>
      </c>
      <c r="CF83">
        <f t="shared" si="28"/>
        <v>0</v>
      </c>
      <c r="CH83">
        <f t="shared" si="29"/>
        <v>0</v>
      </c>
    </row>
    <row r="84" spans="1:86" x14ac:dyDescent="0.2">
      <c r="A84">
        <v>71</v>
      </c>
      <c r="I84">
        <f t="shared" si="21"/>
        <v>0</v>
      </c>
      <c r="K84">
        <f t="shared" si="22"/>
        <v>0</v>
      </c>
      <c r="L84">
        <f t="shared" si="23"/>
        <v>0</v>
      </c>
      <c r="CB84">
        <f t="shared" si="24"/>
        <v>0</v>
      </c>
      <c r="CC84">
        <f t="shared" si="25"/>
        <v>0</v>
      </c>
      <c r="CD84">
        <f t="shared" si="26"/>
        <v>0</v>
      </c>
      <c r="CE84">
        <f t="shared" si="27"/>
        <v>0</v>
      </c>
      <c r="CF84">
        <f t="shared" si="28"/>
        <v>0</v>
      </c>
      <c r="CH84">
        <f t="shared" si="29"/>
        <v>0</v>
      </c>
    </row>
    <row r="85" spans="1:86" x14ac:dyDescent="0.2">
      <c r="A85">
        <v>72</v>
      </c>
      <c r="I85">
        <f t="shared" si="21"/>
        <v>0</v>
      </c>
      <c r="K85">
        <f t="shared" si="22"/>
        <v>0</v>
      </c>
      <c r="L85">
        <f t="shared" si="23"/>
        <v>0</v>
      </c>
      <c r="CB85">
        <f t="shared" si="24"/>
        <v>0</v>
      </c>
      <c r="CC85">
        <f t="shared" si="25"/>
        <v>0</v>
      </c>
      <c r="CD85">
        <f t="shared" si="26"/>
        <v>0</v>
      </c>
      <c r="CE85">
        <f t="shared" si="27"/>
        <v>0</v>
      </c>
      <c r="CF85">
        <f t="shared" si="28"/>
        <v>0</v>
      </c>
      <c r="CH85">
        <f t="shared" si="29"/>
        <v>0</v>
      </c>
    </row>
    <row r="86" spans="1:86" x14ac:dyDescent="0.2">
      <c r="A86">
        <v>73</v>
      </c>
      <c r="I86">
        <f t="shared" si="21"/>
        <v>0</v>
      </c>
      <c r="K86">
        <f t="shared" si="22"/>
        <v>0</v>
      </c>
      <c r="L86">
        <f t="shared" si="23"/>
        <v>0</v>
      </c>
      <c r="CB86">
        <f t="shared" si="24"/>
        <v>0</v>
      </c>
      <c r="CC86">
        <f t="shared" si="25"/>
        <v>0</v>
      </c>
      <c r="CD86">
        <f t="shared" si="26"/>
        <v>0</v>
      </c>
      <c r="CE86">
        <f t="shared" si="27"/>
        <v>0</v>
      </c>
      <c r="CF86">
        <f t="shared" si="28"/>
        <v>0</v>
      </c>
      <c r="CH86">
        <f t="shared" si="29"/>
        <v>0</v>
      </c>
    </row>
    <row r="87" spans="1:86" x14ac:dyDescent="0.2">
      <c r="A87">
        <v>74</v>
      </c>
      <c r="I87">
        <f t="shared" si="21"/>
        <v>0</v>
      </c>
      <c r="K87">
        <f t="shared" si="22"/>
        <v>0</v>
      </c>
      <c r="L87">
        <f t="shared" si="23"/>
        <v>0</v>
      </c>
      <c r="CB87">
        <f t="shared" si="24"/>
        <v>0</v>
      </c>
      <c r="CC87">
        <f t="shared" si="25"/>
        <v>0</v>
      </c>
      <c r="CD87">
        <f t="shared" si="26"/>
        <v>0</v>
      </c>
      <c r="CE87">
        <f t="shared" si="27"/>
        <v>0</v>
      </c>
      <c r="CF87">
        <f t="shared" si="28"/>
        <v>0</v>
      </c>
      <c r="CH87">
        <f t="shared" si="29"/>
        <v>0</v>
      </c>
    </row>
    <row r="88" spans="1:86" x14ac:dyDescent="0.2">
      <c r="A88">
        <v>75</v>
      </c>
      <c r="I88">
        <f t="shared" si="21"/>
        <v>0</v>
      </c>
      <c r="K88">
        <f t="shared" si="22"/>
        <v>0</v>
      </c>
      <c r="L88">
        <f t="shared" si="23"/>
        <v>0</v>
      </c>
      <c r="CB88">
        <f t="shared" si="24"/>
        <v>0</v>
      </c>
      <c r="CC88">
        <f t="shared" si="25"/>
        <v>0</v>
      </c>
      <c r="CD88">
        <f t="shared" si="26"/>
        <v>0</v>
      </c>
      <c r="CE88">
        <f t="shared" si="27"/>
        <v>0</v>
      </c>
      <c r="CF88">
        <f t="shared" si="28"/>
        <v>0</v>
      </c>
      <c r="CH88">
        <f t="shared" si="29"/>
        <v>0</v>
      </c>
    </row>
    <row r="89" spans="1:86" x14ac:dyDescent="0.2">
      <c r="A89">
        <v>76</v>
      </c>
      <c r="I89">
        <f t="shared" si="21"/>
        <v>0</v>
      </c>
      <c r="K89">
        <f t="shared" si="22"/>
        <v>0</v>
      </c>
      <c r="L89">
        <f t="shared" si="23"/>
        <v>0</v>
      </c>
      <c r="CB89">
        <f t="shared" si="24"/>
        <v>0</v>
      </c>
      <c r="CC89">
        <f t="shared" si="25"/>
        <v>0</v>
      </c>
      <c r="CD89">
        <f t="shared" si="26"/>
        <v>0</v>
      </c>
      <c r="CE89">
        <f t="shared" si="27"/>
        <v>0</v>
      </c>
      <c r="CF89">
        <f t="shared" si="28"/>
        <v>0</v>
      </c>
      <c r="CH89">
        <f t="shared" si="29"/>
        <v>0</v>
      </c>
    </row>
    <row r="90" spans="1:86" x14ac:dyDescent="0.2">
      <c r="A90">
        <v>77</v>
      </c>
      <c r="I90">
        <f t="shared" si="21"/>
        <v>0</v>
      </c>
      <c r="K90">
        <f t="shared" si="22"/>
        <v>0</v>
      </c>
      <c r="L90">
        <f t="shared" si="23"/>
        <v>0</v>
      </c>
      <c r="CB90">
        <f t="shared" si="24"/>
        <v>0</v>
      </c>
      <c r="CC90">
        <f t="shared" si="25"/>
        <v>0</v>
      </c>
      <c r="CD90">
        <f t="shared" si="26"/>
        <v>0</v>
      </c>
      <c r="CE90">
        <f t="shared" si="27"/>
        <v>0</v>
      </c>
      <c r="CF90">
        <f t="shared" si="28"/>
        <v>0</v>
      </c>
      <c r="CH90">
        <f t="shared" si="29"/>
        <v>0</v>
      </c>
    </row>
    <row r="91" spans="1:86" x14ac:dyDescent="0.2">
      <c r="A91">
        <v>78</v>
      </c>
      <c r="I91">
        <f t="shared" si="21"/>
        <v>0</v>
      </c>
      <c r="K91">
        <f t="shared" si="22"/>
        <v>0</v>
      </c>
      <c r="L91">
        <f t="shared" si="23"/>
        <v>0</v>
      </c>
      <c r="CB91">
        <f t="shared" si="24"/>
        <v>0</v>
      </c>
      <c r="CC91">
        <f t="shared" si="25"/>
        <v>0</v>
      </c>
      <c r="CD91">
        <f t="shared" si="26"/>
        <v>0</v>
      </c>
      <c r="CE91">
        <f t="shared" si="27"/>
        <v>0</v>
      </c>
      <c r="CF91">
        <f t="shared" si="28"/>
        <v>0</v>
      </c>
      <c r="CH91">
        <f t="shared" si="29"/>
        <v>0</v>
      </c>
    </row>
    <row r="92" spans="1:86" x14ac:dyDescent="0.2">
      <c r="A92">
        <v>79</v>
      </c>
      <c r="I92">
        <f t="shared" si="21"/>
        <v>0</v>
      </c>
      <c r="K92">
        <f t="shared" si="22"/>
        <v>0</v>
      </c>
      <c r="L92">
        <f t="shared" si="23"/>
        <v>0</v>
      </c>
      <c r="CB92">
        <f t="shared" si="24"/>
        <v>0</v>
      </c>
      <c r="CC92">
        <f t="shared" si="25"/>
        <v>0</v>
      </c>
      <c r="CD92">
        <f t="shared" si="26"/>
        <v>0</v>
      </c>
      <c r="CE92">
        <f t="shared" si="27"/>
        <v>0</v>
      </c>
      <c r="CF92">
        <f t="shared" si="28"/>
        <v>0</v>
      </c>
      <c r="CH92">
        <f t="shared" si="29"/>
        <v>0</v>
      </c>
    </row>
    <row r="93" spans="1:86" x14ac:dyDescent="0.2">
      <c r="A93">
        <v>80</v>
      </c>
      <c r="I93">
        <f t="shared" si="21"/>
        <v>0</v>
      </c>
      <c r="K93">
        <f t="shared" si="22"/>
        <v>0</v>
      </c>
      <c r="L93">
        <f t="shared" si="23"/>
        <v>0</v>
      </c>
      <c r="CB93">
        <f t="shared" si="24"/>
        <v>0</v>
      </c>
      <c r="CC93">
        <f t="shared" si="25"/>
        <v>0</v>
      </c>
      <c r="CD93">
        <f t="shared" si="26"/>
        <v>0</v>
      </c>
      <c r="CE93">
        <f t="shared" si="27"/>
        <v>0</v>
      </c>
      <c r="CF93">
        <f t="shared" si="28"/>
        <v>0</v>
      </c>
      <c r="CH93">
        <f t="shared" si="29"/>
        <v>0</v>
      </c>
    </row>
    <row r="94" spans="1:86" x14ac:dyDescent="0.2">
      <c r="A94">
        <v>81</v>
      </c>
      <c r="I94">
        <f t="shared" si="21"/>
        <v>0</v>
      </c>
      <c r="K94">
        <f t="shared" si="22"/>
        <v>0</v>
      </c>
      <c r="L94">
        <f t="shared" si="23"/>
        <v>0</v>
      </c>
      <c r="CB94">
        <f t="shared" si="24"/>
        <v>0</v>
      </c>
      <c r="CC94">
        <f t="shared" si="25"/>
        <v>0</v>
      </c>
      <c r="CD94">
        <f t="shared" si="26"/>
        <v>0</v>
      </c>
      <c r="CE94">
        <f t="shared" si="27"/>
        <v>0</v>
      </c>
      <c r="CF94">
        <f t="shared" si="28"/>
        <v>0</v>
      </c>
      <c r="CH94">
        <f t="shared" si="29"/>
        <v>0</v>
      </c>
    </row>
    <row r="95" spans="1:86" x14ac:dyDescent="0.2">
      <c r="A95">
        <v>82</v>
      </c>
      <c r="I95">
        <f t="shared" si="21"/>
        <v>0</v>
      </c>
      <c r="K95">
        <f t="shared" si="22"/>
        <v>0</v>
      </c>
      <c r="L95">
        <f t="shared" si="23"/>
        <v>0</v>
      </c>
      <c r="CB95">
        <f t="shared" si="24"/>
        <v>0</v>
      </c>
      <c r="CC95">
        <f t="shared" si="25"/>
        <v>0</v>
      </c>
      <c r="CD95">
        <f t="shared" si="26"/>
        <v>0</v>
      </c>
      <c r="CE95">
        <f t="shared" si="27"/>
        <v>0</v>
      </c>
      <c r="CF95">
        <f t="shared" si="28"/>
        <v>0</v>
      </c>
      <c r="CH95">
        <f t="shared" si="29"/>
        <v>0</v>
      </c>
    </row>
    <row r="96" spans="1:86" x14ac:dyDescent="0.2">
      <c r="A96">
        <v>83</v>
      </c>
      <c r="I96">
        <f t="shared" si="21"/>
        <v>0</v>
      </c>
      <c r="K96">
        <f t="shared" si="22"/>
        <v>0</v>
      </c>
      <c r="L96">
        <f t="shared" si="23"/>
        <v>0</v>
      </c>
      <c r="CB96">
        <f t="shared" si="24"/>
        <v>0</v>
      </c>
      <c r="CC96">
        <f t="shared" si="25"/>
        <v>0</v>
      </c>
      <c r="CD96">
        <f t="shared" si="26"/>
        <v>0</v>
      </c>
      <c r="CE96">
        <f t="shared" si="27"/>
        <v>0</v>
      </c>
      <c r="CF96">
        <f t="shared" si="28"/>
        <v>0</v>
      </c>
      <c r="CH96">
        <f t="shared" si="29"/>
        <v>0</v>
      </c>
    </row>
    <row r="97" spans="1:86" x14ac:dyDescent="0.2">
      <c r="A97">
        <v>84</v>
      </c>
      <c r="I97">
        <f t="shared" si="21"/>
        <v>0</v>
      </c>
      <c r="K97">
        <f t="shared" si="22"/>
        <v>0</v>
      </c>
      <c r="L97">
        <f t="shared" si="23"/>
        <v>0</v>
      </c>
      <c r="CB97">
        <f t="shared" si="24"/>
        <v>0</v>
      </c>
      <c r="CC97">
        <f t="shared" si="25"/>
        <v>0</v>
      </c>
      <c r="CD97">
        <f t="shared" si="26"/>
        <v>0</v>
      </c>
      <c r="CE97">
        <f t="shared" si="27"/>
        <v>0</v>
      </c>
      <c r="CF97">
        <f t="shared" si="28"/>
        <v>0</v>
      </c>
      <c r="CH97">
        <f t="shared" si="29"/>
        <v>0</v>
      </c>
    </row>
    <row r="98" spans="1:86" x14ac:dyDescent="0.2">
      <c r="A98">
        <v>85</v>
      </c>
      <c r="I98">
        <f t="shared" si="21"/>
        <v>0</v>
      </c>
      <c r="K98">
        <f t="shared" si="22"/>
        <v>0</v>
      </c>
      <c r="L98">
        <f t="shared" si="23"/>
        <v>0</v>
      </c>
      <c r="CB98">
        <f t="shared" si="24"/>
        <v>0</v>
      </c>
      <c r="CC98">
        <f t="shared" si="25"/>
        <v>0</v>
      </c>
      <c r="CD98">
        <f t="shared" si="26"/>
        <v>0</v>
      </c>
      <c r="CE98">
        <f t="shared" si="27"/>
        <v>0</v>
      </c>
      <c r="CF98">
        <f t="shared" si="28"/>
        <v>0</v>
      </c>
      <c r="CH98">
        <f t="shared" si="29"/>
        <v>0</v>
      </c>
    </row>
    <row r="99" spans="1:86" x14ac:dyDescent="0.2">
      <c r="A99">
        <v>86</v>
      </c>
      <c r="I99">
        <f t="shared" si="21"/>
        <v>0</v>
      </c>
      <c r="K99">
        <f t="shared" si="22"/>
        <v>0</v>
      </c>
      <c r="L99">
        <f t="shared" si="23"/>
        <v>0</v>
      </c>
      <c r="CB99">
        <f t="shared" si="24"/>
        <v>0</v>
      </c>
      <c r="CC99">
        <f t="shared" si="25"/>
        <v>0</v>
      </c>
      <c r="CD99">
        <f t="shared" si="26"/>
        <v>0</v>
      </c>
      <c r="CE99">
        <f t="shared" si="27"/>
        <v>0</v>
      </c>
      <c r="CF99">
        <f t="shared" si="28"/>
        <v>0</v>
      </c>
      <c r="CH99">
        <f t="shared" si="29"/>
        <v>0</v>
      </c>
    </row>
    <row r="100" spans="1:86" x14ac:dyDescent="0.2">
      <c r="A100">
        <v>87</v>
      </c>
      <c r="I100">
        <f t="shared" si="21"/>
        <v>0</v>
      </c>
      <c r="K100">
        <f t="shared" si="22"/>
        <v>0</v>
      </c>
      <c r="L100">
        <f t="shared" si="23"/>
        <v>0</v>
      </c>
      <c r="CB100">
        <f t="shared" si="24"/>
        <v>0</v>
      </c>
      <c r="CC100">
        <f t="shared" si="25"/>
        <v>0</v>
      </c>
      <c r="CD100">
        <f t="shared" si="26"/>
        <v>0</v>
      </c>
      <c r="CE100">
        <f t="shared" si="27"/>
        <v>0</v>
      </c>
      <c r="CF100">
        <f t="shared" si="28"/>
        <v>0</v>
      </c>
      <c r="CH100">
        <f t="shared" si="29"/>
        <v>0</v>
      </c>
    </row>
    <row r="101" spans="1:86" x14ac:dyDescent="0.2">
      <c r="A101">
        <v>88</v>
      </c>
      <c r="I101">
        <f t="shared" si="21"/>
        <v>0</v>
      </c>
      <c r="K101">
        <f t="shared" si="22"/>
        <v>0</v>
      </c>
      <c r="L101">
        <f t="shared" si="23"/>
        <v>0</v>
      </c>
      <c r="CB101">
        <f t="shared" si="24"/>
        <v>0</v>
      </c>
      <c r="CC101">
        <f t="shared" si="25"/>
        <v>0</v>
      </c>
      <c r="CD101">
        <f t="shared" si="26"/>
        <v>0</v>
      </c>
      <c r="CE101">
        <f t="shared" si="27"/>
        <v>0</v>
      </c>
      <c r="CF101">
        <f t="shared" si="28"/>
        <v>0</v>
      </c>
      <c r="CH101">
        <f t="shared" si="29"/>
        <v>0</v>
      </c>
    </row>
    <row r="102" spans="1:86" x14ac:dyDescent="0.2">
      <c r="A102">
        <v>89</v>
      </c>
      <c r="I102">
        <f t="shared" si="21"/>
        <v>0</v>
      </c>
      <c r="K102">
        <f t="shared" si="22"/>
        <v>0</v>
      </c>
      <c r="L102">
        <f t="shared" si="23"/>
        <v>0</v>
      </c>
      <c r="CB102">
        <f t="shared" si="24"/>
        <v>0</v>
      </c>
      <c r="CC102">
        <f t="shared" si="25"/>
        <v>0</v>
      </c>
      <c r="CD102">
        <f t="shared" si="26"/>
        <v>0</v>
      </c>
      <c r="CE102">
        <f t="shared" si="27"/>
        <v>0</v>
      </c>
      <c r="CF102">
        <f t="shared" si="28"/>
        <v>0</v>
      </c>
      <c r="CH102">
        <f t="shared" si="29"/>
        <v>0</v>
      </c>
    </row>
    <row r="103" spans="1:86" x14ac:dyDescent="0.2">
      <c r="A103">
        <v>90</v>
      </c>
      <c r="I103">
        <f t="shared" si="21"/>
        <v>0</v>
      </c>
      <c r="K103">
        <f t="shared" si="22"/>
        <v>0</v>
      </c>
      <c r="L103">
        <f t="shared" si="23"/>
        <v>0</v>
      </c>
      <c r="CB103">
        <f t="shared" si="24"/>
        <v>0</v>
      </c>
      <c r="CC103">
        <f t="shared" si="25"/>
        <v>0</v>
      </c>
      <c r="CD103">
        <f t="shared" si="26"/>
        <v>0</v>
      </c>
      <c r="CE103">
        <f t="shared" si="27"/>
        <v>0</v>
      </c>
      <c r="CF103">
        <f t="shared" si="28"/>
        <v>0</v>
      </c>
      <c r="CH103">
        <f t="shared" si="29"/>
        <v>0</v>
      </c>
    </row>
    <row r="104" spans="1:86" x14ac:dyDescent="0.2">
      <c r="A104">
        <v>91</v>
      </c>
      <c r="I104">
        <f t="shared" si="21"/>
        <v>0</v>
      </c>
      <c r="K104">
        <f t="shared" si="22"/>
        <v>0</v>
      </c>
      <c r="L104">
        <f t="shared" si="23"/>
        <v>0</v>
      </c>
      <c r="CB104">
        <f t="shared" si="24"/>
        <v>0</v>
      </c>
      <c r="CC104">
        <f t="shared" si="25"/>
        <v>0</v>
      </c>
      <c r="CD104">
        <f t="shared" si="26"/>
        <v>0</v>
      </c>
      <c r="CE104">
        <f t="shared" si="27"/>
        <v>0</v>
      </c>
      <c r="CF104">
        <f t="shared" si="28"/>
        <v>0</v>
      </c>
      <c r="CH104">
        <f t="shared" si="29"/>
        <v>0</v>
      </c>
    </row>
    <row r="105" spans="1:86" x14ac:dyDescent="0.2">
      <c r="A105">
        <v>92</v>
      </c>
      <c r="I105">
        <f t="shared" si="21"/>
        <v>0</v>
      </c>
      <c r="K105">
        <f t="shared" si="22"/>
        <v>0</v>
      </c>
      <c r="L105">
        <f t="shared" si="23"/>
        <v>0</v>
      </c>
      <c r="CB105">
        <f t="shared" si="24"/>
        <v>0</v>
      </c>
      <c r="CC105">
        <f t="shared" si="25"/>
        <v>0</v>
      </c>
      <c r="CD105">
        <f t="shared" si="26"/>
        <v>0</v>
      </c>
      <c r="CE105">
        <f t="shared" si="27"/>
        <v>0</v>
      </c>
      <c r="CF105">
        <f t="shared" si="28"/>
        <v>0</v>
      </c>
      <c r="CH105">
        <f t="shared" si="29"/>
        <v>0</v>
      </c>
    </row>
    <row r="106" spans="1:86" x14ac:dyDescent="0.2">
      <c r="A106">
        <v>93</v>
      </c>
      <c r="I106">
        <f t="shared" si="21"/>
        <v>0</v>
      </c>
      <c r="K106">
        <f t="shared" si="22"/>
        <v>0</v>
      </c>
      <c r="L106">
        <f t="shared" si="23"/>
        <v>0</v>
      </c>
      <c r="CB106">
        <f t="shared" si="24"/>
        <v>0</v>
      </c>
      <c r="CC106">
        <f t="shared" si="25"/>
        <v>0</v>
      </c>
      <c r="CD106">
        <f t="shared" si="26"/>
        <v>0</v>
      </c>
      <c r="CE106">
        <f t="shared" si="27"/>
        <v>0</v>
      </c>
      <c r="CF106">
        <f t="shared" si="28"/>
        <v>0</v>
      </c>
      <c r="CH106">
        <f t="shared" si="29"/>
        <v>0</v>
      </c>
    </row>
    <row r="107" spans="1:86" x14ac:dyDescent="0.2">
      <c r="A107">
        <v>94</v>
      </c>
      <c r="I107">
        <f t="shared" si="21"/>
        <v>0</v>
      </c>
      <c r="K107">
        <f t="shared" si="22"/>
        <v>0</v>
      </c>
      <c r="L107">
        <f t="shared" si="23"/>
        <v>0</v>
      </c>
      <c r="CB107">
        <f t="shared" si="24"/>
        <v>0</v>
      </c>
      <c r="CC107">
        <f t="shared" si="25"/>
        <v>0</v>
      </c>
      <c r="CD107">
        <f t="shared" si="26"/>
        <v>0</v>
      </c>
      <c r="CE107">
        <f t="shared" si="27"/>
        <v>0</v>
      </c>
      <c r="CF107">
        <f t="shared" si="28"/>
        <v>0</v>
      </c>
      <c r="CH107">
        <f t="shared" si="29"/>
        <v>0</v>
      </c>
    </row>
    <row r="108" spans="1:86" x14ac:dyDescent="0.2">
      <c r="A108">
        <v>95</v>
      </c>
      <c r="I108">
        <f t="shared" si="21"/>
        <v>0</v>
      </c>
      <c r="K108">
        <f t="shared" si="22"/>
        <v>0</v>
      </c>
      <c r="L108">
        <f t="shared" si="23"/>
        <v>0</v>
      </c>
      <c r="CB108">
        <f t="shared" si="24"/>
        <v>0</v>
      </c>
      <c r="CC108">
        <f t="shared" si="25"/>
        <v>0</v>
      </c>
      <c r="CD108">
        <f t="shared" si="26"/>
        <v>0</v>
      </c>
      <c r="CE108">
        <f t="shared" si="27"/>
        <v>0</v>
      </c>
      <c r="CF108">
        <f t="shared" si="28"/>
        <v>0</v>
      </c>
      <c r="CH108">
        <f t="shared" si="29"/>
        <v>0</v>
      </c>
    </row>
    <row r="109" spans="1:86" x14ac:dyDescent="0.2">
      <c r="B109" t="s">
        <v>3201</v>
      </c>
      <c r="G109">
        <f t="shared" ref="G109:L109" si="30">SUM(G13:G108)</f>
        <v>0</v>
      </c>
      <c r="H109">
        <f t="shared" si="30"/>
        <v>0</v>
      </c>
      <c r="I109">
        <f t="shared" si="30"/>
        <v>0</v>
      </c>
      <c r="J109">
        <f t="shared" si="30"/>
        <v>0</v>
      </c>
      <c r="K109">
        <f t="shared" si="30"/>
        <v>0</v>
      </c>
      <c r="L109">
        <f t="shared" si="30"/>
        <v>0</v>
      </c>
    </row>
    <row r="111" spans="1:86" x14ac:dyDescent="0.2">
      <c r="E111" t="s">
        <v>3202</v>
      </c>
      <c r="G111" t="s">
        <v>3203</v>
      </c>
      <c r="I111" t="s">
        <v>3204</v>
      </c>
      <c r="K111" t="s">
        <v>241</v>
      </c>
    </row>
    <row r="112" spans="1:86" x14ac:dyDescent="0.2">
      <c r="B112" t="s">
        <v>3205</v>
      </c>
      <c r="C112" t="s">
        <v>238</v>
      </c>
      <c r="D112" t="s">
        <v>1561</v>
      </c>
      <c r="E112" t="s">
        <v>2853</v>
      </c>
      <c r="F112" t="s">
        <v>3206</v>
      </c>
      <c r="G112" t="s">
        <v>2853</v>
      </c>
      <c r="H112" t="s">
        <v>3206</v>
      </c>
      <c r="I112" t="s">
        <v>2853</v>
      </c>
      <c r="J112" t="s">
        <v>3206</v>
      </c>
      <c r="K112" t="s">
        <v>2853</v>
      </c>
      <c r="L112" t="s">
        <v>3206</v>
      </c>
    </row>
    <row r="113" spans="2:89" x14ac:dyDescent="0.2">
      <c r="C113" t="s">
        <v>242</v>
      </c>
      <c r="E113" t="s">
        <v>2038</v>
      </c>
      <c r="F113" t="s">
        <v>2039</v>
      </c>
      <c r="G113" t="s">
        <v>2040</v>
      </c>
      <c r="H113" t="s">
        <v>2041</v>
      </c>
      <c r="I113" t="s">
        <v>2042</v>
      </c>
      <c r="J113" t="s">
        <v>2043</v>
      </c>
      <c r="K113" t="s">
        <v>2044</v>
      </c>
      <c r="L113" t="s">
        <v>2045</v>
      </c>
    </row>
    <row r="114" spans="2:89" x14ac:dyDescent="0.2">
      <c r="E114" t="s">
        <v>243</v>
      </c>
      <c r="F114" t="s">
        <v>912</v>
      </c>
      <c r="G114" t="s">
        <v>243</v>
      </c>
      <c r="H114" t="s">
        <v>912</v>
      </c>
      <c r="I114" t="s">
        <v>243</v>
      </c>
      <c r="J114" t="s">
        <v>912</v>
      </c>
      <c r="K114" t="s">
        <v>243</v>
      </c>
      <c r="L114" t="s">
        <v>912</v>
      </c>
    </row>
    <row r="115" spans="2:89" x14ac:dyDescent="0.2">
      <c r="B115" t="s">
        <v>3207</v>
      </c>
    </row>
    <row r="116" spans="2:89" x14ac:dyDescent="0.2">
      <c r="B116" t="s">
        <v>3208</v>
      </c>
      <c r="C116">
        <v>110</v>
      </c>
      <c r="D116" t="s">
        <v>248</v>
      </c>
      <c r="E116">
        <f>SUMIF($C$13:$C$108,"I",G13:G108)</f>
        <v>0</v>
      </c>
      <c r="F116">
        <f>IF($E$118=0,0,E116/$E$118*100)</f>
        <v>0</v>
      </c>
      <c r="G116">
        <f>SUMIF($C$13:$C$108,"I",H13:H108)</f>
        <v>0</v>
      </c>
      <c r="H116">
        <f>IF(G118=0,0,G116/G118*100)</f>
        <v>0</v>
      </c>
      <c r="I116">
        <f>SUMIF($C$13:$C$108,"I",J13:J108)</f>
        <v>0</v>
      </c>
      <c r="J116">
        <f>IF(I118=0,0,I116/I118*100)</f>
        <v>0</v>
      </c>
      <c r="K116">
        <f>SUMIF($C$13:$C$108,"I",K13:K108)</f>
        <v>0</v>
      </c>
      <c r="L116">
        <f>IF(K118=0,0,K116/K118*100)</f>
        <v>0</v>
      </c>
    </row>
    <row r="117" spans="2:89" x14ac:dyDescent="0.2">
      <c r="B117" t="s">
        <v>3209</v>
      </c>
      <c r="C117">
        <v>120</v>
      </c>
      <c r="D117" t="s">
        <v>248</v>
      </c>
      <c r="E117">
        <f>SUMIF($C$13:$C$108,"u",G13:G108)</f>
        <v>0</v>
      </c>
      <c r="F117">
        <f>IF($E$118=0,0,E117/$E$118*100)</f>
        <v>0</v>
      </c>
      <c r="G117">
        <f>SUMIF($C$13:$C$108,"u",H13:H108)</f>
        <v>0</v>
      </c>
      <c r="H117">
        <f>IF($G$118=0,0,G117/$G$118*100)</f>
        <v>0</v>
      </c>
      <c r="I117">
        <f>SUMIF($C$13:$C$108,"u",J13:J108)</f>
        <v>0</v>
      </c>
      <c r="J117">
        <f>IF(I118=0,0,I117/$I118*100)</f>
        <v>0</v>
      </c>
      <c r="K117">
        <f>SUMIF($C$13:$C$108,"u",K13:K108)</f>
        <v>0</v>
      </c>
      <c r="L117">
        <f>IF(K118=0,0,K117/K118*100)</f>
        <v>0</v>
      </c>
      <c r="CJ117" t="s">
        <v>3210</v>
      </c>
      <c r="CK117" t="s">
        <v>3211</v>
      </c>
    </row>
    <row r="118" spans="2:89" x14ac:dyDescent="0.2">
      <c r="B118" t="s">
        <v>2158</v>
      </c>
      <c r="C118">
        <v>130</v>
      </c>
      <c r="D118" t="s">
        <v>248</v>
      </c>
      <c r="E118">
        <f t="shared" ref="E118:L118" si="31">SUM(E116:E117)</f>
        <v>0</v>
      </c>
      <c r="F118">
        <f t="shared" si="31"/>
        <v>0</v>
      </c>
      <c r="G118">
        <f t="shared" si="31"/>
        <v>0</v>
      </c>
      <c r="H118">
        <f t="shared" si="31"/>
        <v>0</v>
      </c>
      <c r="I118">
        <f t="shared" si="31"/>
        <v>0</v>
      </c>
      <c r="J118">
        <f t="shared" si="31"/>
        <v>0</v>
      </c>
      <c r="K118">
        <f t="shared" si="31"/>
        <v>0</v>
      </c>
      <c r="L118">
        <f t="shared" si="31"/>
        <v>0</v>
      </c>
      <c r="CK118">
        <f>CJ118*-1</f>
        <v>0</v>
      </c>
    </row>
    <row r="121" spans="2:89" x14ac:dyDescent="0.2">
      <c r="C121" t="s">
        <v>238</v>
      </c>
      <c r="F121" t="s">
        <v>3212</v>
      </c>
      <c r="I121" t="s">
        <v>3213</v>
      </c>
      <c r="L121" t="s">
        <v>3214</v>
      </c>
      <c r="O121" t="s">
        <v>241</v>
      </c>
    </row>
    <row r="122" spans="2:89" x14ac:dyDescent="0.2">
      <c r="D122" t="s">
        <v>1561</v>
      </c>
      <c r="E122" t="s">
        <v>2853</v>
      </c>
      <c r="F122" t="s">
        <v>2764</v>
      </c>
      <c r="G122" t="s">
        <v>2765</v>
      </c>
      <c r="H122" t="s">
        <v>2853</v>
      </c>
      <c r="I122" t="s">
        <v>2764</v>
      </c>
      <c r="J122" t="s">
        <v>2765</v>
      </c>
      <c r="K122" t="s">
        <v>2853</v>
      </c>
      <c r="L122" t="s">
        <v>2764</v>
      </c>
      <c r="M122" t="s">
        <v>2765</v>
      </c>
      <c r="N122" t="s">
        <v>2853</v>
      </c>
      <c r="O122" t="s">
        <v>2764</v>
      </c>
      <c r="P122" t="s">
        <v>2765</v>
      </c>
    </row>
    <row r="123" spans="2:89" x14ac:dyDescent="0.2">
      <c r="B123" t="s">
        <v>3205</v>
      </c>
      <c r="C123" t="s">
        <v>242</v>
      </c>
      <c r="E123" t="s">
        <v>2038</v>
      </c>
      <c r="F123" t="s">
        <v>2039</v>
      </c>
      <c r="G123" t="s">
        <v>2040</v>
      </c>
      <c r="H123" t="s">
        <v>2041</v>
      </c>
      <c r="I123" t="s">
        <v>2042</v>
      </c>
      <c r="J123" t="s">
        <v>2043</v>
      </c>
      <c r="K123" t="s">
        <v>2044</v>
      </c>
      <c r="L123" t="s">
        <v>2045</v>
      </c>
      <c r="M123" t="s">
        <v>2046</v>
      </c>
      <c r="N123" t="s">
        <v>2047</v>
      </c>
      <c r="O123" t="s">
        <v>2048</v>
      </c>
      <c r="P123" t="s">
        <v>2049</v>
      </c>
    </row>
    <row r="124" spans="2:89" x14ac:dyDescent="0.2">
      <c r="E124" t="s">
        <v>243</v>
      </c>
      <c r="F124" t="s">
        <v>243</v>
      </c>
      <c r="G124" t="s">
        <v>243</v>
      </c>
      <c r="H124" t="s">
        <v>243</v>
      </c>
      <c r="I124" t="s">
        <v>243</v>
      </c>
      <c r="J124" t="s">
        <v>243</v>
      </c>
      <c r="K124" t="s">
        <v>243</v>
      </c>
      <c r="L124" t="s">
        <v>243</v>
      </c>
      <c r="M124" t="s">
        <v>243</v>
      </c>
      <c r="N124" t="s">
        <v>243</v>
      </c>
      <c r="O124" t="s">
        <v>243</v>
      </c>
      <c r="P124" t="s">
        <v>243</v>
      </c>
    </row>
    <row r="125" spans="2:89" x14ac:dyDescent="0.2">
      <c r="B125" t="s">
        <v>2857</v>
      </c>
      <c r="CJ125" t="s">
        <v>3215</v>
      </c>
      <c r="CK125" t="s">
        <v>3211</v>
      </c>
    </row>
    <row r="126" spans="2:89" x14ac:dyDescent="0.2">
      <c r="B126" t="s">
        <v>3216</v>
      </c>
      <c r="C126">
        <v>140</v>
      </c>
      <c r="D126" t="s">
        <v>248</v>
      </c>
      <c r="E126">
        <f>SUM(F126:G126)</f>
        <v>0</v>
      </c>
      <c r="H126">
        <f>SUM(I126:J126)</f>
        <v>0</v>
      </c>
      <c r="K126">
        <f>SUM(L126:M126)</f>
        <v>0</v>
      </c>
      <c r="N126">
        <f>SUM(O126:P126)</f>
        <v>0</v>
      </c>
      <c r="CI126" t="s">
        <v>3217</v>
      </c>
      <c r="CK126">
        <f t="shared" ref="CK126:CK134" si="32">CJ126*-1</f>
        <v>0</v>
      </c>
    </row>
    <row r="127" spans="2:89" x14ac:dyDescent="0.2">
      <c r="B127" t="s">
        <v>3218</v>
      </c>
      <c r="C127">
        <v>150</v>
      </c>
      <c r="D127" t="s">
        <v>248</v>
      </c>
      <c r="E127">
        <f>SUM(F127:G127)</f>
        <v>0</v>
      </c>
      <c r="H127">
        <f>SUM(I127:J127)</f>
        <v>0</v>
      </c>
      <c r="K127">
        <f>SUM(L127:M127)</f>
        <v>0</v>
      </c>
      <c r="N127">
        <f>SUM(O127:P127)</f>
        <v>0</v>
      </c>
      <c r="CI127" t="s">
        <v>3219</v>
      </c>
      <c r="CK127">
        <f t="shared" si="32"/>
        <v>0</v>
      </c>
    </row>
    <row r="128" spans="2:89" x14ac:dyDescent="0.2">
      <c r="B128" t="s">
        <v>3220</v>
      </c>
      <c r="C128">
        <v>160</v>
      </c>
      <c r="D128" t="s">
        <v>248</v>
      </c>
      <c r="E128">
        <f>SUM(F128:G128)</f>
        <v>0</v>
      </c>
      <c r="H128">
        <f>SUM(I128:J128)</f>
        <v>0</v>
      </c>
      <c r="K128">
        <f>SUM(L128:M128)</f>
        <v>0</v>
      </c>
      <c r="N128">
        <f>SUM(O128:P128)</f>
        <v>0</v>
      </c>
      <c r="CI128" t="s">
        <v>3221</v>
      </c>
      <c r="CK128">
        <f t="shared" si="32"/>
        <v>0</v>
      </c>
    </row>
    <row r="129" spans="2:89" x14ac:dyDescent="0.2">
      <c r="B129" t="s">
        <v>655</v>
      </c>
      <c r="C129">
        <v>170</v>
      </c>
      <c r="D129" t="s">
        <v>248</v>
      </c>
      <c r="E129">
        <f>SUM(F129:G129)</f>
        <v>0</v>
      </c>
      <c r="H129">
        <f>SUM(I129:J129)</f>
        <v>0</v>
      </c>
      <c r="K129">
        <f>SUM(L129:M129)</f>
        <v>0</v>
      </c>
      <c r="N129">
        <f>SUM(O129:P129)</f>
        <v>0</v>
      </c>
      <c r="CI129" t="s">
        <v>3222</v>
      </c>
      <c r="CK129">
        <f t="shared" si="32"/>
        <v>0</v>
      </c>
    </row>
    <row r="130" spans="2:89" x14ac:dyDescent="0.2">
      <c r="B130" t="s">
        <v>2857</v>
      </c>
      <c r="C130">
        <v>180</v>
      </c>
      <c r="D130" t="s">
        <v>248</v>
      </c>
      <c r="E130">
        <f t="shared" ref="E130:P130" si="33">SUM(E126:E129)</f>
        <v>0</v>
      </c>
      <c r="F130">
        <f t="shared" si="33"/>
        <v>0</v>
      </c>
      <c r="G130">
        <f t="shared" si="33"/>
        <v>0</v>
      </c>
      <c r="H130">
        <f t="shared" si="33"/>
        <v>0</v>
      </c>
      <c r="I130">
        <f t="shared" si="33"/>
        <v>0</v>
      </c>
      <c r="J130">
        <f t="shared" si="33"/>
        <v>0</v>
      </c>
      <c r="K130">
        <f t="shared" si="33"/>
        <v>0</v>
      </c>
      <c r="L130">
        <f t="shared" si="33"/>
        <v>0</v>
      </c>
      <c r="M130">
        <f t="shared" si="33"/>
        <v>0</v>
      </c>
      <c r="N130">
        <f t="shared" si="33"/>
        <v>0</v>
      </c>
      <c r="O130">
        <f t="shared" si="33"/>
        <v>0</v>
      </c>
      <c r="P130">
        <f t="shared" si="33"/>
        <v>0</v>
      </c>
      <c r="CI130" t="s">
        <v>3223</v>
      </c>
      <c r="CK130">
        <f t="shared" si="32"/>
        <v>0</v>
      </c>
    </row>
    <row r="131" spans="2:89" x14ac:dyDescent="0.2">
      <c r="CI131" t="s">
        <v>3222</v>
      </c>
      <c r="CK131">
        <f t="shared" si="32"/>
        <v>0</v>
      </c>
    </row>
    <row r="132" spans="2:89" x14ac:dyDescent="0.2">
      <c r="CI132" t="s">
        <v>2854</v>
      </c>
      <c r="CK132">
        <f t="shared" si="32"/>
        <v>0</v>
      </c>
    </row>
    <row r="133" spans="2:89" x14ac:dyDescent="0.2">
      <c r="CI133" t="s">
        <v>3224</v>
      </c>
      <c r="CK133">
        <f t="shared" si="32"/>
        <v>0</v>
      </c>
    </row>
    <row r="134" spans="2:89" x14ac:dyDescent="0.2">
      <c r="CI134" t="s">
        <v>2854</v>
      </c>
      <c r="CK134">
        <f t="shared" si="32"/>
        <v>0</v>
      </c>
    </row>
    <row r="137" spans="2:89" x14ac:dyDescent="0.2">
      <c r="F137" t="s">
        <v>3225</v>
      </c>
    </row>
    <row r="138" spans="2:89" x14ac:dyDescent="0.2">
      <c r="F138" t="s">
        <v>3226</v>
      </c>
    </row>
    <row r="139" spans="2:89" x14ac:dyDescent="0.2">
      <c r="B139" t="s">
        <v>3227</v>
      </c>
      <c r="F139" t="s">
        <v>3228</v>
      </c>
    </row>
    <row r="140" spans="2:89" x14ac:dyDescent="0.2">
      <c r="B140" t="s">
        <v>3229</v>
      </c>
      <c r="C140" t="s">
        <v>3230</v>
      </c>
    </row>
    <row r="141" spans="2:89" x14ac:dyDescent="0.2">
      <c r="B141" t="s">
        <v>3231</v>
      </c>
      <c r="C141" t="s">
        <v>3228</v>
      </c>
    </row>
    <row r="143" spans="2:89" x14ac:dyDescent="0.2">
      <c r="B143" t="s">
        <v>2766</v>
      </c>
      <c r="D143" t="s">
        <v>2606</v>
      </c>
    </row>
    <row r="144" spans="2:89" x14ac:dyDescent="0.2">
      <c r="B144" t="s">
        <v>3232</v>
      </c>
      <c r="D144" t="s">
        <v>2607</v>
      </c>
    </row>
    <row r="146" spans="2:6" x14ac:dyDescent="0.2">
      <c r="B146" t="s">
        <v>3233</v>
      </c>
      <c r="E146" t="s">
        <v>3234</v>
      </c>
    </row>
    <row r="147" spans="2:6" x14ac:dyDescent="0.2">
      <c r="B147" t="s">
        <v>3220</v>
      </c>
      <c r="E147" t="s">
        <v>3235</v>
      </c>
    </row>
    <row r="148" spans="2:6" x14ac:dyDescent="0.2">
      <c r="B148" t="s">
        <v>655</v>
      </c>
      <c r="E148" t="s">
        <v>3236</v>
      </c>
    </row>
    <row r="150" spans="2:6" x14ac:dyDescent="0.2">
      <c r="B150" t="s">
        <v>3237</v>
      </c>
      <c r="F150" t="s">
        <v>3238</v>
      </c>
    </row>
    <row r="151" spans="2:6" x14ac:dyDescent="0.2">
      <c r="B151" t="s">
        <v>3239</v>
      </c>
      <c r="F151" t="s">
        <v>3240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Q81"/>
  <sheetViews>
    <sheetView topLeftCell="A26" zoomScale="70" zoomScaleNormal="70" workbookViewId="0">
      <pane xSplit="4" topLeftCell="E1" activePane="topRight" state="frozen"/>
      <selection pane="topRight" activeCell="J22" sqref="J22"/>
    </sheetView>
  </sheetViews>
  <sheetFormatPr defaultRowHeight="12.75" x14ac:dyDescent="0.2"/>
  <cols>
    <col min="1" max="1" width="4.5703125" customWidth="1"/>
    <col min="2" max="2" width="57.7109375" customWidth="1"/>
    <col min="3" max="4" width="10.140625" customWidth="1"/>
    <col min="5" max="11" width="15.85546875" customWidth="1"/>
    <col min="12" max="17" width="15.85546875" hidden="1" customWidth="1"/>
    <col min="18" max="18" width="5.7109375" hidden="1" customWidth="1"/>
    <col min="19" max="53" width="3" hidden="1" customWidth="1"/>
    <col min="54" max="76" width="2.7109375" hidden="1" customWidth="1"/>
    <col min="77" max="78" width="2.85546875" hidden="1" customWidth="1"/>
  </cols>
  <sheetData>
    <row r="1" spans="1:14" ht="15.75" x14ac:dyDescent="0.25">
      <c r="A1" s="1131" t="s">
        <v>3726</v>
      </c>
      <c r="B1" s="1139" t="str">
        <f>OrgName</f>
        <v>ZZZ NHS TRUST</v>
      </c>
      <c r="C1" s="1133"/>
      <c r="D1" s="1122"/>
      <c r="E1" s="1177" t="str">
        <f>HYPERLINK(CHAR(35)&amp;"1415TRU_Index_P13"&amp;"!A1","GoTo Index tab")</f>
        <v>GoTo Index tab</v>
      </c>
    </row>
    <row r="2" spans="1:14" x14ac:dyDescent="0.2">
      <c r="A2" s="1131" t="s">
        <v>3727</v>
      </c>
      <c r="B2" s="1137" t="str">
        <f>"Org Code: " &amp; Orgcode</f>
        <v>Org Code: ZZZ</v>
      </c>
      <c r="C2" s="1118"/>
      <c r="D2" s="1119"/>
      <c r="E2" s="1135"/>
    </row>
    <row r="3" spans="1:14" x14ac:dyDescent="0.2">
      <c r="A3" s="1131" t="s">
        <v>3730</v>
      </c>
      <c r="B3" s="1124" t="s">
        <v>3725</v>
      </c>
      <c r="C3" s="1141"/>
      <c r="D3" s="1125"/>
      <c r="E3" s="1136"/>
    </row>
    <row r="4" spans="1:14" x14ac:dyDescent="0.2">
      <c r="B4" s="102" t="s">
        <v>291</v>
      </c>
      <c r="C4" s="97"/>
    </row>
    <row r="5" spans="1:14" x14ac:dyDescent="0.2">
      <c r="B5" s="97" t="s">
        <v>66</v>
      </c>
      <c r="C5" s="97"/>
    </row>
    <row r="6" spans="1:14" ht="13.5" thickBot="1" x14ac:dyDescent="0.25">
      <c r="A6" s="108"/>
      <c r="B6" s="108"/>
      <c r="C6" s="97"/>
    </row>
    <row r="7" spans="1:14" ht="13.5" thickTop="1" x14ac:dyDescent="0.2">
      <c r="B7" s="242"/>
      <c r="C7" s="193"/>
      <c r="D7" s="195" t="s">
        <v>25</v>
      </c>
      <c r="E7" s="195" t="s">
        <v>235</v>
      </c>
      <c r="F7" s="195" t="s">
        <v>236</v>
      </c>
      <c r="G7" s="195" t="s">
        <v>293</v>
      </c>
      <c r="H7" s="195" t="s">
        <v>294</v>
      </c>
      <c r="I7" s="195" t="s">
        <v>295</v>
      </c>
      <c r="J7" s="197" t="s">
        <v>296</v>
      </c>
      <c r="L7" s="310" t="s">
        <v>297</v>
      </c>
      <c r="M7" s="274" t="s">
        <v>298</v>
      </c>
      <c r="N7" s="311" t="s">
        <v>299</v>
      </c>
    </row>
    <row r="8" spans="1:14" ht="76.5" x14ac:dyDescent="0.2">
      <c r="B8" s="198" t="s">
        <v>82</v>
      </c>
      <c r="C8" s="199" t="s">
        <v>238</v>
      </c>
      <c r="D8" s="200"/>
      <c r="E8" s="201" t="s">
        <v>300</v>
      </c>
      <c r="F8" s="201" t="s">
        <v>301</v>
      </c>
      <c r="G8" s="201" t="s">
        <v>302</v>
      </c>
      <c r="H8" s="201" t="s">
        <v>303</v>
      </c>
      <c r="I8" s="201" t="s">
        <v>304</v>
      </c>
      <c r="J8" s="202" t="s">
        <v>305</v>
      </c>
      <c r="L8" s="312" t="s">
        <v>306</v>
      </c>
      <c r="M8" s="201" t="s">
        <v>307</v>
      </c>
      <c r="N8" s="277" t="s">
        <v>308</v>
      </c>
    </row>
    <row r="9" spans="1:14" ht="13.5" thickBot="1" x14ac:dyDescent="0.25">
      <c r="B9" s="198"/>
      <c r="C9" s="204" t="s">
        <v>242</v>
      </c>
      <c r="D9" s="205"/>
      <c r="E9" s="204" t="s">
        <v>243</v>
      </c>
      <c r="F9" s="204" t="s">
        <v>243</v>
      </c>
      <c r="G9" s="204" t="s">
        <v>243</v>
      </c>
      <c r="H9" s="204" t="s">
        <v>243</v>
      </c>
      <c r="I9" s="204" t="s">
        <v>243</v>
      </c>
      <c r="J9" s="210" t="s">
        <v>243</v>
      </c>
      <c r="L9" s="174" t="s">
        <v>243</v>
      </c>
      <c r="M9" s="204" t="s">
        <v>243</v>
      </c>
      <c r="N9" s="313" t="s">
        <v>243</v>
      </c>
    </row>
    <row r="10" spans="1:14" ht="21.95" customHeight="1" x14ac:dyDescent="0.2">
      <c r="B10" s="314" t="s">
        <v>309</v>
      </c>
      <c r="C10" s="315"/>
      <c r="D10" s="316"/>
      <c r="E10" s="317"/>
      <c r="F10" s="317"/>
      <c r="G10" s="317"/>
      <c r="H10" s="317"/>
      <c r="I10" s="317"/>
      <c r="J10" s="318"/>
      <c r="L10" s="319"/>
      <c r="M10" s="317"/>
      <c r="N10" s="320"/>
    </row>
    <row r="11" spans="1:14" ht="21.95" customHeight="1" x14ac:dyDescent="0.2">
      <c r="B11" s="188" t="s">
        <v>310</v>
      </c>
      <c r="C11" s="251">
        <v>100</v>
      </c>
      <c r="D11" s="252" t="s">
        <v>248</v>
      </c>
      <c r="E11" s="306">
        <f>'1415TRU12_PPE_P13'!M58</f>
        <v>0</v>
      </c>
      <c r="F11" s="253">
        <f>SUM(G11:J11)</f>
        <v>0</v>
      </c>
      <c r="G11" s="306">
        <f>('1415TRU12_PPE_P13'!M17-'1415TRU12_PPE_P13'!M42)</f>
        <v>0</v>
      </c>
      <c r="H11" s="321"/>
      <c r="I11" s="321"/>
      <c r="J11" s="307"/>
      <c r="L11" s="322">
        <f>E11-F11</f>
        <v>0</v>
      </c>
      <c r="M11" s="253">
        <f>E11</f>
        <v>0</v>
      </c>
      <c r="N11" s="323">
        <f>M11-F11</f>
        <v>0</v>
      </c>
    </row>
    <row r="12" spans="1:14" ht="21.95" customHeight="1" x14ac:dyDescent="0.2">
      <c r="B12" s="213" t="s">
        <v>311</v>
      </c>
      <c r="C12" s="218">
        <v>110</v>
      </c>
      <c r="D12" s="219" t="s">
        <v>248</v>
      </c>
      <c r="E12" s="300">
        <f>'1415TRU13_INT_P13'!J56</f>
        <v>0</v>
      </c>
      <c r="F12" s="220">
        <f>SUM(G12:J12)</f>
        <v>0</v>
      </c>
      <c r="G12" s="300">
        <f>('1415TRU13_INT_P13'!J15-'1415TRU13_INT_P13'!J40)</f>
        <v>0</v>
      </c>
      <c r="H12" s="324"/>
      <c r="I12" s="324"/>
      <c r="J12" s="298"/>
      <c r="L12" s="325">
        <f>E12-F12</f>
        <v>0</v>
      </c>
      <c r="M12" s="220">
        <f>E12</f>
        <v>0</v>
      </c>
      <c r="N12" s="326">
        <f>M12-F12</f>
        <v>0</v>
      </c>
    </row>
    <row r="13" spans="1:14" ht="21.95" customHeight="1" x14ac:dyDescent="0.2">
      <c r="B13" s="213" t="s">
        <v>130</v>
      </c>
      <c r="C13" s="218">
        <v>120</v>
      </c>
      <c r="D13" s="219" t="s">
        <v>248</v>
      </c>
      <c r="E13" s="300">
        <f>'1415TRU15_ICG_P13'!E30</f>
        <v>0</v>
      </c>
      <c r="F13" s="220">
        <f>SUM(G13:J13)</f>
        <v>0</v>
      </c>
      <c r="G13" s="300">
        <f>'1415TRU15_ICG_P13'!E15</f>
        <v>0</v>
      </c>
      <c r="H13" s="324"/>
      <c r="I13" s="324"/>
      <c r="J13" s="298"/>
      <c r="L13" s="327">
        <f>E13-F13</f>
        <v>0</v>
      </c>
      <c r="M13" s="220">
        <f>E13</f>
        <v>0</v>
      </c>
      <c r="N13" s="326">
        <f>M13-F13</f>
        <v>0</v>
      </c>
    </row>
    <row r="14" spans="1:14" ht="21.95" customHeight="1" x14ac:dyDescent="0.2">
      <c r="B14" s="213" t="s">
        <v>312</v>
      </c>
      <c r="C14" s="218">
        <v>130</v>
      </c>
      <c r="D14" s="219" t="s">
        <v>248</v>
      </c>
      <c r="E14" s="300">
        <f>'1415TRU16_AST_P13'!E194</f>
        <v>0</v>
      </c>
      <c r="F14" s="220">
        <f>SUM(G14:J14)</f>
        <v>0</v>
      </c>
      <c r="G14" s="300">
        <f>'1415TRU16_AST_P13'!E182</f>
        <v>0</v>
      </c>
      <c r="H14" s="324"/>
      <c r="I14" s="324"/>
      <c r="J14" s="298"/>
      <c r="L14" s="325">
        <f>E14-F14</f>
        <v>0</v>
      </c>
      <c r="M14" s="220">
        <f>E14</f>
        <v>0</v>
      </c>
      <c r="N14" s="326">
        <f>M14-F14</f>
        <v>0</v>
      </c>
    </row>
    <row r="15" spans="1:14" ht="21.95" customHeight="1" x14ac:dyDescent="0.2">
      <c r="B15" s="213" t="s">
        <v>313</v>
      </c>
      <c r="C15" s="218">
        <v>140</v>
      </c>
      <c r="D15" s="219" t="s">
        <v>248</v>
      </c>
      <c r="E15" s="300">
        <f>'1415TRU16_AST_P13'!E58</f>
        <v>0</v>
      </c>
      <c r="F15" s="220">
        <f>SUM(G15:J15)</f>
        <v>0</v>
      </c>
      <c r="G15" s="300">
        <f>'1415TRU16_AST_P13'!H58</f>
        <v>0</v>
      </c>
      <c r="H15" s="324"/>
      <c r="I15" s="324"/>
      <c r="J15" s="298"/>
      <c r="L15" s="325">
        <f>E15-F15</f>
        <v>0</v>
      </c>
      <c r="M15" s="300" t="e">
        <f>'1415TRU16_AST_P13'!#REF!</f>
        <v>#REF!</v>
      </c>
      <c r="N15" s="326" t="e">
        <f>M15-F15</f>
        <v>#REF!</v>
      </c>
    </row>
    <row r="16" spans="1:14" ht="21.95" customHeight="1" x14ac:dyDescent="0.2">
      <c r="B16" s="226" t="s">
        <v>314</v>
      </c>
      <c r="C16" s="218">
        <v>150</v>
      </c>
      <c r="D16" s="219" t="s">
        <v>248</v>
      </c>
      <c r="E16" s="224">
        <f>SUM(E11:E15)</f>
        <v>0</v>
      </c>
      <c r="F16" s="224">
        <f>SUM(F11:F15)</f>
        <v>0</v>
      </c>
      <c r="G16" s="224">
        <f>SUM(G11:G15)</f>
        <v>0</v>
      </c>
      <c r="H16" s="324"/>
      <c r="I16" s="324"/>
      <c r="J16" s="227">
        <f>SUM(J11:J15)</f>
        <v>0</v>
      </c>
      <c r="L16" s="328">
        <f>SUM(L11:L15)</f>
        <v>0</v>
      </c>
      <c r="M16" s="224" t="e">
        <f>SUM(M11:M15)</f>
        <v>#REF!</v>
      </c>
      <c r="N16" s="329" t="e">
        <f>SUM(N11:N15)</f>
        <v>#REF!</v>
      </c>
    </row>
    <row r="17" spans="2:14" ht="21.95" customHeight="1" x14ac:dyDescent="0.2">
      <c r="B17" s="226" t="s">
        <v>315</v>
      </c>
      <c r="C17" s="256"/>
      <c r="D17" s="257"/>
      <c r="E17" s="330"/>
      <c r="F17" s="258"/>
      <c r="G17" s="330"/>
      <c r="H17" s="258"/>
      <c r="I17" s="258"/>
      <c r="J17" s="331"/>
      <c r="L17" s="332"/>
      <c r="M17" s="330"/>
      <c r="N17" s="333"/>
    </row>
    <row r="18" spans="2:14" ht="21.95" customHeight="1" x14ac:dyDescent="0.2">
      <c r="B18" s="188" t="s">
        <v>316</v>
      </c>
      <c r="C18" s="251">
        <v>160</v>
      </c>
      <c r="D18" s="252" t="s">
        <v>248</v>
      </c>
      <c r="E18" s="306">
        <f>'1415TRU15_ICG_P13'!L107</f>
        <v>0</v>
      </c>
      <c r="F18" s="253">
        <f>SUM(G18:J18)</f>
        <v>0</v>
      </c>
      <c r="G18" s="306">
        <f>'1415TRU15_ICG_P13'!L96</f>
        <v>0</v>
      </c>
      <c r="H18" s="321"/>
      <c r="I18" s="321"/>
      <c r="J18" s="307"/>
      <c r="K18" s="1196"/>
      <c r="L18" s="322">
        <f>E18-F18</f>
        <v>0</v>
      </c>
      <c r="M18" s="253">
        <f>E18</f>
        <v>0</v>
      </c>
      <c r="N18" s="323">
        <f>M18-F18</f>
        <v>0</v>
      </c>
    </row>
    <row r="19" spans="2:14" ht="21.95" customHeight="1" x14ac:dyDescent="0.2">
      <c r="B19" s="213" t="s">
        <v>313</v>
      </c>
      <c r="C19" s="218">
        <v>170</v>
      </c>
      <c r="D19" s="219" t="s">
        <v>248</v>
      </c>
      <c r="E19" s="300">
        <f>'1415TRU16_AST_P13'!E43</f>
        <v>0</v>
      </c>
      <c r="F19" s="220">
        <f>SUM(G19:J19)</f>
        <v>0</v>
      </c>
      <c r="G19" s="300">
        <f>'1415TRU16_AST_P13'!H43</f>
        <v>0</v>
      </c>
      <c r="H19" s="324"/>
      <c r="I19" s="324"/>
      <c r="J19" s="298"/>
      <c r="L19" s="325">
        <f>E19-F19</f>
        <v>0</v>
      </c>
      <c r="M19" s="300" t="e">
        <f>'1415TRU16_AST_P13'!#REF!</f>
        <v>#REF!</v>
      </c>
      <c r="N19" s="326" t="e">
        <f>M19-F19</f>
        <v>#REF!</v>
      </c>
    </row>
    <row r="20" spans="2:14" ht="21.95" customHeight="1" x14ac:dyDescent="0.2">
      <c r="B20" s="213" t="s">
        <v>312</v>
      </c>
      <c r="C20" s="218">
        <v>180</v>
      </c>
      <c r="D20" s="219" t="s">
        <v>248</v>
      </c>
      <c r="E20" s="300">
        <f>'1415TRU16_AST_P13'!E204</f>
        <v>0</v>
      </c>
      <c r="F20" s="220">
        <f>SUM(G20:J20)</f>
        <v>0</v>
      </c>
      <c r="G20" s="300">
        <f>'1415TRU16_AST_P13'!H204</f>
        <v>0</v>
      </c>
      <c r="H20" s="324"/>
      <c r="I20" s="324"/>
      <c r="J20" s="298"/>
      <c r="L20" s="325">
        <f>E20-F20</f>
        <v>0</v>
      </c>
      <c r="M20" s="300" t="e">
        <f>'1415TRU16_AST_P13'!#REF!</f>
        <v>#REF!</v>
      </c>
      <c r="N20" s="326" t="e">
        <f>M20-F20</f>
        <v>#REF!</v>
      </c>
    </row>
    <row r="21" spans="2:14" ht="21.95" customHeight="1" x14ac:dyDescent="0.2">
      <c r="B21" s="213" t="s">
        <v>142</v>
      </c>
      <c r="C21" s="218">
        <v>190</v>
      </c>
      <c r="D21" s="219" t="s">
        <v>248</v>
      </c>
      <c r="E21" s="300">
        <f>'1415TRU16_AST_P13'!E114</f>
        <v>0</v>
      </c>
      <c r="F21" s="220">
        <f>SUM(G21:J21)</f>
        <v>0</v>
      </c>
      <c r="G21" s="300">
        <f>'1415TRU16_AST_P13'!H114</f>
        <v>0</v>
      </c>
      <c r="H21" s="324"/>
      <c r="I21" s="324"/>
      <c r="J21" s="298"/>
      <c r="L21" s="325">
        <f>E21-F21</f>
        <v>0</v>
      </c>
      <c r="M21" s="300" t="e">
        <f>'1415TRU16_AST_P13'!#REF!</f>
        <v>#REF!</v>
      </c>
      <c r="N21" s="326" t="e">
        <f>M21-F21</f>
        <v>#REF!</v>
      </c>
    </row>
    <row r="22" spans="2:14" ht="21.95" customHeight="1" x14ac:dyDescent="0.2">
      <c r="B22" s="213" t="s">
        <v>143</v>
      </c>
      <c r="C22" s="218">
        <v>200</v>
      </c>
      <c r="D22" s="219" t="s">
        <v>248</v>
      </c>
      <c r="E22" s="300">
        <f>'1415TRU16_AST_P13'!E137</f>
        <v>0</v>
      </c>
      <c r="F22" s="220">
        <f>SUM(G22:J22)</f>
        <v>0</v>
      </c>
      <c r="G22" s="300">
        <f>'1415TRU16_AST_P13'!H137</f>
        <v>0</v>
      </c>
      <c r="H22" s="324"/>
      <c r="I22" s="324"/>
      <c r="J22" s="298"/>
      <c r="L22" s="325">
        <f>E22-F22</f>
        <v>0</v>
      </c>
      <c r="M22" s="300" t="e">
        <f>'1415TRU16_AST_P13'!#REF!</f>
        <v>#REF!</v>
      </c>
      <c r="N22" s="326" t="e">
        <f>M22-F22</f>
        <v>#REF!</v>
      </c>
    </row>
    <row r="23" spans="2:14" ht="21.95" customHeight="1" x14ac:dyDescent="0.2">
      <c r="B23" s="226" t="s">
        <v>317</v>
      </c>
      <c r="C23" s="218">
        <v>210</v>
      </c>
      <c r="D23" s="219" t="s">
        <v>248</v>
      </c>
      <c r="E23" s="224">
        <f>SUM(E18:E22)</f>
        <v>0</v>
      </c>
      <c r="F23" s="224">
        <f>SUM(F18:F22)</f>
        <v>0</v>
      </c>
      <c r="G23" s="224">
        <f>SUM(G18:G22)</f>
        <v>0</v>
      </c>
      <c r="H23" s="324"/>
      <c r="I23" s="324"/>
      <c r="J23" s="227">
        <f>SUM(J18:J22)</f>
        <v>0</v>
      </c>
      <c r="L23" s="328">
        <f>SUM(L18:L22)</f>
        <v>0</v>
      </c>
      <c r="M23" s="224" t="e">
        <f>SUM(M18:M22)</f>
        <v>#REF!</v>
      </c>
      <c r="N23" s="329" t="e">
        <f>SUM(N18:N22)</f>
        <v>#REF!</v>
      </c>
    </row>
    <row r="24" spans="2:14" ht="21.95" customHeight="1" x14ac:dyDescent="0.2">
      <c r="B24" s="213" t="s">
        <v>318</v>
      </c>
      <c r="C24" s="218">
        <v>220</v>
      </c>
      <c r="D24" s="219" t="s">
        <v>248</v>
      </c>
      <c r="E24" s="300">
        <f>'1415TRU15_ICG_P13'!O246</f>
        <v>0</v>
      </c>
      <c r="F24" s="220">
        <f>SUM(G24:J24)</f>
        <v>0</v>
      </c>
      <c r="G24" s="300">
        <f>'1415TRU15_ICG_P13'!O233</f>
        <v>0</v>
      </c>
      <c r="H24" s="324"/>
      <c r="I24" s="324"/>
      <c r="J24" s="298"/>
      <c r="L24" s="325">
        <f>E24-F24</f>
        <v>0</v>
      </c>
      <c r="M24" s="300" t="e">
        <f>'1415TRU15_ICG_P13'!#REF!</f>
        <v>#REF!</v>
      </c>
      <c r="N24" s="326" t="e">
        <f>M24-F24</f>
        <v>#REF!</v>
      </c>
    </row>
    <row r="25" spans="2:14" ht="21.95" customHeight="1" x14ac:dyDescent="0.2">
      <c r="B25" s="226" t="s">
        <v>319</v>
      </c>
      <c r="C25" s="218">
        <v>230</v>
      </c>
      <c r="D25" s="219" t="s">
        <v>248</v>
      </c>
      <c r="E25" s="224">
        <f>SUM(E23:E24)</f>
        <v>0</v>
      </c>
      <c r="F25" s="224">
        <f>SUM(F23:F24)</f>
        <v>0</v>
      </c>
      <c r="G25" s="224">
        <f>SUM(G23:G24)</f>
        <v>0</v>
      </c>
      <c r="H25" s="324"/>
      <c r="I25" s="324"/>
      <c r="J25" s="227">
        <f>SUM(J23:J24)</f>
        <v>0</v>
      </c>
      <c r="L25" s="328">
        <f>SUM(L23:L24)</f>
        <v>0</v>
      </c>
      <c r="M25" s="224" t="e">
        <f>SUM(M23:M24)</f>
        <v>#REF!</v>
      </c>
      <c r="N25" s="329" t="e">
        <f>SUM(N23:N24)</f>
        <v>#REF!</v>
      </c>
    </row>
    <row r="26" spans="2:14" ht="21.95" customHeight="1" x14ac:dyDescent="0.2">
      <c r="B26" s="226" t="s">
        <v>320</v>
      </c>
      <c r="C26" s="218">
        <v>240</v>
      </c>
      <c r="D26" s="219" t="s">
        <v>248</v>
      </c>
      <c r="E26" s="224">
        <f>E16+E25</f>
        <v>0</v>
      </c>
      <c r="F26" s="224">
        <f>F16+F25</f>
        <v>0</v>
      </c>
      <c r="G26" s="224">
        <f>G16+G25</f>
        <v>0</v>
      </c>
      <c r="H26" s="324"/>
      <c r="I26" s="324"/>
      <c r="J26" s="227">
        <f>J16+J25</f>
        <v>0</v>
      </c>
      <c r="L26" s="328">
        <f>L16+L25</f>
        <v>0</v>
      </c>
      <c r="M26" s="224" t="e">
        <f>M16+M25</f>
        <v>#REF!</v>
      </c>
      <c r="N26" s="329" t="e">
        <f>N16+N25</f>
        <v>#REF!</v>
      </c>
    </row>
    <row r="27" spans="2:14" ht="21.95" customHeight="1" x14ac:dyDescent="0.2">
      <c r="B27" s="226" t="s">
        <v>321</v>
      </c>
      <c r="C27" s="256"/>
      <c r="D27" s="257"/>
      <c r="E27" s="330"/>
      <c r="F27" s="258"/>
      <c r="G27" s="330"/>
      <c r="H27" s="258"/>
      <c r="I27" s="258"/>
      <c r="J27" s="331"/>
      <c r="L27" s="332"/>
      <c r="M27" s="258"/>
      <c r="N27" s="333"/>
    </row>
    <row r="28" spans="2:14" ht="21.95" customHeight="1" x14ac:dyDescent="0.2">
      <c r="B28" s="188" t="s">
        <v>322</v>
      </c>
      <c r="C28" s="251">
        <v>250</v>
      </c>
      <c r="D28" s="252" t="s">
        <v>245</v>
      </c>
      <c r="E28" s="306">
        <f>('1415TRU17_LIA_P13'!E25*-1)</f>
        <v>0</v>
      </c>
      <c r="F28" s="306">
        <f>('1415TRU17_LIA_P13'!F25*-1)</f>
        <v>0</v>
      </c>
      <c r="G28" s="306">
        <f>('1415TRU17_LIA_P13'!H25*-1)</f>
        <v>0</v>
      </c>
      <c r="H28" s="321"/>
      <c r="I28" s="321"/>
      <c r="J28" s="307"/>
      <c r="L28" s="322">
        <f t="shared" ref="L28:L34" si="0">E28-F28</f>
        <v>0</v>
      </c>
      <c r="M28" s="306" t="e">
        <f>('1415TRU17_LIA_P13'!#REF!*-1)</f>
        <v>#REF!</v>
      </c>
      <c r="N28" s="323" t="e">
        <f t="shared" ref="N28:N34" si="1">M28-F28</f>
        <v>#REF!</v>
      </c>
    </row>
    <row r="29" spans="2:14" ht="21.95" customHeight="1" x14ac:dyDescent="0.2">
      <c r="B29" s="213" t="s">
        <v>323</v>
      </c>
      <c r="C29" s="218">
        <v>260</v>
      </c>
      <c r="D29" s="219" t="s">
        <v>245</v>
      </c>
      <c r="E29" s="300">
        <f>('1415TRU17_LIA_P13'!E60*-1)</f>
        <v>0</v>
      </c>
      <c r="F29" s="300">
        <f>('1415TRU17_LIA_P13'!F60*-1)</f>
        <v>0</v>
      </c>
      <c r="G29" s="334"/>
      <c r="H29" s="324"/>
      <c r="I29" s="324"/>
      <c r="J29" s="259"/>
      <c r="L29" s="325">
        <f t="shared" si="0"/>
        <v>0</v>
      </c>
      <c r="M29" s="300" t="e">
        <f>('1415TRU17_LIA_P13'!#REF!*-1)</f>
        <v>#REF!</v>
      </c>
      <c r="N29" s="326" t="e">
        <f t="shared" si="1"/>
        <v>#REF!</v>
      </c>
    </row>
    <row r="30" spans="2:14" ht="21.95" customHeight="1" x14ac:dyDescent="0.2">
      <c r="B30" s="213" t="s">
        <v>170</v>
      </c>
      <c r="C30" s="218">
        <v>270</v>
      </c>
      <c r="D30" s="219" t="s">
        <v>245</v>
      </c>
      <c r="E30" s="300">
        <f>('1415TRU19_PRV_P13'!E94*-1)</f>
        <v>0</v>
      </c>
      <c r="F30" s="220">
        <f>SUM(G30:J30)</f>
        <v>0</v>
      </c>
      <c r="G30" s="300">
        <f>('1415TRU19_PRV_P13'!H94*-1)</f>
        <v>0</v>
      </c>
      <c r="H30" s="324"/>
      <c r="I30" s="324"/>
      <c r="J30" s="298"/>
      <c r="L30" s="325">
        <f t="shared" si="0"/>
        <v>0</v>
      </c>
      <c r="M30" s="300" t="e">
        <f>('1415TRU19_PRV_P13'!#REF!*-1)</f>
        <v>#REF!</v>
      </c>
      <c r="N30" s="326" t="e">
        <f t="shared" si="1"/>
        <v>#REF!</v>
      </c>
    </row>
    <row r="31" spans="2:14" ht="21.95" customHeight="1" x14ac:dyDescent="0.2">
      <c r="B31" s="213" t="s">
        <v>324</v>
      </c>
      <c r="C31" s="218">
        <v>280</v>
      </c>
      <c r="D31" s="219" t="s">
        <v>245</v>
      </c>
      <c r="E31" s="300">
        <f>(('1415TRU17_LIA_P13'!E92-'1415TRU17_LIA_P13'!E84)*-1)</f>
        <v>0</v>
      </c>
      <c r="F31" s="300">
        <f>(('1415TRU17_LIA_P13'!F92-'1415TRU17_LIA_P13'!F84)*-1)</f>
        <v>0</v>
      </c>
      <c r="G31" s="300">
        <f>(('1415TRU17_LIA_P13'!H92-'1415TRU17_LIA_P13'!H84)*-1)</f>
        <v>0</v>
      </c>
      <c r="H31" s="324"/>
      <c r="I31" s="324"/>
      <c r="J31" s="298"/>
      <c r="L31" s="325">
        <f t="shared" si="0"/>
        <v>0</v>
      </c>
      <c r="M31" s="300" t="e">
        <f>(('1415TRU17_LIA_P13'!#REF!-'1415TRU17_LIA_P13'!#REF!)*-1)</f>
        <v>#REF!</v>
      </c>
      <c r="N31" s="326" t="e">
        <f t="shared" si="1"/>
        <v>#REF!</v>
      </c>
    </row>
    <row r="32" spans="2:14" ht="21.95" customHeight="1" x14ac:dyDescent="0.2">
      <c r="B32" s="213" t="s">
        <v>325</v>
      </c>
      <c r="C32" s="218">
        <v>290</v>
      </c>
      <c r="D32" s="219" t="s">
        <v>245</v>
      </c>
      <c r="E32" s="300">
        <f>('1415TRU17_LIA_P13'!E144*-1)</f>
        <v>0</v>
      </c>
      <c r="F32" s="220">
        <f>SUM(G32:J32)</f>
        <v>0</v>
      </c>
      <c r="G32" s="300">
        <f>('1415TRU17_LIA_P13'!H144*-1)</f>
        <v>0</v>
      </c>
      <c r="H32" s="324"/>
      <c r="I32" s="324"/>
      <c r="J32" s="298"/>
      <c r="L32" s="325">
        <f t="shared" si="0"/>
        <v>0</v>
      </c>
      <c r="M32" s="300" t="e">
        <f>('1415TRU17_LIA_P13'!#REF!*-1)</f>
        <v>#REF!</v>
      </c>
      <c r="N32" s="326" t="e">
        <f t="shared" si="1"/>
        <v>#REF!</v>
      </c>
    </row>
    <row r="33" spans="1:14" ht="21.95" customHeight="1" x14ac:dyDescent="0.2">
      <c r="A33" s="186"/>
      <c r="B33" s="213" t="s">
        <v>326</v>
      </c>
      <c r="C33" s="218">
        <v>300</v>
      </c>
      <c r="D33" s="219" t="s">
        <v>245</v>
      </c>
      <c r="E33" s="300">
        <f>(('1415TRU17_LIA_P13'!E129*-1)-E34)</f>
        <v>0</v>
      </c>
      <c r="F33" s="300">
        <f>(('1415TRU17_LIA_P13'!F129*-1)-F34)</f>
        <v>0</v>
      </c>
      <c r="G33" s="300">
        <f>(('1415TRU17_LIA_P13'!H129*-1)-G34)</f>
        <v>0</v>
      </c>
      <c r="H33" s="324"/>
      <c r="I33" s="324"/>
      <c r="J33" s="298"/>
      <c r="L33" s="325">
        <f t="shared" si="0"/>
        <v>0</v>
      </c>
      <c r="M33" s="300" t="e">
        <f>(('1415TRU17_LIA_P13'!#REF!*-1)-M34)</f>
        <v>#REF!</v>
      </c>
      <c r="N33" s="326" t="e">
        <f t="shared" si="1"/>
        <v>#REF!</v>
      </c>
    </row>
    <row r="34" spans="1:14" ht="21.95" customHeight="1" x14ac:dyDescent="0.2">
      <c r="A34" s="186"/>
      <c r="B34" s="213" t="s">
        <v>327</v>
      </c>
      <c r="C34" s="218">
        <v>310</v>
      </c>
      <c r="D34" s="219" t="s">
        <v>245</v>
      </c>
      <c r="E34" s="300">
        <f>('1415TRU17_LIA_P13'!E128*-1)</f>
        <v>0</v>
      </c>
      <c r="F34" s="300">
        <f>('1415TRU17_LIA_P13'!F128*-1)</f>
        <v>0</v>
      </c>
      <c r="G34" s="300">
        <f>('1415TRU17_LIA_P13'!H128*-1)</f>
        <v>0</v>
      </c>
      <c r="H34" s="324"/>
      <c r="I34" s="324"/>
      <c r="J34" s="298"/>
      <c r="L34" s="325">
        <f t="shared" si="0"/>
        <v>0</v>
      </c>
      <c r="M34" s="300" t="e">
        <f>('1415TRU17_LIA_P13'!#REF!*-1)</f>
        <v>#REF!</v>
      </c>
      <c r="N34" s="326" t="e">
        <f t="shared" si="1"/>
        <v>#REF!</v>
      </c>
    </row>
    <row r="35" spans="1:14" ht="21.95" customHeight="1" x14ac:dyDescent="0.2">
      <c r="B35" s="226" t="s">
        <v>328</v>
      </c>
      <c r="C35" s="218">
        <v>320</v>
      </c>
      <c r="D35" s="219" t="s">
        <v>245</v>
      </c>
      <c r="E35" s="224">
        <f>SUM(E28:E34)</f>
        <v>0</v>
      </c>
      <c r="F35" s="224">
        <f>SUM(F28:F34)</f>
        <v>0</v>
      </c>
      <c r="G35" s="224">
        <f>SUM(G28:G34)</f>
        <v>0</v>
      </c>
      <c r="H35" s="324"/>
      <c r="I35" s="324"/>
      <c r="J35" s="227">
        <f>SUM(J28:J34)</f>
        <v>0</v>
      </c>
      <c r="L35" s="328">
        <f>SUM(L28:L34)</f>
        <v>0</v>
      </c>
      <c r="M35" s="224" t="e">
        <f>SUM(M28:M34)</f>
        <v>#REF!</v>
      </c>
      <c r="N35" s="329" t="e">
        <f>SUM(N28:N34)</f>
        <v>#REF!</v>
      </c>
    </row>
    <row r="36" spans="1:14" ht="21.95" customHeight="1" x14ac:dyDescent="0.2">
      <c r="B36" s="226" t="s">
        <v>329</v>
      </c>
      <c r="C36" s="218">
        <v>330</v>
      </c>
      <c r="D36" s="219" t="s">
        <v>251</v>
      </c>
      <c r="E36" s="224">
        <f>SUM(E25+E35)</f>
        <v>0</v>
      </c>
      <c r="F36" s="224">
        <f>SUM(F25+F35)</f>
        <v>0</v>
      </c>
      <c r="G36" s="224">
        <f>SUM(G25+G35)</f>
        <v>0</v>
      </c>
      <c r="H36" s="324"/>
      <c r="I36" s="324"/>
      <c r="J36" s="227">
        <f>SUM(J25+J35)</f>
        <v>0</v>
      </c>
      <c r="L36" s="328">
        <f>SUM(L25+L35)</f>
        <v>0</v>
      </c>
      <c r="M36" s="224" t="e">
        <f>SUM(M25+M35)</f>
        <v>#REF!</v>
      </c>
      <c r="N36" s="329" t="e">
        <f>SUM(N25+N35)</f>
        <v>#REF!</v>
      </c>
    </row>
    <row r="37" spans="1:14" ht="21.95" customHeight="1" x14ac:dyDescent="0.2">
      <c r="B37" s="226" t="s">
        <v>330</v>
      </c>
      <c r="C37" s="218">
        <v>340</v>
      </c>
      <c r="D37" s="219" t="s">
        <v>251</v>
      </c>
      <c r="E37" s="224">
        <f>E26+E35</f>
        <v>0</v>
      </c>
      <c r="F37" s="224">
        <f>F26+F35</f>
        <v>0</v>
      </c>
      <c r="G37" s="224">
        <f>G26+G35</f>
        <v>0</v>
      </c>
      <c r="H37" s="324"/>
      <c r="I37" s="324"/>
      <c r="J37" s="227">
        <f>J26+J35</f>
        <v>0</v>
      </c>
      <c r="L37" s="328">
        <f>L26+L35</f>
        <v>0</v>
      </c>
      <c r="M37" s="224" t="e">
        <f>M26+M35</f>
        <v>#REF!</v>
      </c>
      <c r="N37" s="329" t="e">
        <f>N26+N35</f>
        <v>#REF!</v>
      </c>
    </row>
    <row r="38" spans="1:14" ht="21.95" customHeight="1" x14ac:dyDescent="0.2">
      <c r="B38" s="226" t="s">
        <v>331</v>
      </c>
      <c r="C38" s="256"/>
      <c r="D38" s="257"/>
      <c r="E38" s="330"/>
      <c r="F38" s="258"/>
      <c r="G38" s="330"/>
      <c r="H38" s="258"/>
      <c r="I38" s="258"/>
      <c r="J38" s="331"/>
      <c r="L38" s="332"/>
      <c r="M38" s="258"/>
      <c r="N38" s="333"/>
    </row>
    <row r="39" spans="1:14" ht="21.95" customHeight="1" x14ac:dyDescent="0.2">
      <c r="B39" s="188" t="s">
        <v>322</v>
      </c>
      <c r="C39" s="251">
        <v>350</v>
      </c>
      <c r="D39" s="252" t="s">
        <v>245</v>
      </c>
      <c r="E39" s="306">
        <f>('1415TRU17_LIA_P13'!E36*-1)</f>
        <v>0</v>
      </c>
      <c r="F39" s="306">
        <f>('1415TRU17_LIA_P13'!F36*-1)</f>
        <v>0</v>
      </c>
      <c r="G39" s="306">
        <f>('1415TRU17_LIA_P13'!H36*-1)</f>
        <v>0</v>
      </c>
      <c r="H39" s="321"/>
      <c r="I39" s="321"/>
      <c r="J39" s="307"/>
      <c r="L39" s="322">
        <f t="shared" ref="L39:L45" si="2">E39-F39</f>
        <v>0</v>
      </c>
      <c r="M39" s="306" t="e">
        <f>('1415TRU17_LIA_P13'!#REF!*-1)</f>
        <v>#REF!</v>
      </c>
      <c r="N39" s="323" t="e">
        <f t="shared" ref="N39:N45" si="3">M39-F39</f>
        <v>#REF!</v>
      </c>
    </row>
    <row r="40" spans="1:14" ht="21.95" customHeight="1" x14ac:dyDescent="0.2">
      <c r="B40" s="213" t="s">
        <v>323</v>
      </c>
      <c r="C40" s="218">
        <v>360</v>
      </c>
      <c r="D40" s="219" t="s">
        <v>245</v>
      </c>
      <c r="E40" s="300">
        <f>('1415TRU17_LIA_P13'!E65*-1)</f>
        <v>0</v>
      </c>
      <c r="F40" s="300">
        <f>('1415TRU17_LIA_P13'!F65*-1)</f>
        <v>0</v>
      </c>
      <c r="G40" s="334"/>
      <c r="H40" s="324"/>
      <c r="I40" s="324"/>
      <c r="J40" s="259"/>
      <c r="L40" s="325">
        <f t="shared" si="2"/>
        <v>0</v>
      </c>
      <c r="M40" s="300" t="e">
        <f>('1415TRU17_LIA_P13'!#REF!*-1)</f>
        <v>#REF!</v>
      </c>
      <c r="N40" s="326" t="e">
        <f t="shared" si="3"/>
        <v>#REF!</v>
      </c>
    </row>
    <row r="41" spans="1:14" ht="21.95" customHeight="1" x14ac:dyDescent="0.2">
      <c r="B41" s="213" t="s">
        <v>170</v>
      </c>
      <c r="C41" s="218">
        <v>370</v>
      </c>
      <c r="D41" s="219" t="s">
        <v>245</v>
      </c>
      <c r="E41" s="300">
        <f>('1415TRU19_PRV_P13'!E105*-1)</f>
        <v>0</v>
      </c>
      <c r="F41" s="220">
        <f>SUM(G41:J41)</f>
        <v>0</v>
      </c>
      <c r="G41" s="300">
        <f>('1415TRU19_PRV_P13'!H105*-1)</f>
        <v>0</v>
      </c>
      <c r="H41" s="324"/>
      <c r="I41" s="324"/>
      <c r="J41" s="298"/>
      <c r="L41" s="325">
        <f t="shared" si="2"/>
        <v>0</v>
      </c>
      <c r="M41" s="300" t="e">
        <f>(('1415TRU19_PRV_P13'!#REF!+'1415TRU19_PRV_P13'!#REF!)*-1)</f>
        <v>#REF!</v>
      </c>
      <c r="N41" s="326" t="e">
        <f t="shared" si="3"/>
        <v>#REF!</v>
      </c>
    </row>
    <row r="42" spans="1:14" ht="21.95" customHeight="1" x14ac:dyDescent="0.2">
      <c r="B42" s="213" t="s">
        <v>324</v>
      </c>
      <c r="C42" s="218">
        <v>380</v>
      </c>
      <c r="D42" s="219" t="s">
        <v>245</v>
      </c>
      <c r="E42" s="300">
        <f>(('1415TRU17_LIA_P13'!E102-'1415TRU17_LIA_P13'!E94)*-1)</f>
        <v>0</v>
      </c>
      <c r="F42" s="300">
        <f>(('1415TRU17_LIA_P13'!F102-'1415TRU17_LIA_P13'!F94)*-1)</f>
        <v>0</v>
      </c>
      <c r="G42" s="300">
        <f>(('1415TRU17_LIA_P13'!H102-'1415TRU17_LIA_P13'!H94)*-1)</f>
        <v>0</v>
      </c>
      <c r="H42" s="324"/>
      <c r="I42" s="324"/>
      <c r="J42" s="298"/>
      <c r="L42" s="325">
        <f t="shared" si="2"/>
        <v>0</v>
      </c>
      <c r="M42" s="300" t="e">
        <f>(('1415TRU17_LIA_P13'!#REF!-'1415TRU17_LIA_P13'!#REF!)*-1)</f>
        <v>#REF!</v>
      </c>
      <c r="N42" s="326" t="e">
        <f t="shared" si="3"/>
        <v>#REF!</v>
      </c>
    </row>
    <row r="43" spans="1:14" ht="21.95" customHeight="1" x14ac:dyDescent="0.2">
      <c r="B43" s="213" t="s">
        <v>325</v>
      </c>
      <c r="C43" s="218">
        <v>390</v>
      </c>
      <c r="D43" s="219" t="s">
        <v>245</v>
      </c>
      <c r="E43" s="300">
        <f>('1415TRU17_LIA_P13'!E149*-1)</f>
        <v>0</v>
      </c>
      <c r="F43" s="300">
        <f>('1415TRU17_LIA_P13'!F149*-1)</f>
        <v>0</v>
      </c>
      <c r="G43" s="334"/>
      <c r="H43" s="324"/>
      <c r="I43" s="324"/>
      <c r="J43" s="259"/>
      <c r="L43" s="325">
        <f t="shared" si="2"/>
        <v>0</v>
      </c>
      <c r="M43" s="300" t="e">
        <f>('1415TRU17_LIA_P13'!#REF!*-1)</f>
        <v>#REF!</v>
      </c>
      <c r="N43" s="326" t="e">
        <f t="shared" si="3"/>
        <v>#REF!</v>
      </c>
    </row>
    <row r="44" spans="1:14" ht="21.95" customHeight="1" x14ac:dyDescent="0.2">
      <c r="A44" s="186"/>
      <c r="B44" s="213" t="s">
        <v>326</v>
      </c>
      <c r="C44" s="218">
        <v>400</v>
      </c>
      <c r="D44" s="219" t="s">
        <v>245</v>
      </c>
      <c r="E44" s="300">
        <f>(('1415TRU17_LIA_P13'!E133*-1)-E45)</f>
        <v>0</v>
      </c>
      <c r="F44" s="300">
        <f>(('1415TRU17_LIA_P13'!F133*-1)-F45)</f>
        <v>0</v>
      </c>
      <c r="G44" s="300">
        <f>(('1415TRU17_LIA_P13'!H133*-1)-G45)</f>
        <v>0</v>
      </c>
      <c r="H44" s="324"/>
      <c r="I44" s="324"/>
      <c r="J44" s="298"/>
      <c r="L44" s="325">
        <f t="shared" si="2"/>
        <v>0</v>
      </c>
      <c r="M44" s="300" t="e">
        <f>(('1415TRU17_LIA_P13'!#REF!*-1)-M45)</f>
        <v>#REF!</v>
      </c>
      <c r="N44" s="326" t="e">
        <f t="shared" si="3"/>
        <v>#REF!</v>
      </c>
    </row>
    <row r="45" spans="1:14" ht="21.95" customHeight="1" x14ac:dyDescent="0.2">
      <c r="A45" s="186"/>
      <c r="B45" s="213" t="s">
        <v>327</v>
      </c>
      <c r="C45" s="218">
        <v>410</v>
      </c>
      <c r="D45" s="219" t="s">
        <v>245</v>
      </c>
      <c r="E45" s="300">
        <f>('1415TRU17_LIA_P13'!E132*-1)</f>
        <v>0</v>
      </c>
      <c r="F45" s="300">
        <f>('1415TRU17_LIA_P13'!F132*-1)</f>
        <v>0</v>
      </c>
      <c r="G45" s="300">
        <f>('1415TRU17_LIA_P13'!H132*-1)</f>
        <v>0</v>
      </c>
      <c r="H45" s="324"/>
      <c r="I45" s="324"/>
      <c r="J45" s="298"/>
      <c r="L45" s="325">
        <f t="shared" si="2"/>
        <v>0</v>
      </c>
      <c r="M45" s="300" t="e">
        <f>('1415TRU17_LIA_P13'!#REF!*-1)</f>
        <v>#REF!</v>
      </c>
      <c r="N45" s="326" t="e">
        <f t="shared" si="3"/>
        <v>#REF!</v>
      </c>
    </row>
    <row r="46" spans="1:14" ht="21.95" customHeight="1" x14ac:dyDescent="0.2">
      <c r="B46" s="226" t="s">
        <v>332</v>
      </c>
      <c r="C46" s="218">
        <v>420</v>
      </c>
      <c r="D46" s="219" t="s">
        <v>245</v>
      </c>
      <c r="E46" s="224">
        <f>SUM(E39:E45)</f>
        <v>0</v>
      </c>
      <c r="F46" s="224">
        <f>SUM(F39:F45)</f>
        <v>0</v>
      </c>
      <c r="G46" s="224">
        <f>SUM(G39:G45)</f>
        <v>0</v>
      </c>
      <c r="H46" s="324"/>
      <c r="I46" s="324"/>
      <c r="J46" s="227">
        <f>SUM(J39:J45)</f>
        <v>0</v>
      </c>
      <c r="L46" s="328">
        <f>SUM(L39:L45)</f>
        <v>0</v>
      </c>
      <c r="M46" s="224" t="e">
        <f>SUM(M39:M45)</f>
        <v>#REF!</v>
      </c>
      <c r="N46" s="329" t="e">
        <f>SUM(N39:N45)</f>
        <v>#REF!</v>
      </c>
    </row>
    <row r="47" spans="1:14" ht="30" customHeight="1" x14ac:dyDescent="0.2">
      <c r="B47" s="336" t="s">
        <v>333</v>
      </c>
      <c r="C47" s="218">
        <v>430</v>
      </c>
      <c r="D47" s="219" t="s">
        <v>251</v>
      </c>
      <c r="E47" s="224">
        <f>E37+E46</f>
        <v>0</v>
      </c>
      <c r="F47" s="224">
        <f>F37+F46</f>
        <v>0</v>
      </c>
      <c r="G47" s="224">
        <f>G37+G46</f>
        <v>0</v>
      </c>
      <c r="H47" s="324"/>
      <c r="I47" s="324"/>
      <c r="J47" s="227">
        <f>J37+J46</f>
        <v>0</v>
      </c>
      <c r="L47" s="328">
        <f>L37+L46</f>
        <v>0</v>
      </c>
      <c r="M47" s="224" t="e">
        <f>M37+M46</f>
        <v>#REF!</v>
      </c>
      <c r="N47" s="329" t="e">
        <f>N37+N46</f>
        <v>#REF!</v>
      </c>
    </row>
    <row r="48" spans="1:14" ht="21.95" customHeight="1" x14ac:dyDescent="0.2">
      <c r="B48" s="226" t="s">
        <v>334</v>
      </c>
      <c r="C48" s="256"/>
      <c r="D48" s="257"/>
      <c r="E48" s="330"/>
      <c r="F48" s="258"/>
      <c r="G48" s="330"/>
      <c r="H48" s="258"/>
      <c r="I48" s="258"/>
      <c r="J48" s="259"/>
      <c r="L48" s="332"/>
      <c r="M48" s="258"/>
      <c r="N48" s="333"/>
    </row>
    <row r="49" spans="1:14" ht="21.95" customHeight="1" x14ac:dyDescent="0.2">
      <c r="A49" s="186"/>
      <c r="B49" s="188" t="s">
        <v>335</v>
      </c>
      <c r="C49" s="251">
        <v>440</v>
      </c>
      <c r="D49" s="252" t="s">
        <v>248</v>
      </c>
      <c r="E49" s="306">
        <f>'1415TRU03_STE_P13'!E48</f>
        <v>0</v>
      </c>
      <c r="F49" s="337">
        <f>SUM(G49:J49)</f>
        <v>0</v>
      </c>
      <c r="G49" s="306">
        <f>'1415TRU03_STE_P13'!E15</f>
        <v>0</v>
      </c>
      <c r="H49" s="321"/>
      <c r="I49" s="321"/>
      <c r="J49" s="307"/>
      <c r="L49" s="322">
        <f>E49-F49</f>
        <v>0</v>
      </c>
      <c r="M49" s="253">
        <f>E49</f>
        <v>0</v>
      </c>
      <c r="N49" s="323">
        <f>M49-F49</f>
        <v>0</v>
      </c>
    </row>
    <row r="50" spans="1:14" ht="21.95" customHeight="1" x14ac:dyDescent="0.2">
      <c r="A50" s="186"/>
      <c r="B50" s="214" t="s">
        <v>336</v>
      </c>
      <c r="C50" s="218">
        <v>450</v>
      </c>
      <c r="D50" s="219" t="s">
        <v>251</v>
      </c>
      <c r="E50" s="300">
        <f>'1415TRU03_STE_P13'!F48</f>
        <v>0</v>
      </c>
      <c r="F50" s="338">
        <f>SUM(G50:J50)</f>
        <v>0</v>
      </c>
      <c r="G50" s="300">
        <f>'1415TRU03_STE_P13'!F15</f>
        <v>0</v>
      </c>
      <c r="H50" s="324"/>
      <c r="I50" s="324"/>
      <c r="J50" s="305"/>
      <c r="L50" s="325">
        <f>E50-F50</f>
        <v>0</v>
      </c>
      <c r="M50" s="220">
        <f>E50</f>
        <v>0</v>
      </c>
      <c r="N50" s="326">
        <f>M50-F50</f>
        <v>0</v>
      </c>
    </row>
    <row r="51" spans="1:14" hidden="1" x14ac:dyDescent="0.2">
      <c r="A51" s="186"/>
      <c r="B51" t="s">
        <v>337</v>
      </c>
      <c r="C51" s="172">
        <v>460</v>
      </c>
      <c r="D51" s="247" t="s">
        <v>251</v>
      </c>
      <c r="L51" s="283"/>
      <c r="N51" s="339"/>
    </row>
    <row r="52" spans="1:14" ht="21.95" customHeight="1" x14ac:dyDescent="0.2">
      <c r="B52" s="188" t="s">
        <v>338</v>
      </c>
      <c r="C52" s="251">
        <v>470</v>
      </c>
      <c r="D52" s="252" t="s">
        <v>248</v>
      </c>
      <c r="E52" s="306">
        <f>'1415TRU03_STE_P13'!H48</f>
        <v>0</v>
      </c>
      <c r="F52" s="253">
        <f>SUM(G52:J52)</f>
        <v>0</v>
      </c>
      <c r="G52" s="306">
        <f>'1415TRU03_STE_P13'!H15</f>
        <v>0</v>
      </c>
      <c r="H52" s="321"/>
      <c r="I52" s="321"/>
      <c r="J52" s="307"/>
      <c r="L52" s="322">
        <f>E52-F52</f>
        <v>0</v>
      </c>
      <c r="M52" s="253">
        <f>E52</f>
        <v>0</v>
      </c>
      <c r="N52" s="323">
        <f>M52-F52</f>
        <v>0</v>
      </c>
    </row>
    <row r="53" spans="1:14" ht="21.95" customHeight="1" x14ac:dyDescent="0.2">
      <c r="B53" s="213" t="s">
        <v>339</v>
      </c>
      <c r="C53" s="234">
        <v>480</v>
      </c>
      <c r="D53" s="267" t="s">
        <v>251</v>
      </c>
      <c r="E53" s="403">
        <f>'1415TRU03_STE_P13'!I48</f>
        <v>0</v>
      </c>
      <c r="F53" s="268">
        <f>SUM(G53:J53)</f>
        <v>0</v>
      </c>
      <c r="G53" s="403">
        <f>'1415TRU03_STE_P13'!I15</f>
        <v>0</v>
      </c>
      <c r="H53" s="258"/>
      <c r="I53" s="258"/>
      <c r="J53" s="298"/>
      <c r="L53" s="325">
        <f>E53-F53</f>
        <v>0</v>
      </c>
      <c r="M53" s="220">
        <f>E53</f>
        <v>0</v>
      </c>
      <c r="N53" s="326">
        <f>M53-F53</f>
        <v>0</v>
      </c>
    </row>
    <row r="54" spans="1:14" ht="21.95" customHeight="1" thickBot="1" x14ac:dyDescent="0.25">
      <c r="B54" s="233" t="s">
        <v>340</v>
      </c>
      <c r="C54" s="236">
        <v>490</v>
      </c>
      <c r="D54" s="238" t="s">
        <v>251</v>
      </c>
      <c r="E54" s="240">
        <f>SUM(E49:E53)</f>
        <v>0</v>
      </c>
      <c r="F54" s="240">
        <f>SUM(F49:F53)</f>
        <v>0</v>
      </c>
      <c r="G54" s="240">
        <f>SUM(G49:G53)</f>
        <v>0</v>
      </c>
      <c r="H54" s="340"/>
      <c r="I54" s="340"/>
      <c r="J54" s="241">
        <f>SUM(J49:J53)</f>
        <v>0</v>
      </c>
      <c r="L54" s="341">
        <f>SUM(L49:L53)</f>
        <v>0</v>
      </c>
      <c r="M54" s="342">
        <f>SUM(M49:M53)</f>
        <v>0</v>
      </c>
      <c r="N54" s="343">
        <f>SUM(N49:N53)</f>
        <v>0</v>
      </c>
    </row>
    <row r="55" spans="1:14" ht="13.5" thickTop="1" x14ac:dyDescent="0.2">
      <c r="C55" s="97"/>
      <c r="D55" s="100"/>
      <c r="E55" s="104"/>
    </row>
    <row r="56" spans="1:14" ht="14.25" hidden="1" thickTop="1" thickBot="1" x14ac:dyDescent="0.25">
      <c r="B56" s="344" t="s">
        <v>341</v>
      </c>
      <c r="C56" s="346">
        <v>500</v>
      </c>
      <c r="D56" s="347" t="s">
        <v>248</v>
      </c>
      <c r="E56" s="348"/>
      <c r="F56" s="348"/>
      <c r="G56" s="348"/>
      <c r="H56" s="348"/>
      <c r="I56" s="348"/>
      <c r="J56" s="349"/>
      <c r="L56" s="350"/>
      <c r="M56" s="351"/>
      <c r="N56" s="352"/>
    </row>
    <row r="60" spans="1:14" ht="13.5" hidden="1" thickBot="1" x14ac:dyDescent="0.25"/>
    <row r="61" spans="1:14" ht="13.5" hidden="1" thickTop="1" x14ac:dyDescent="0.2">
      <c r="B61" s="190"/>
      <c r="C61" s="353"/>
      <c r="D61" s="353" t="s">
        <v>25</v>
      </c>
      <c r="E61" s="353" t="s">
        <v>235</v>
      </c>
      <c r="F61" s="353" t="s">
        <v>236</v>
      </c>
      <c r="G61" s="353" t="s">
        <v>293</v>
      </c>
      <c r="H61" s="353" t="s">
        <v>294</v>
      </c>
      <c r="I61" s="353" t="s">
        <v>295</v>
      </c>
      <c r="J61" s="353" t="s">
        <v>296</v>
      </c>
      <c r="K61" s="353" t="s">
        <v>342</v>
      </c>
      <c r="L61" s="353" t="s">
        <v>297</v>
      </c>
      <c r="M61" s="293" t="s">
        <v>298</v>
      </c>
    </row>
    <row r="62" spans="1:14" ht="63.75" hidden="1" x14ac:dyDescent="0.2">
      <c r="B62" s="355" t="s">
        <v>343</v>
      </c>
      <c r="C62" s="201" t="s">
        <v>238</v>
      </c>
      <c r="D62" s="201"/>
      <c r="E62" s="201" t="s">
        <v>344</v>
      </c>
      <c r="F62" s="201" t="s">
        <v>345</v>
      </c>
      <c r="G62" s="201" t="s">
        <v>346</v>
      </c>
      <c r="H62" s="201" t="s">
        <v>347</v>
      </c>
      <c r="I62" s="201" t="s">
        <v>348</v>
      </c>
      <c r="J62" s="201" t="s">
        <v>349</v>
      </c>
      <c r="K62" s="201" t="s">
        <v>350</v>
      </c>
      <c r="L62" s="201" t="s">
        <v>351</v>
      </c>
      <c r="M62" s="202" t="s">
        <v>352</v>
      </c>
    </row>
    <row r="63" spans="1:14" ht="13.5" hidden="1" thickBot="1" x14ac:dyDescent="0.25">
      <c r="B63" s="188"/>
      <c r="C63" s="278" t="s">
        <v>242</v>
      </c>
      <c r="D63" s="278"/>
      <c r="E63" s="278" t="s">
        <v>243</v>
      </c>
      <c r="F63" s="278" t="s">
        <v>243</v>
      </c>
      <c r="G63" s="278" t="s">
        <v>243</v>
      </c>
      <c r="H63" s="278" t="s">
        <v>243</v>
      </c>
      <c r="I63" s="278" t="s">
        <v>243</v>
      </c>
      <c r="J63" s="278" t="s">
        <v>243</v>
      </c>
      <c r="K63" s="278" t="s">
        <v>243</v>
      </c>
      <c r="L63" s="278" t="s">
        <v>243</v>
      </c>
      <c r="M63" s="202" t="s">
        <v>243</v>
      </c>
    </row>
    <row r="64" spans="1:14" ht="21.95" hidden="1" customHeight="1" x14ac:dyDescent="0.2">
      <c r="B64" s="189" t="s">
        <v>310</v>
      </c>
      <c r="C64" s="207">
        <v>600</v>
      </c>
      <c r="D64" s="206" t="s">
        <v>251</v>
      </c>
      <c r="E64" s="209">
        <f>SUM(G11:G11)</f>
        <v>0</v>
      </c>
      <c r="F64" s="209">
        <f t="shared" ref="F64:F69" si="4">SUM(G64:M64)</f>
        <v>0</v>
      </c>
      <c r="G64" s="356"/>
      <c r="H64" s="356"/>
      <c r="I64" s="356"/>
      <c r="J64" s="356"/>
      <c r="K64" s="356"/>
      <c r="L64" s="356"/>
      <c r="M64" s="295"/>
    </row>
    <row r="65" spans="2:17" ht="21.95" hidden="1" customHeight="1" x14ac:dyDescent="0.2">
      <c r="B65" s="213" t="s">
        <v>311</v>
      </c>
      <c r="C65" s="218">
        <v>610</v>
      </c>
      <c r="D65" s="217" t="s">
        <v>251</v>
      </c>
      <c r="E65" s="220">
        <f>SUM(G12:G12)</f>
        <v>0</v>
      </c>
      <c r="F65" s="220">
        <f t="shared" si="4"/>
        <v>0</v>
      </c>
      <c r="G65" s="324"/>
      <c r="H65" s="228"/>
      <c r="I65" s="228"/>
      <c r="J65" s="228"/>
      <c r="K65" s="324"/>
      <c r="L65" s="228"/>
      <c r="M65" s="297"/>
    </row>
    <row r="66" spans="2:17" ht="21.95" hidden="1" customHeight="1" x14ac:dyDescent="0.2">
      <c r="B66" s="213" t="s">
        <v>312</v>
      </c>
      <c r="C66" s="218">
        <v>620</v>
      </c>
      <c r="D66" s="217" t="s">
        <v>251</v>
      </c>
      <c r="E66" s="220">
        <f>SUM(G14:G14)</f>
        <v>0</v>
      </c>
      <c r="F66" s="220">
        <f t="shared" si="4"/>
        <v>0</v>
      </c>
      <c r="G66" s="324"/>
      <c r="H66" s="228"/>
      <c r="I66" s="324"/>
      <c r="J66" s="324"/>
      <c r="K66" s="324"/>
      <c r="L66" s="228"/>
      <c r="M66" s="297"/>
    </row>
    <row r="67" spans="2:17" ht="21.95" hidden="1" customHeight="1" thickBot="1" x14ac:dyDescent="0.25">
      <c r="B67" s="213" t="s">
        <v>355</v>
      </c>
      <c r="C67" s="358">
        <v>625</v>
      </c>
      <c r="D67" s="357" t="s">
        <v>251</v>
      </c>
      <c r="E67" s="359">
        <f>SUM(G24:G24)</f>
        <v>0</v>
      </c>
      <c r="F67" s="359">
        <f t="shared" si="4"/>
        <v>0</v>
      </c>
      <c r="G67" s="360"/>
      <c r="H67" s="360"/>
      <c r="I67" s="360"/>
      <c r="J67" s="360"/>
      <c r="K67" s="360"/>
      <c r="L67" s="361"/>
      <c r="M67" s="297"/>
    </row>
    <row r="68" spans="2:17" ht="21.95" hidden="1" customHeight="1" x14ac:dyDescent="0.2">
      <c r="B68" s="189" t="s">
        <v>356</v>
      </c>
      <c r="C68" s="366">
        <v>630</v>
      </c>
      <c r="D68" s="127" t="s">
        <v>251</v>
      </c>
      <c r="E68" s="317"/>
      <c r="F68" s="368">
        <f t="shared" si="4"/>
        <v>0</v>
      </c>
      <c r="G68" s="369"/>
      <c r="H68" s="317"/>
      <c r="I68" s="317"/>
      <c r="J68" s="317"/>
      <c r="K68" s="317"/>
      <c r="L68" s="317"/>
      <c r="M68" s="318"/>
    </row>
    <row r="69" spans="2:17" ht="21.95" hidden="1" customHeight="1" thickBot="1" x14ac:dyDescent="0.25">
      <c r="B69" s="365" t="s">
        <v>357</v>
      </c>
      <c r="C69" s="236">
        <v>635</v>
      </c>
      <c r="D69" s="238" t="s">
        <v>251</v>
      </c>
      <c r="E69" s="367">
        <f>SUM(G13:G13)</f>
        <v>0</v>
      </c>
      <c r="F69" s="367">
        <f t="shared" si="4"/>
        <v>0</v>
      </c>
      <c r="G69" s="370"/>
      <c r="H69" s="371"/>
      <c r="I69" s="340"/>
      <c r="J69" s="340"/>
      <c r="K69" s="340"/>
      <c r="L69" s="371"/>
      <c r="M69" s="372"/>
    </row>
    <row r="70" spans="2:17" ht="14.25" hidden="1" thickTop="1" thickBot="1" x14ac:dyDescent="0.25">
      <c r="C70" s="157"/>
      <c r="D70" s="157"/>
    </row>
    <row r="71" spans="2:17" ht="14.25" hidden="1" thickTop="1" thickBot="1" x14ac:dyDescent="0.25">
      <c r="B71" s="190"/>
      <c r="C71" s="374"/>
      <c r="D71" s="374"/>
      <c r="E71" s="375" t="s">
        <v>358</v>
      </c>
      <c r="F71" s="373"/>
      <c r="G71" s="376" t="s">
        <v>359</v>
      </c>
      <c r="H71" s="378"/>
      <c r="I71" s="378"/>
      <c r="J71" s="378"/>
      <c r="K71" s="378"/>
      <c r="L71" s="378"/>
      <c r="M71" s="378"/>
      <c r="N71" s="378"/>
      <c r="O71" s="378"/>
      <c r="P71" s="376"/>
      <c r="Q71" s="383"/>
    </row>
    <row r="72" spans="2:17" ht="13.5" hidden="1" thickTop="1" x14ac:dyDescent="0.2">
      <c r="B72" s="190"/>
      <c r="C72" s="353"/>
      <c r="D72" s="353" t="s">
        <v>25</v>
      </c>
      <c r="E72" s="353" t="s">
        <v>235</v>
      </c>
      <c r="F72" s="353" t="s">
        <v>236</v>
      </c>
      <c r="G72" s="384" t="s">
        <v>293</v>
      </c>
      <c r="H72" s="353" t="s">
        <v>294</v>
      </c>
      <c r="I72" s="353" t="s">
        <v>295</v>
      </c>
      <c r="J72" s="353" t="s">
        <v>296</v>
      </c>
      <c r="K72" s="353" t="s">
        <v>342</v>
      </c>
      <c r="L72" s="353" t="s">
        <v>297</v>
      </c>
      <c r="M72" s="353" t="s">
        <v>298</v>
      </c>
      <c r="N72" s="353" t="s">
        <v>299</v>
      </c>
      <c r="O72" s="353" t="s">
        <v>360</v>
      </c>
      <c r="P72" s="353" t="s">
        <v>361</v>
      </c>
      <c r="Q72" s="293" t="s">
        <v>362</v>
      </c>
    </row>
    <row r="73" spans="2:17" ht="63.75" hidden="1" x14ac:dyDescent="0.2">
      <c r="B73" s="355" t="s">
        <v>363</v>
      </c>
      <c r="C73" s="201" t="s">
        <v>238</v>
      </c>
      <c r="D73" s="201"/>
      <c r="E73" s="201" t="s">
        <v>344</v>
      </c>
      <c r="F73" s="201" t="s">
        <v>364</v>
      </c>
      <c r="G73" s="385" t="s">
        <v>365</v>
      </c>
      <c r="H73" s="201" t="s">
        <v>366</v>
      </c>
      <c r="I73" s="201" t="s">
        <v>367</v>
      </c>
      <c r="J73" s="201" t="s">
        <v>368</v>
      </c>
      <c r="K73" s="201" t="s">
        <v>369</v>
      </c>
      <c r="L73" s="201" t="s">
        <v>370</v>
      </c>
      <c r="M73" s="201" t="s">
        <v>371</v>
      </c>
      <c r="N73" s="201" t="s">
        <v>372</v>
      </c>
      <c r="O73" s="201" t="s">
        <v>373</v>
      </c>
      <c r="P73" s="201" t="s">
        <v>374</v>
      </c>
      <c r="Q73" s="202" t="s">
        <v>375</v>
      </c>
    </row>
    <row r="74" spans="2:17" hidden="1" x14ac:dyDescent="0.2">
      <c r="B74" s="188"/>
      <c r="C74" s="201" t="s">
        <v>242</v>
      </c>
      <c r="D74" s="201"/>
      <c r="E74" s="201"/>
      <c r="F74" s="201"/>
      <c r="G74" s="385" t="s">
        <v>376</v>
      </c>
      <c r="H74" s="201" t="s">
        <v>376</v>
      </c>
      <c r="I74" s="201" t="s">
        <v>376</v>
      </c>
      <c r="J74" s="201" t="s">
        <v>376</v>
      </c>
      <c r="K74" s="201" t="s">
        <v>376</v>
      </c>
      <c r="L74" s="201" t="s">
        <v>376</v>
      </c>
      <c r="M74" s="201" t="s">
        <v>376</v>
      </c>
      <c r="N74" s="201"/>
      <c r="O74" s="201" t="s">
        <v>376</v>
      </c>
      <c r="P74" s="201" t="s">
        <v>376</v>
      </c>
      <c r="Q74" s="202"/>
    </row>
    <row r="75" spans="2:17" ht="13.5" hidden="1" thickBot="1" x14ac:dyDescent="0.25">
      <c r="B75" s="188"/>
      <c r="C75" s="278"/>
      <c r="D75" s="278"/>
      <c r="E75" s="278"/>
      <c r="F75" s="278"/>
      <c r="G75" s="385" t="s">
        <v>243</v>
      </c>
      <c r="H75" s="278" t="s">
        <v>243</v>
      </c>
      <c r="I75" s="278" t="s">
        <v>243</v>
      </c>
      <c r="J75" s="278" t="s">
        <v>243</v>
      </c>
      <c r="K75" s="278" t="s">
        <v>243</v>
      </c>
      <c r="L75" s="278" t="s">
        <v>243</v>
      </c>
      <c r="M75" s="278" t="s">
        <v>243</v>
      </c>
      <c r="N75" s="278" t="s">
        <v>243</v>
      </c>
      <c r="O75" s="278" t="s">
        <v>243</v>
      </c>
      <c r="P75" s="278" t="s">
        <v>243</v>
      </c>
      <c r="Q75" s="202" t="s">
        <v>243</v>
      </c>
    </row>
    <row r="76" spans="2:17" ht="21.95" hidden="1" customHeight="1" x14ac:dyDescent="0.2">
      <c r="B76" s="314" t="s">
        <v>377</v>
      </c>
      <c r="C76" s="387"/>
      <c r="D76" s="387"/>
      <c r="E76" s="362"/>
      <c r="F76" s="362"/>
      <c r="G76" s="389"/>
      <c r="H76" s="362"/>
      <c r="I76" s="362"/>
      <c r="J76" s="362"/>
      <c r="K76" s="362"/>
      <c r="L76" s="362"/>
      <c r="M76" s="362"/>
      <c r="N76" s="362"/>
      <c r="O76" s="362"/>
      <c r="P76" s="388"/>
      <c r="Q76" s="318"/>
    </row>
    <row r="77" spans="2:17" ht="21.95" hidden="1" customHeight="1" x14ac:dyDescent="0.2">
      <c r="B77" s="213" t="s">
        <v>378</v>
      </c>
      <c r="C77" s="218">
        <v>640</v>
      </c>
      <c r="D77" s="217" t="s">
        <v>251</v>
      </c>
      <c r="E77" s="324"/>
      <c r="F77" s="220">
        <f>SUM(G77:Q77)</f>
        <v>0</v>
      </c>
      <c r="G77" s="392"/>
      <c r="H77" s="228"/>
      <c r="I77" s="228"/>
      <c r="J77" s="228"/>
      <c r="K77" s="220">
        <f>J77*-1</f>
        <v>0</v>
      </c>
      <c r="L77" s="228"/>
      <c r="M77" s="228"/>
      <c r="N77" s="228"/>
      <c r="O77" s="228"/>
      <c r="P77" s="391"/>
      <c r="Q77" s="297"/>
    </row>
    <row r="78" spans="2:17" ht="21.95" hidden="1" customHeight="1" x14ac:dyDescent="0.2">
      <c r="B78" s="213" t="s">
        <v>379</v>
      </c>
      <c r="C78" s="234">
        <v>650</v>
      </c>
      <c r="D78" s="237" t="s">
        <v>251</v>
      </c>
      <c r="E78" s="258"/>
      <c r="F78" s="396"/>
      <c r="G78" s="397"/>
      <c r="H78" s="258"/>
      <c r="I78" s="258"/>
      <c r="J78" s="258"/>
      <c r="K78" s="258"/>
      <c r="L78" s="258"/>
      <c r="M78" s="258"/>
      <c r="N78" s="258"/>
      <c r="O78" s="400"/>
      <c r="P78" s="257"/>
      <c r="Q78" s="331"/>
    </row>
    <row r="79" spans="2:17" ht="21.95" hidden="1" customHeight="1" thickBot="1" x14ac:dyDescent="0.25">
      <c r="B79" s="233" t="s">
        <v>340</v>
      </c>
      <c r="C79" s="236">
        <v>660</v>
      </c>
      <c r="D79" s="235" t="s">
        <v>251</v>
      </c>
      <c r="E79" s="240">
        <f>G50*-1</f>
        <v>0</v>
      </c>
      <c r="F79" s="240">
        <f>SUM(F77:F78)</f>
        <v>0</v>
      </c>
      <c r="G79" s="398"/>
      <c r="H79" s="399"/>
      <c r="I79" s="399"/>
      <c r="J79" s="399"/>
      <c r="K79" s="399"/>
      <c r="L79" s="399"/>
      <c r="M79" s="399"/>
      <c r="N79" s="399"/>
      <c r="O79" s="399"/>
      <c r="P79" s="401"/>
      <c r="Q79" s="402"/>
    </row>
    <row r="80" spans="2:17" ht="13.5" hidden="1" thickTop="1" x14ac:dyDescent="0.2">
      <c r="C80" s="172"/>
      <c r="D80" s="157"/>
      <c r="P80" s="100"/>
    </row>
    <row r="81" spans="1:95" hidden="1" x14ac:dyDescent="0.2">
      <c r="A81" s="99"/>
      <c r="B81" s="99" t="s">
        <v>380</v>
      </c>
      <c r="C81" s="102">
        <v>670</v>
      </c>
      <c r="D81" s="99" t="s">
        <v>251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5"/>
      <c r="P81" s="100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</row>
  </sheetData>
  <sheetProtection password="8EBD" sheet="1" objects="1" scenarios="1"/>
  <dataValidations count="3">
    <dataValidation type="decimal" allowBlank="1" showErrorMessage="1" errorTitle="Number Only" error="Error : This cell can only accept a numeric value with a max of 12 digits." sqref="O81 E79:F79 K77 F77 E69 F68:F69 E64:F67 L56:N56 F56:J56 E55:E56 L52:N54 E52:G54 J52:J54 M49:M50 F49:F50 A49:A51 A44:A45 M39:M47 J39:J50 F39:F47 A33:A34 M28:M37 J28:J37 F28:F37 N27:N50 L27:L50 L11:N26 J18:J26 F18:F26 G17:G50 E17:E50 E11:G16 J11:J16">
      <formula1>-1000000000000</formula1>
      <formula2>1000000000000</formula2>
    </dataValidation>
    <dataValidation type="whole" allowBlank="1" showErrorMessage="1" errorTitle="Number Only" error="Error : This cell can only accept a numeric value with a max of 12 digits." sqref="G69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F78 L77:Q77 G77:J77 L69 H69 G68 L65:M67 H66 H65:J65 G64:M64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9" fitToHeight="2" orientation="landscape" horizontalDpi="90" verticalDpi="90" r:id="rId1"/>
  <rowBreaks count="1" manualBreakCount="1">
    <brk id="57" max="16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K68"/>
  <sheetViews>
    <sheetView zoomScale="70" zoomScaleNormal="70" workbookViewId="0"/>
  </sheetViews>
  <sheetFormatPr defaultRowHeight="12.75" x14ac:dyDescent="0.2"/>
  <sheetData>
    <row r="1" spans="1:11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11" x14ac:dyDescent="0.2">
      <c r="A2" t="s">
        <v>3727</v>
      </c>
    </row>
    <row r="3" spans="1:11" x14ac:dyDescent="0.2">
      <c r="A3" t="s">
        <v>3785</v>
      </c>
    </row>
    <row r="4" spans="1:11" x14ac:dyDescent="0.2">
      <c r="B4" t="s">
        <v>3241</v>
      </c>
    </row>
    <row r="7" spans="1:11" x14ac:dyDescent="0.2">
      <c r="B7" t="s">
        <v>2087</v>
      </c>
      <c r="D7" t="s">
        <v>2873</v>
      </c>
      <c r="F7" t="s">
        <v>2089</v>
      </c>
      <c r="I7" t="s">
        <v>241</v>
      </c>
      <c r="K7" t="s">
        <v>3242</v>
      </c>
    </row>
    <row r="8" spans="1:11" x14ac:dyDescent="0.2">
      <c r="C8" t="s">
        <v>3243</v>
      </c>
      <c r="D8" t="s">
        <v>2091</v>
      </c>
      <c r="E8" t="s">
        <v>2021</v>
      </c>
      <c r="F8" t="s">
        <v>2092</v>
      </c>
      <c r="G8" t="s">
        <v>2023</v>
      </c>
      <c r="H8" t="s">
        <v>2021</v>
      </c>
      <c r="I8" t="s">
        <v>1048</v>
      </c>
      <c r="J8" t="s">
        <v>2023</v>
      </c>
    </row>
    <row r="9" spans="1:11" x14ac:dyDescent="0.2">
      <c r="C9" t="s">
        <v>242</v>
      </c>
      <c r="D9" t="s">
        <v>2036</v>
      </c>
      <c r="E9" t="s">
        <v>2037</v>
      </c>
      <c r="F9" t="s">
        <v>2038</v>
      </c>
      <c r="G9" t="s">
        <v>2039</v>
      </c>
      <c r="H9" t="s">
        <v>2040</v>
      </c>
      <c r="I9" t="s">
        <v>2041</v>
      </c>
      <c r="J9" t="s">
        <v>2042</v>
      </c>
    </row>
    <row r="10" spans="1:11" x14ac:dyDescent="0.2">
      <c r="D10" t="s">
        <v>243</v>
      </c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</row>
    <row r="11" spans="1:11" x14ac:dyDescent="0.2">
      <c r="B11" t="s">
        <v>74</v>
      </c>
    </row>
    <row r="12" spans="1:11" x14ac:dyDescent="0.2">
      <c r="B12" t="s">
        <v>3244</v>
      </c>
      <c r="C12">
        <v>100</v>
      </c>
      <c r="G12">
        <f>F12-E12</f>
        <v>0</v>
      </c>
      <c r="J12">
        <f>I12-H12</f>
        <v>0</v>
      </c>
      <c r="K12" t="s">
        <v>2094</v>
      </c>
    </row>
    <row r="13" spans="1:11" x14ac:dyDescent="0.2">
      <c r="B13" t="s">
        <v>2095</v>
      </c>
      <c r="C13">
        <v>150</v>
      </c>
      <c r="G13">
        <f>F13-E13</f>
        <v>0</v>
      </c>
      <c r="J13">
        <f>I13-H13</f>
        <v>0</v>
      </c>
      <c r="K13" t="s">
        <v>2096</v>
      </c>
    </row>
    <row r="14" spans="1:11" x14ac:dyDescent="0.2">
      <c r="B14" t="s">
        <v>3245</v>
      </c>
      <c r="C14">
        <v>160</v>
      </c>
      <c r="D14">
        <f>IF(D12=0,0,D13/D12*100)</f>
        <v>0</v>
      </c>
      <c r="E14">
        <f>IF(E12=0,0,E13/E12*100)</f>
        <v>0</v>
      </c>
      <c r="F14">
        <f>IF(F12=0,0,F13/F12*100)</f>
        <v>0</v>
      </c>
      <c r="G14">
        <f>F14-E14</f>
        <v>0</v>
      </c>
      <c r="H14">
        <f>IF(H12=0,0,H13/H12*100)</f>
        <v>0</v>
      </c>
      <c r="I14">
        <f>IF(I12=0,0,I13/I12*100)</f>
        <v>0</v>
      </c>
      <c r="J14">
        <f>I14-H14</f>
        <v>0</v>
      </c>
    </row>
    <row r="16" spans="1:11" x14ac:dyDescent="0.2">
      <c r="B16" t="s">
        <v>2098</v>
      </c>
    </row>
    <row r="17" spans="2:11" x14ac:dyDescent="0.2">
      <c r="B17" t="s">
        <v>2099</v>
      </c>
      <c r="C17">
        <v>170</v>
      </c>
      <c r="D17">
        <f t="shared" ref="D17:J17" si="0">D13</f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 t="s">
        <v>2096</v>
      </c>
    </row>
    <row r="18" spans="2:11" x14ac:dyDescent="0.2">
      <c r="B18" t="s">
        <v>2100</v>
      </c>
      <c r="C18">
        <v>180</v>
      </c>
      <c r="G18">
        <f>F18-E18</f>
        <v>0</v>
      </c>
      <c r="J18">
        <f>I18-H18</f>
        <v>0</v>
      </c>
      <c r="K18" t="s">
        <v>2101</v>
      </c>
    </row>
    <row r="19" spans="2:11" x14ac:dyDescent="0.2">
      <c r="B19" t="s">
        <v>2102</v>
      </c>
      <c r="C19">
        <v>190</v>
      </c>
      <c r="G19">
        <f>F19-E19</f>
        <v>0</v>
      </c>
      <c r="J19">
        <f>I19-H19</f>
        <v>0</v>
      </c>
      <c r="K19" t="s">
        <v>2103</v>
      </c>
    </row>
    <row r="20" spans="2:11" x14ac:dyDescent="0.2">
      <c r="B20" t="s">
        <v>3246</v>
      </c>
      <c r="C20">
        <v>200</v>
      </c>
      <c r="D20">
        <f>IF(D12=0,0,D19/D12*100)</f>
        <v>0</v>
      </c>
      <c r="E20">
        <f>IF(E12=0,0,E19/E12*100)</f>
        <v>0</v>
      </c>
      <c r="F20">
        <f>IF(F12=0,0,F19/F12*100)</f>
        <v>0</v>
      </c>
      <c r="G20">
        <f>F20-E20</f>
        <v>0</v>
      </c>
      <c r="H20">
        <f>IF(H12=0,0,H19/H12*100)</f>
        <v>0</v>
      </c>
      <c r="I20">
        <f>IF(I12=0,0,I19/I12*100)</f>
        <v>0</v>
      </c>
      <c r="J20">
        <f>I20-H20</f>
        <v>0</v>
      </c>
    </row>
    <row r="22" spans="2:11" x14ac:dyDescent="0.2">
      <c r="B22" t="s">
        <v>3247</v>
      </c>
    </row>
    <row r="23" spans="2:11" x14ac:dyDescent="0.2">
      <c r="B23" t="s">
        <v>2106</v>
      </c>
      <c r="C23">
        <v>210</v>
      </c>
      <c r="G23">
        <f>F23-E23</f>
        <v>0</v>
      </c>
      <c r="J23">
        <f>I23-H23</f>
        <v>0</v>
      </c>
      <c r="K23" t="s">
        <v>2107</v>
      </c>
    </row>
    <row r="24" spans="2:11" x14ac:dyDescent="0.2">
      <c r="B24" t="s">
        <v>3248</v>
      </c>
      <c r="C24">
        <v>220</v>
      </c>
      <c r="D24">
        <f>IF(D12=0,0,D23/D12*100)</f>
        <v>0</v>
      </c>
      <c r="E24">
        <f>IF(E12=0,0,E23/E12*100)</f>
        <v>0</v>
      </c>
      <c r="F24">
        <f>IF(F12=0,0,F23/F12*100)</f>
        <v>0</v>
      </c>
      <c r="G24">
        <f>F24-E24</f>
        <v>0</v>
      </c>
      <c r="H24">
        <f>IF(H12=0,0,H23/H12*100)</f>
        <v>0</v>
      </c>
      <c r="I24">
        <f>IF(I12=0,0,I23/I12*100)</f>
        <v>0</v>
      </c>
      <c r="J24">
        <f>I24-H24</f>
        <v>0</v>
      </c>
    </row>
    <row r="26" spans="2:11" x14ac:dyDescent="0.2">
      <c r="B26" t="s">
        <v>2109</v>
      </c>
    </row>
    <row r="27" spans="2:11" x14ac:dyDescent="0.2">
      <c r="B27" t="s">
        <v>2110</v>
      </c>
      <c r="C27">
        <v>230</v>
      </c>
      <c r="K27" t="s">
        <v>2111</v>
      </c>
    </row>
    <row r="28" spans="2:11" x14ac:dyDescent="0.2">
      <c r="B28" t="s">
        <v>2112</v>
      </c>
      <c r="C28">
        <v>240</v>
      </c>
      <c r="K28" t="s">
        <v>2113</v>
      </c>
    </row>
    <row r="29" spans="2:11" x14ac:dyDescent="0.2">
      <c r="B29" t="s">
        <v>2067</v>
      </c>
      <c r="C29">
        <v>250</v>
      </c>
      <c r="K29" t="s">
        <v>2114</v>
      </c>
    </row>
    <row r="30" spans="2:11" x14ac:dyDescent="0.2">
      <c r="B30" t="s">
        <v>2115</v>
      </c>
      <c r="C30">
        <v>260</v>
      </c>
      <c r="K30" t="s">
        <v>2116</v>
      </c>
    </row>
    <row r="31" spans="2:11" x14ac:dyDescent="0.2">
      <c r="B31" t="s">
        <v>2117</v>
      </c>
      <c r="C31">
        <v>270</v>
      </c>
      <c r="K31" t="s">
        <v>2118</v>
      </c>
    </row>
    <row r="33" spans="2:11" x14ac:dyDescent="0.2">
      <c r="B33" t="s">
        <v>2119</v>
      </c>
    </row>
    <row r="34" spans="2:11" x14ac:dyDescent="0.2">
      <c r="B34" t="s">
        <v>2120</v>
      </c>
      <c r="C34">
        <v>280</v>
      </c>
      <c r="G34">
        <f>F34-E34</f>
        <v>0</v>
      </c>
      <c r="J34">
        <f>I34-H34</f>
        <v>0</v>
      </c>
      <c r="K34" t="s">
        <v>3249</v>
      </c>
    </row>
    <row r="35" spans="2:11" x14ac:dyDescent="0.2">
      <c r="B35" t="s">
        <v>2121</v>
      </c>
      <c r="C35">
        <v>290</v>
      </c>
      <c r="G35">
        <f>F35-E35</f>
        <v>0</v>
      </c>
      <c r="J35">
        <f>I35-H35</f>
        <v>0</v>
      </c>
      <c r="K35" t="s">
        <v>3250</v>
      </c>
    </row>
    <row r="36" spans="2:11" x14ac:dyDescent="0.2">
      <c r="B36" t="s">
        <v>2122</v>
      </c>
      <c r="C36">
        <v>300</v>
      </c>
      <c r="G36">
        <f>F36-E36</f>
        <v>0</v>
      </c>
      <c r="J36">
        <f>I36-H36</f>
        <v>0</v>
      </c>
      <c r="K36" t="s">
        <v>3251</v>
      </c>
    </row>
    <row r="37" spans="2:11" x14ac:dyDescent="0.2">
      <c r="B37" t="s">
        <v>2123</v>
      </c>
      <c r="C37">
        <v>310</v>
      </c>
      <c r="G37">
        <f>F37-E37</f>
        <v>0</v>
      </c>
      <c r="J37">
        <f>I37-H37</f>
        <v>0</v>
      </c>
      <c r="K37" t="s">
        <v>3252</v>
      </c>
    </row>
    <row r="38" spans="2:11" x14ac:dyDescent="0.2">
      <c r="B38" t="s">
        <v>2125</v>
      </c>
      <c r="C38">
        <v>320</v>
      </c>
      <c r="G38">
        <f>F38-E38</f>
        <v>0</v>
      </c>
      <c r="J38">
        <f>I38-H38</f>
        <v>0</v>
      </c>
      <c r="K38" t="s">
        <v>3253</v>
      </c>
    </row>
    <row r="39" spans="2:11" x14ac:dyDescent="0.2">
      <c r="B39" t="s">
        <v>2127</v>
      </c>
      <c r="C39">
        <v>330</v>
      </c>
      <c r="E39">
        <f t="shared" ref="E39:J39" si="1">E38-E37</f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 t="s">
        <v>3254</v>
      </c>
    </row>
    <row r="41" spans="2:11" x14ac:dyDescent="0.2">
      <c r="B41" t="s">
        <v>2129</v>
      </c>
    </row>
    <row r="42" spans="2:11" x14ac:dyDescent="0.2">
      <c r="B42" t="s">
        <v>2130</v>
      </c>
      <c r="C42">
        <v>340</v>
      </c>
      <c r="G42">
        <f>F42-E42</f>
        <v>0</v>
      </c>
      <c r="J42">
        <f t="shared" ref="J42:J47" si="2">I42-H42</f>
        <v>0</v>
      </c>
      <c r="K42" t="s">
        <v>2131</v>
      </c>
    </row>
    <row r="43" spans="2:11" x14ac:dyDescent="0.2">
      <c r="B43" t="s">
        <v>3255</v>
      </c>
      <c r="C43">
        <v>350</v>
      </c>
      <c r="G43">
        <f>F43-E43</f>
        <v>0</v>
      </c>
      <c r="J43">
        <f t="shared" si="2"/>
        <v>0</v>
      </c>
      <c r="K43" t="s">
        <v>3256</v>
      </c>
    </row>
    <row r="44" spans="2:11" x14ac:dyDescent="0.2">
      <c r="B44" t="s">
        <v>3257</v>
      </c>
      <c r="C44">
        <v>360</v>
      </c>
      <c r="G44">
        <f>F44-E44</f>
        <v>0</v>
      </c>
      <c r="J44">
        <f t="shared" si="2"/>
        <v>0</v>
      </c>
      <c r="K44" t="s">
        <v>2013</v>
      </c>
    </row>
    <row r="45" spans="2:11" x14ac:dyDescent="0.2">
      <c r="B45" t="s">
        <v>3258</v>
      </c>
      <c r="C45">
        <v>370</v>
      </c>
      <c r="J45">
        <f t="shared" si="2"/>
        <v>0</v>
      </c>
      <c r="K45" t="s">
        <v>2014</v>
      </c>
    </row>
    <row r="46" spans="2:11" x14ac:dyDescent="0.2">
      <c r="B46" t="s">
        <v>3259</v>
      </c>
      <c r="C46">
        <v>380</v>
      </c>
      <c r="G46">
        <f>F46-E46</f>
        <v>0</v>
      </c>
      <c r="J46">
        <f t="shared" si="2"/>
        <v>0</v>
      </c>
      <c r="K46" t="s">
        <v>2138</v>
      </c>
    </row>
    <row r="47" spans="2:11" x14ac:dyDescent="0.2">
      <c r="B47" t="s">
        <v>3260</v>
      </c>
      <c r="C47">
        <v>381</v>
      </c>
      <c r="G47">
        <f>F47-E47</f>
        <v>0</v>
      </c>
      <c r="J47">
        <f t="shared" si="2"/>
        <v>0</v>
      </c>
      <c r="K47" t="s">
        <v>2139</v>
      </c>
    </row>
    <row r="48" spans="2:11" x14ac:dyDescent="0.2">
      <c r="B48" t="s">
        <v>3261</v>
      </c>
      <c r="C48">
        <v>384</v>
      </c>
      <c r="K48" t="s">
        <v>2141</v>
      </c>
    </row>
    <row r="49" spans="2:11" x14ac:dyDescent="0.2">
      <c r="B49" t="s">
        <v>3262</v>
      </c>
      <c r="C49">
        <v>385</v>
      </c>
      <c r="K49" t="s">
        <v>2143</v>
      </c>
    </row>
    <row r="50" spans="2:11" x14ac:dyDescent="0.2">
      <c r="B50" t="s">
        <v>3263</v>
      </c>
      <c r="C50">
        <v>386</v>
      </c>
      <c r="K50" t="s">
        <v>2145</v>
      </c>
    </row>
    <row r="51" spans="2:11" x14ac:dyDescent="0.2">
      <c r="B51" t="s">
        <v>3264</v>
      </c>
      <c r="C51">
        <v>387</v>
      </c>
      <c r="K51" t="s">
        <v>2147</v>
      </c>
    </row>
    <row r="52" spans="2:11" x14ac:dyDescent="0.2">
      <c r="B52" t="s">
        <v>3265</v>
      </c>
      <c r="C52">
        <v>388</v>
      </c>
      <c r="K52" t="s">
        <v>2149</v>
      </c>
    </row>
    <row r="53" spans="2:11" x14ac:dyDescent="0.2">
      <c r="B53" t="s">
        <v>3266</v>
      </c>
      <c r="C53">
        <v>389</v>
      </c>
      <c r="K53" t="s">
        <v>2149</v>
      </c>
    </row>
    <row r="55" spans="2:11" x14ac:dyDescent="0.2">
      <c r="B55" t="s">
        <v>2151</v>
      </c>
    </row>
    <row r="56" spans="2:11" x14ac:dyDescent="0.2">
      <c r="B56" t="s">
        <v>3267</v>
      </c>
      <c r="C56">
        <v>390</v>
      </c>
      <c r="G56">
        <f>F56-E56</f>
        <v>0</v>
      </c>
      <c r="J56">
        <f t="shared" ref="J56:J61" si="3">I56-H56</f>
        <v>0</v>
      </c>
      <c r="K56" t="s">
        <v>3268</v>
      </c>
    </row>
    <row r="57" spans="2:11" x14ac:dyDescent="0.2">
      <c r="B57" t="s">
        <v>3269</v>
      </c>
      <c r="C57">
        <v>400</v>
      </c>
      <c r="G57">
        <f>F57-E57</f>
        <v>0</v>
      </c>
      <c r="J57">
        <f t="shared" si="3"/>
        <v>0</v>
      </c>
      <c r="K57" t="s">
        <v>3270</v>
      </c>
    </row>
    <row r="58" spans="2:11" x14ac:dyDescent="0.2">
      <c r="B58" t="s">
        <v>2158</v>
      </c>
      <c r="C58">
        <v>410</v>
      </c>
      <c r="G58">
        <f>F58-E58</f>
        <v>0</v>
      </c>
      <c r="J58">
        <f t="shared" si="3"/>
        <v>0</v>
      </c>
      <c r="K58" t="s">
        <v>3271</v>
      </c>
    </row>
    <row r="59" spans="2:11" x14ac:dyDescent="0.2">
      <c r="B59" t="s">
        <v>2162</v>
      </c>
      <c r="C59">
        <v>420</v>
      </c>
      <c r="G59">
        <f>F59-E59</f>
        <v>0</v>
      </c>
      <c r="J59">
        <f t="shared" si="3"/>
        <v>0</v>
      </c>
      <c r="K59" t="s">
        <v>3272</v>
      </c>
    </row>
    <row r="60" spans="2:11" x14ac:dyDescent="0.2">
      <c r="B60" t="s">
        <v>2164</v>
      </c>
      <c r="C60">
        <v>430</v>
      </c>
      <c r="G60">
        <f>F60-E60</f>
        <v>0</v>
      </c>
      <c r="J60">
        <f t="shared" si="3"/>
        <v>0</v>
      </c>
      <c r="K60" t="s">
        <v>3273</v>
      </c>
    </row>
    <row r="61" spans="2:11" x14ac:dyDescent="0.2">
      <c r="B61" t="s">
        <v>3274</v>
      </c>
      <c r="C61">
        <v>440</v>
      </c>
      <c r="J61">
        <f t="shared" si="3"/>
        <v>0</v>
      </c>
      <c r="K61" t="s">
        <v>3275</v>
      </c>
    </row>
    <row r="63" spans="2:11" x14ac:dyDescent="0.2">
      <c r="B63" t="s">
        <v>2170</v>
      </c>
    </row>
    <row r="64" spans="2:11" x14ac:dyDescent="0.2">
      <c r="B64" t="s">
        <v>2171</v>
      </c>
      <c r="C64">
        <v>460</v>
      </c>
      <c r="K64" t="s">
        <v>2172</v>
      </c>
    </row>
    <row r="65" spans="2:11" x14ac:dyDescent="0.2">
      <c r="B65" t="s">
        <v>2173</v>
      </c>
      <c r="C65">
        <v>470</v>
      </c>
      <c r="J65">
        <f>I65-H65</f>
        <v>0</v>
      </c>
      <c r="K65" t="s">
        <v>2174</v>
      </c>
    </row>
    <row r="66" spans="2:11" x14ac:dyDescent="0.2">
      <c r="B66" t="s">
        <v>2175</v>
      </c>
      <c r="C66">
        <v>480</v>
      </c>
      <c r="J66">
        <f>I66-H66</f>
        <v>0</v>
      </c>
      <c r="K66" t="s">
        <v>2176</v>
      </c>
    </row>
    <row r="67" spans="2:11" x14ac:dyDescent="0.2">
      <c r="B67" t="s">
        <v>2166</v>
      </c>
      <c r="C67">
        <v>490</v>
      </c>
      <c r="J67">
        <f>I67-H67</f>
        <v>0</v>
      </c>
      <c r="K67" t="s">
        <v>2177</v>
      </c>
    </row>
    <row r="68" spans="2:11" x14ac:dyDescent="0.2">
      <c r="B68" t="s">
        <v>2178</v>
      </c>
      <c r="C68">
        <v>500</v>
      </c>
      <c r="J68">
        <f>I68-H68</f>
        <v>0</v>
      </c>
      <c r="K68" t="s">
        <v>2179</v>
      </c>
    </row>
  </sheetData>
  <sheetProtection sheet="1" objects="1" scenarios="1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CI86"/>
  <sheetViews>
    <sheetView zoomScale="70" zoomScaleNormal="70" workbookViewId="0"/>
  </sheetViews>
  <sheetFormatPr defaultRowHeight="12.75" x14ac:dyDescent="0.2"/>
  <sheetData>
    <row r="1" spans="1:87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87" x14ac:dyDescent="0.2">
      <c r="A2" t="s">
        <v>3727</v>
      </c>
    </row>
    <row r="3" spans="1:87" x14ac:dyDescent="0.2">
      <c r="A3" t="s">
        <v>3786</v>
      </c>
    </row>
    <row r="5" spans="1:87" x14ac:dyDescent="0.2">
      <c r="B5" t="s">
        <v>3276</v>
      </c>
      <c r="CA5" t="s">
        <v>230</v>
      </c>
      <c r="CB5">
        <f>0</f>
        <v>0</v>
      </c>
    </row>
    <row r="6" spans="1:87" x14ac:dyDescent="0.2">
      <c r="CA6" t="s">
        <v>231</v>
      </c>
      <c r="CB6" t="s">
        <v>232</v>
      </c>
      <c r="CC6" t="s">
        <v>3277</v>
      </c>
      <c r="CD6" t="s">
        <v>2005</v>
      </c>
    </row>
    <row r="7" spans="1:87" x14ac:dyDescent="0.2">
      <c r="B7" t="s">
        <v>74</v>
      </c>
      <c r="C7" t="s">
        <v>238</v>
      </c>
      <c r="D7" t="s">
        <v>25</v>
      </c>
      <c r="E7" t="s">
        <v>3278</v>
      </c>
      <c r="F7" t="s">
        <v>3279</v>
      </c>
      <c r="G7" t="s">
        <v>3280</v>
      </c>
      <c r="H7" t="s">
        <v>2025</v>
      </c>
      <c r="I7" t="s">
        <v>2026</v>
      </c>
      <c r="J7" t="s">
        <v>2027</v>
      </c>
      <c r="K7" t="s">
        <v>2028</v>
      </c>
      <c r="L7" t="s">
        <v>2029</v>
      </c>
      <c r="M7" t="s">
        <v>2030</v>
      </c>
      <c r="N7" t="s">
        <v>2031</v>
      </c>
      <c r="O7" t="s">
        <v>2032</v>
      </c>
      <c r="P7" t="s">
        <v>2033</v>
      </c>
      <c r="Q7" t="s">
        <v>2034</v>
      </c>
      <c r="R7" t="s">
        <v>2035</v>
      </c>
      <c r="S7" t="s">
        <v>3281</v>
      </c>
      <c r="CA7">
        <f>SUM(CA8:CA86)</f>
        <v>0</v>
      </c>
      <c r="CB7">
        <f>SUM(CB8:CB86)</f>
        <v>0</v>
      </c>
    </row>
    <row r="8" spans="1:87" x14ac:dyDescent="0.2">
      <c r="C8" t="s">
        <v>242</v>
      </c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L8" t="s">
        <v>2043</v>
      </c>
      <c r="M8" t="s">
        <v>2044</v>
      </c>
      <c r="N8" t="s">
        <v>2045</v>
      </c>
      <c r="O8" t="s">
        <v>2046</v>
      </c>
      <c r="P8" t="s">
        <v>2047</v>
      </c>
      <c r="Q8" t="s">
        <v>2048</v>
      </c>
      <c r="R8" t="s">
        <v>2049</v>
      </c>
      <c r="S8" t="s">
        <v>2050</v>
      </c>
      <c r="CE8" t="s">
        <v>3282</v>
      </c>
    </row>
    <row r="9" spans="1:87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N9" t="s">
        <v>243</v>
      </c>
      <c r="O9" t="s">
        <v>243</v>
      </c>
      <c r="P9" t="s">
        <v>243</v>
      </c>
      <c r="Q9" t="s">
        <v>243</v>
      </c>
      <c r="R9" t="s">
        <v>243</v>
      </c>
      <c r="S9" t="s">
        <v>243</v>
      </c>
      <c r="CE9">
        <f>SUM(G12:I13)+SUM(G70:I70)</f>
        <v>0</v>
      </c>
      <c r="CF9">
        <f>SUM(J12:L13)+SUM(J70:L70)</f>
        <v>0</v>
      </c>
      <c r="CG9">
        <f>SUM(M12:O13)+SUM(M70:O70)</f>
        <v>0</v>
      </c>
      <c r="CH9">
        <f>SUM(P12:R13)+SUM(P70:R70)</f>
        <v>0</v>
      </c>
      <c r="CI9">
        <f>SUM(S12:S13)+SUM(S70:S70)</f>
        <v>0</v>
      </c>
    </row>
    <row r="10" spans="1:87" x14ac:dyDescent="0.2">
      <c r="B10" t="s">
        <v>244</v>
      </c>
      <c r="C10">
        <v>100</v>
      </c>
      <c r="D10" t="s">
        <v>245</v>
      </c>
      <c r="F10">
        <f t="shared" ref="F10:F17" si="0">SUM(G10:R10)</f>
        <v>0</v>
      </c>
      <c r="BA10">
        <f t="shared" ref="BA10:BA17" ca="1" si="1">IF(OR($BA$1="13",$BA$1="16"),SUM(OFFSET(F10,0,1,1,12)),SUM(OFFSET(F10,0,1,1,$BA$1)))</f>
        <v>0</v>
      </c>
      <c r="BB10">
        <f t="shared" ref="BB10:BB17" ca="1" si="2">IF(OR($BA$1="13",$BA$1="16"),(OFFSET(F10,0,12,1,1)),(OFFSET(F10,0,$BA$1,1,1)))</f>
        <v>0</v>
      </c>
      <c r="CE10">
        <f>SUM(G10:I11)</f>
        <v>0</v>
      </c>
      <c r="CF10">
        <f>SUM(J10:L11)</f>
        <v>0</v>
      </c>
      <c r="CG10">
        <f>SUM(M10:O11)</f>
        <v>0</v>
      </c>
      <c r="CH10">
        <f>SUM(P10:R11)</f>
        <v>0</v>
      </c>
      <c r="CI10">
        <f>SUM(S10:S11)</f>
        <v>0</v>
      </c>
    </row>
    <row r="11" spans="1:87" x14ac:dyDescent="0.2">
      <c r="B11" t="s">
        <v>246</v>
      </c>
      <c r="C11">
        <v>110</v>
      </c>
      <c r="D11" t="s">
        <v>245</v>
      </c>
      <c r="F11">
        <f t="shared" si="0"/>
        <v>0</v>
      </c>
      <c r="BA11">
        <f t="shared" ca="1" si="1"/>
        <v>0</v>
      </c>
      <c r="BB11">
        <f t="shared" ca="1" si="2"/>
        <v>0</v>
      </c>
      <c r="CE11" t="s">
        <v>3283</v>
      </c>
    </row>
    <row r="12" spans="1:87" x14ac:dyDescent="0.2">
      <c r="B12" t="s">
        <v>247</v>
      </c>
      <c r="C12">
        <v>120</v>
      </c>
      <c r="D12" t="s">
        <v>248</v>
      </c>
      <c r="F12">
        <f t="shared" si="0"/>
        <v>0</v>
      </c>
      <c r="BA12">
        <f t="shared" ca="1" si="1"/>
        <v>0</v>
      </c>
      <c r="BB12">
        <f t="shared" ca="1" si="2"/>
        <v>0</v>
      </c>
      <c r="CE12">
        <f>SUM(G12:I13)+SUM(G70:I70)</f>
        <v>0</v>
      </c>
      <c r="CF12">
        <f>SUM(G12:L13)+SUM(G70:L70)</f>
        <v>0</v>
      </c>
      <c r="CG12">
        <f>SUM(G12:O13)+SUM(G70:O70)</f>
        <v>0</v>
      </c>
    </row>
    <row r="13" spans="1:87" x14ac:dyDescent="0.2">
      <c r="B13" t="s">
        <v>249</v>
      </c>
      <c r="C13">
        <v>130</v>
      </c>
      <c r="D13" t="s">
        <v>248</v>
      </c>
      <c r="F13">
        <f t="shared" si="0"/>
        <v>0</v>
      </c>
      <c r="BA13">
        <f t="shared" ca="1" si="1"/>
        <v>0</v>
      </c>
      <c r="BB13">
        <f t="shared" ca="1" si="2"/>
        <v>0</v>
      </c>
    </row>
    <row r="14" spans="1:87" x14ac:dyDescent="0.2">
      <c r="B14" t="s">
        <v>250</v>
      </c>
      <c r="C14">
        <v>140</v>
      </c>
      <c r="D14" t="s">
        <v>251</v>
      </c>
      <c r="E14">
        <f>SUM(E10:E13)</f>
        <v>0</v>
      </c>
      <c r="F14">
        <f t="shared" si="0"/>
        <v>0</v>
      </c>
      <c r="G14">
        <f t="shared" ref="G14:S14" si="3">SUM(G10:G13)</f>
        <v>0</v>
      </c>
      <c r="H14">
        <f t="shared" si="3"/>
        <v>0</v>
      </c>
      <c r="I14">
        <f t="shared" si="3"/>
        <v>0</v>
      </c>
      <c r="J14">
        <f t="shared" si="3"/>
        <v>0</v>
      </c>
      <c r="K14">
        <f t="shared" si="3"/>
        <v>0</v>
      </c>
      <c r="L14">
        <f t="shared" si="3"/>
        <v>0</v>
      </c>
      <c r="M14">
        <f t="shared" si="3"/>
        <v>0</v>
      </c>
      <c r="N14">
        <f t="shared" si="3"/>
        <v>0</v>
      </c>
      <c r="O14">
        <f t="shared" si="3"/>
        <v>0</v>
      </c>
      <c r="P14">
        <f t="shared" si="3"/>
        <v>0</v>
      </c>
      <c r="Q14">
        <f t="shared" si="3"/>
        <v>0</v>
      </c>
      <c r="R14">
        <f t="shared" si="3"/>
        <v>0</v>
      </c>
      <c r="S14">
        <f t="shared" si="3"/>
        <v>0</v>
      </c>
      <c r="BA14">
        <f t="shared" ca="1" si="1"/>
        <v>0</v>
      </c>
      <c r="BB14">
        <f t="shared" ca="1" si="2"/>
        <v>0</v>
      </c>
    </row>
    <row r="15" spans="1:87" x14ac:dyDescent="0.2">
      <c r="B15" t="s">
        <v>111</v>
      </c>
      <c r="C15">
        <v>150</v>
      </c>
      <c r="D15" t="s">
        <v>248</v>
      </c>
      <c r="F15">
        <f t="shared" si="0"/>
        <v>0</v>
      </c>
      <c r="BA15">
        <f t="shared" ca="1" si="1"/>
        <v>0</v>
      </c>
      <c r="BB15">
        <f t="shared" ca="1" si="2"/>
        <v>0</v>
      </c>
      <c r="CB15">
        <f>IF(OR(E15&lt;0,G15&lt;0,H15&lt;0,I15&lt;0,J15&lt;0,K15&lt;0,L15&lt;0,M15&lt;0,N15&lt;0,O15&lt;0,P15&lt;0,Q15&lt;0,R15&lt;0,S15&lt;0),1,0)</f>
        <v>0</v>
      </c>
    </row>
    <row r="16" spans="1:87" x14ac:dyDescent="0.2">
      <c r="B16" t="s">
        <v>112</v>
      </c>
      <c r="C16">
        <v>160</v>
      </c>
      <c r="D16" t="s">
        <v>251</v>
      </c>
      <c r="E16">
        <f>SUM(E71+E72)*-1</f>
        <v>0</v>
      </c>
      <c r="F16">
        <f t="shared" si="0"/>
        <v>0</v>
      </c>
      <c r="G16">
        <f t="shared" ref="G16:S16" si="4">SUM(G71+G72)*-1</f>
        <v>0</v>
      </c>
      <c r="H16">
        <f t="shared" si="4"/>
        <v>0</v>
      </c>
      <c r="I16">
        <f t="shared" si="4"/>
        <v>0</v>
      </c>
      <c r="J16">
        <f t="shared" si="4"/>
        <v>0</v>
      </c>
      <c r="K16">
        <f t="shared" si="4"/>
        <v>0</v>
      </c>
      <c r="L16">
        <f t="shared" si="4"/>
        <v>0</v>
      </c>
      <c r="M16">
        <f t="shared" si="4"/>
        <v>0</v>
      </c>
      <c r="N16">
        <f t="shared" si="4"/>
        <v>0</v>
      </c>
      <c r="O16">
        <f t="shared" si="4"/>
        <v>0</v>
      </c>
      <c r="P16">
        <f t="shared" si="4"/>
        <v>0</v>
      </c>
      <c r="Q16">
        <f t="shared" si="4"/>
        <v>0</v>
      </c>
      <c r="R16">
        <f t="shared" si="4"/>
        <v>0</v>
      </c>
      <c r="S16">
        <f t="shared" si="4"/>
        <v>0</v>
      </c>
      <c r="BA16">
        <f t="shared" ca="1" si="1"/>
        <v>0</v>
      </c>
      <c r="BB16">
        <f t="shared" ca="1" si="2"/>
        <v>0</v>
      </c>
    </row>
    <row r="17" spans="2:84" x14ac:dyDescent="0.2">
      <c r="B17" t="s">
        <v>2198</v>
      </c>
      <c r="C17">
        <v>170</v>
      </c>
      <c r="D17" t="s">
        <v>245</v>
      </c>
      <c r="F17">
        <f t="shared" si="0"/>
        <v>0</v>
      </c>
      <c r="BA17">
        <f t="shared" ca="1" si="1"/>
        <v>0</v>
      </c>
      <c r="BB17">
        <f t="shared" ca="1" si="2"/>
        <v>0</v>
      </c>
      <c r="CA17">
        <f>IF(OR(E17&gt;0,G17&gt;0,H17&gt;0,I17&gt;0,J17&gt;0,K17&gt;0,L17&gt;0,M17&gt;0,N17&gt;0,O17&gt;0,P17&gt;0,Q17&gt;0,R17&gt;0,S17&gt;0),1,0)</f>
        <v>0</v>
      </c>
    </row>
    <row r="18" spans="2:84" x14ac:dyDescent="0.2">
      <c r="B18" t="s">
        <v>2199</v>
      </c>
      <c r="C18">
        <v>175</v>
      </c>
      <c r="D18" t="s">
        <v>245</v>
      </c>
    </row>
    <row r="19" spans="2:84" x14ac:dyDescent="0.2">
      <c r="B19" t="s">
        <v>252</v>
      </c>
      <c r="C19">
        <v>180</v>
      </c>
      <c r="D19" t="s">
        <v>251</v>
      </c>
      <c r="E19">
        <f>SUM(E14:E18)</f>
        <v>0</v>
      </c>
      <c r="F19">
        <f>SUM(G19:R19)</f>
        <v>0</v>
      </c>
      <c r="G19">
        <f t="shared" ref="G19:S19" si="5">SUM(G14:G18)</f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0</v>
      </c>
      <c r="N19">
        <f t="shared" si="5"/>
        <v>0</v>
      </c>
      <c r="O19">
        <f t="shared" si="5"/>
        <v>0</v>
      </c>
      <c r="P19">
        <f t="shared" si="5"/>
        <v>0</v>
      </c>
      <c r="Q19">
        <f t="shared" si="5"/>
        <v>0</v>
      </c>
      <c r="R19">
        <f t="shared" si="5"/>
        <v>0</v>
      </c>
      <c r="S19">
        <f t="shared" si="5"/>
        <v>0</v>
      </c>
      <c r="BA19">
        <f ca="1">IF(OR($BA$1="13",$BA$1="16"),SUM(OFFSET(F19,0,1,1,12)),SUM(OFFSET(F19,0,1,1,$BA$1)))</f>
        <v>0</v>
      </c>
      <c r="BB19">
        <f ca="1">IF(OR($BA$1="13",$BA$1="16"),(OFFSET(F19,0,12,1,1)),(OFFSET(F19,0,$BA$1,1,1)))</f>
        <v>0</v>
      </c>
    </row>
    <row r="20" spans="2:84" x14ac:dyDescent="0.2">
      <c r="B20" t="s">
        <v>253</v>
      </c>
      <c r="C20">
        <v>190</v>
      </c>
      <c r="D20" t="s">
        <v>245</v>
      </c>
      <c r="F20">
        <f>SUM(G20:R20)</f>
        <v>0</v>
      </c>
      <c r="BA20">
        <f ca="1">IF(OR($BA$1="13",$BA$1="16"),SUM(OFFSET(F20,0,1,1,12)),SUM(OFFSET(F20,0,1,1,$BA$1)))</f>
        <v>0</v>
      </c>
      <c r="BB20">
        <f ca="1">IF(OR($BA$1="13",$BA$1="16"),(OFFSET(F20,0,12,1,1)),(OFFSET(F20,0,$BA$1,1,1)))</f>
        <v>0</v>
      </c>
      <c r="CA20">
        <f>IF(OR(E20&gt;0,G20&gt;0,H20&gt;0,I20&gt;0,J20&gt;0,K20&gt;0,L20&gt;0,M20&gt;0,N20&gt;0,O20&gt;0,P20&gt;0,Q20&gt;0,R20&gt;0,S20&gt;0),1,0)</f>
        <v>0</v>
      </c>
    </row>
    <row r="21" spans="2:84" x14ac:dyDescent="0.2">
      <c r="B21" t="s">
        <v>2201</v>
      </c>
      <c r="C21">
        <v>195</v>
      </c>
      <c r="D21" t="s">
        <v>251</v>
      </c>
      <c r="F21">
        <f>SUM(G21:R21)</f>
        <v>0</v>
      </c>
      <c r="BA21">
        <f ca="1">IF(OR($BA$1="13",$BA$1="16"),SUM(OFFSET(F21,0,1,1,12)),SUM(OFFSET(F21,0,1,1,$BA$1)))</f>
        <v>0</v>
      </c>
      <c r="BB21">
        <f ca="1">IF(OR($BA$1="13",$BA$1="16"),(OFFSET(F21,0,12,1,1)),(OFFSET(F21,0,$BA$1,1,1)))</f>
        <v>0</v>
      </c>
    </row>
    <row r="22" spans="2:84" x14ac:dyDescent="0.2">
      <c r="B22" t="s">
        <v>257</v>
      </c>
      <c r="C22">
        <v>200</v>
      </c>
      <c r="D22" t="s">
        <v>251</v>
      </c>
      <c r="E22">
        <f>SUM(E19:E21)</f>
        <v>0</v>
      </c>
      <c r="F22">
        <f>SUM(G22:R22)</f>
        <v>0</v>
      </c>
      <c r="G22">
        <f t="shared" ref="G22:S22" si="6">SUM(G19:G21)</f>
        <v>0</v>
      </c>
      <c r="H22">
        <f t="shared" si="6"/>
        <v>0</v>
      </c>
      <c r="I22">
        <f t="shared" si="6"/>
        <v>0</v>
      </c>
      <c r="J22">
        <f t="shared" si="6"/>
        <v>0</v>
      </c>
      <c r="K22">
        <f t="shared" si="6"/>
        <v>0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BA22">
        <f ca="1">IF(OR($BA$1="13",$BA$1="16"),SUM(OFFSET(F22,0,1,1,12)),SUM(OFFSET(F22,0,1,1,$BA$1)))</f>
        <v>0</v>
      </c>
      <c r="BB22">
        <f ca="1">IF(OR($BA$1="13",$BA$1="16"),(OFFSET(F22,0,12,1,1)),(OFFSET(F22,0,$BA$1,1,1)))</f>
        <v>0</v>
      </c>
    </row>
    <row r="23" spans="2:84" x14ac:dyDescent="0.2">
      <c r="B23" t="s">
        <v>2006</v>
      </c>
      <c r="C23">
        <v>210</v>
      </c>
      <c r="D23" t="s">
        <v>251</v>
      </c>
      <c r="CE23" t="s">
        <v>3283</v>
      </c>
    </row>
    <row r="24" spans="2:84" x14ac:dyDescent="0.2">
      <c r="B24" t="s">
        <v>2876</v>
      </c>
      <c r="C24">
        <v>220</v>
      </c>
      <c r="D24" t="s">
        <v>251</v>
      </c>
      <c r="E24">
        <f>SUM(E22:E23)</f>
        <v>0</v>
      </c>
      <c r="F24">
        <f>SUM(G24:R24)</f>
        <v>0</v>
      </c>
      <c r="G24">
        <f t="shared" ref="G24:S24" si="7">SUM(G22:G23)</f>
        <v>0</v>
      </c>
      <c r="H24">
        <f t="shared" si="7"/>
        <v>0</v>
      </c>
      <c r="I24">
        <f t="shared" si="7"/>
        <v>0</v>
      </c>
      <c r="J24">
        <f t="shared" si="7"/>
        <v>0</v>
      </c>
      <c r="K24">
        <f t="shared" si="7"/>
        <v>0</v>
      </c>
      <c r="L24">
        <f t="shared" si="7"/>
        <v>0</v>
      </c>
      <c r="M24">
        <f t="shared" si="7"/>
        <v>0</v>
      </c>
      <c r="N24">
        <f t="shared" si="7"/>
        <v>0</v>
      </c>
      <c r="O24">
        <f t="shared" si="7"/>
        <v>0</v>
      </c>
      <c r="P24">
        <f t="shared" si="7"/>
        <v>0</v>
      </c>
      <c r="Q24">
        <f t="shared" si="7"/>
        <v>0</v>
      </c>
      <c r="R24">
        <f t="shared" si="7"/>
        <v>0</v>
      </c>
      <c r="S24">
        <f t="shared" si="7"/>
        <v>0</v>
      </c>
      <c r="BA24">
        <f ca="1">IF(OR($BA$1="13",$BA$1="16"),SUM(OFFSET(F24,0,1,1,12)),SUM(OFFSET(F24,0,1,1,$BA$1)))</f>
        <v>0</v>
      </c>
      <c r="BB24">
        <f ca="1">IF(OR($BA$1="13",$BA$1="16"),(OFFSET(F24,0,12,1,1)),(OFFSET(F24,0,$BA$1,1,1)))</f>
        <v>0</v>
      </c>
      <c r="CE24">
        <f>SUM(G24:L24)+SUM(G53:L53)</f>
        <v>0</v>
      </c>
      <c r="CF24">
        <f>SUM(G24:O24)+SUM(G53:O53)</f>
        <v>0</v>
      </c>
    </row>
    <row r="28" spans="2:84" x14ac:dyDescent="0.2">
      <c r="D28" t="s">
        <v>25</v>
      </c>
    </row>
    <row r="29" spans="2:84" x14ac:dyDescent="0.2">
      <c r="B29" t="s">
        <v>77</v>
      </c>
      <c r="C29" t="s">
        <v>238</v>
      </c>
    </row>
    <row r="30" spans="2:84" x14ac:dyDescent="0.2">
      <c r="C30" t="s">
        <v>242</v>
      </c>
    </row>
    <row r="31" spans="2:84" x14ac:dyDescent="0.2">
      <c r="B31" t="s">
        <v>2877</v>
      </c>
      <c r="C31">
        <v>250</v>
      </c>
      <c r="D31" t="s">
        <v>245</v>
      </c>
    </row>
    <row r="32" spans="2:84" x14ac:dyDescent="0.2">
      <c r="B32" t="s">
        <v>260</v>
      </c>
      <c r="C32">
        <v>260</v>
      </c>
      <c r="D32" t="s">
        <v>251</v>
      </c>
    </row>
    <row r="33" spans="2:83" x14ac:dyDescent="0.2">
      <c r="B33" t="s">
        <v>261</v>
      </c>
      <c r="C33">
        <v>270</v>
      </c>
      <c r="D33" t="s">
        <v>251</v>
      </c>
    </row>
    <row r="34" spans="2:83" x14ac:dyDescent="0.2">
      <c r="B34" t="s">
        <v>262</v>
      </c>
      <c r="C34">
        <v>280</v>
      </c>
      <c r="D34" t="s">
        <v>251</v>
      </c>
    </row>
    <row r="35" spans="2:83" x14ac:dyDescent="0.2">
      <c r="B35" t="s">
        <v>2878</v>
      </c>
      <c r="C35">
        <v>290</v>
      </c>
      <c r="D35" t="s">
        <v>251</v>
      </c>
    </row>
    <row r="36" spans="2:83" x14ac:dyDescent="0.2">
      <c r="B36" t="s">
        <v>2879</v>
      </c>
      <c r="C36">
        <v>300</v>
      </c>
      <c r="D36" t="s">
        <v>251</v>
      </c>
    </row>
    <row r="37" spans="2:83" x14ac:dyDescent="0.2">
      <c r="B37" t="s">
        <v>266</v>
      </c>
      <c r="C37">
        <v>310</v>
      </c>
      <c r="D37" t="s">
        <v>251</v>
      </c>
    </row>
    <row r="38" spans="2:83" x14ac:dyDescent="0.2">
      <c r="B38" t="s">
        <v>268</v>
      </c>
    </row>
    <row r="39" spans="2:83" x14ac:dyDescent="0.2">
      <c r="B39" t="s">
        <v>269</v>
      </c>
      <c r="C39">
        <v>320</v>
      </c>
      <c r="D39" t="s">
        <v>251</v>
      </c>
    </row>
    <row r="40" spans="2:83" x14ac:dyDescent="0.2">
      <c r="B40" t="s">
        <v>270</v>
      </c>
      <c r="C40">
        <v>330</v>
      </c>
      <c r="D40" t="s">
        <v>251</v>
      </c>
    </row>
    <row r="43" spans="2:83" x14ac:dyDescent="0.2">
      <c r="B43" t="s">
        <v>2204</v>
      </c>
      <c r="C43" t="s">
        <v>238</v>
      </c>
      <c r="D43" t="s">
        <v>25</v>
      </c>
      <c r="E43" t="s">
        <v>3278</v>
      </c>
      <c r="F43" t="s">
        <v>3279</v>
      </c>
      <c r="G43" t="s">
        <v>3280</v>
      </c>
      <c r="H43" t="s">
        <v>2025</v>
      </c>
      <c r="I43" t="s">
        <v>2026</v>
      </c>
      <c r="J43" t="s">
        <v>2027</v>
      </c>
      <c r="K43" t="s">
        <v>2028</v>
      </c>
      <c r="L43" t="s">
        <v>2029</v>
      </c>
      <c r="M43" t="s">
        <v>2030</v>
      </c>
      <c r="N43" t="s">
        <v>2031</v>
      </c>
      <c r="O43" t="s">
        <v>2032</v>
      </c>
      <c r="P43" t="s">
        <v>2033</v>
      </c>
      <c r="Q43" t="s">
        <v>2034</v>
      </c>
      <c r="R43" t="s">
        <v>2035</v>
      </c>
      <c r="S43" t="s">
        <v>3281</v>
      </c>
    </row>
    <row r="44" spans="2:83" x14ac:dyDescent="0.2">
      <c r="C44" t="s">
        <v>242</v>
      </c>
      <c r="E44" t="s">
        <v>2036</v>
      </c>
      <c r="F44" t="s">
        <v>2037</v>
      </c>
      <c r="G44" t="s">
        <v>2038</v>
      </c>
      <c r="H44" t="s">
        <v>2039</v>
      </c>
      <c r="I44" t="s">
        <v>2040</v>
      </c>
      <c r="J44" t="s">
        <v>2041</v>
      </c>
      <c r="K44" t="s">
        <v>2042</v>
      </c>
      <c r="L44" t="s">
        <v>2043</v>
      </c>
      <c r="M44" t="s">
        <v>2044</v>
      </c>
      <c r="N44" t="s">
        <v>2045</v>
      </c>
      <c r="O44" t="s">
        <v>2046</v>
      </c>
      <c r="P44" t="s">
        <v>2047</v>
      </c>
      <c r="Q44" t="s">
        <v>2048</v>
      </c>
      <c r="R44" t="s">
        <v>2049</v>
      </c>
      <c r="S44" t="s">
        <v>2050</v>
      </c>
    </row>
    <row r="45" spans="2:83" x14ac:dyDescent="0.2">
      <c r="E45" t="s">
        <v>243</v>
      </c>
      <c r="F45" t="s">
        <v>243</v>
      </c>
      <c r="G45" t="s">
        <v>243</v>
      </c>
      <c r="H45" t="s">
        <v>243</v>
      </c>
      <c r="I45" t="s">
        <v>243</v>
      </c>
      <c r="J45" t="s">
        <v>243</v>
      </c>
      <c r="K45" t="s">
        <v>243</v>
      </c>
      <c r="L45" t="s">
        <v>243</v>
      </c>
      <c r="M45" t="s">
        <v>243</v>
      </c>
      <c r="N45" t="s">
        <v>243</v>
      </c>
      <c r="O45" t="s">
        <v>243</v>
      </c>
      <c r="P45" t="s">
        <v>243</v>
      </c>
      <c r="Q45" t="s">
        <v>243</v>
      </c>
      <c r="R45" t="s">
        <v>243</v>
      </c>
      <c r="S45" t="s">
        <v>243</v>
      </c>
      <c r="CE45" t="s">
        <v>3283</v>
      </c>
    </row>
    <row r="46" spans="2:83" x14ac:dyDescent="0.2">
      <c r="B46" t="s">
        <v>271</v>
      </c>
      <c r="C46">
        <v>350</v>
      </c>
      <c r="D46" t="s">
        <v>251</v>
      </c>
      <c r="E46">
        <f>E22</f>
        <v>0</v>
      </c>
      <c r="F46">
        <f>SUM(G46:R46)</f>
        <v>0</v>
      </c>
      <c r="G46">
        <f t="shared" ref="G46:S46" si="8">G22</f>
        <v>0</v>
      </c>
      <c r="H46">
        <f t="shared" si="8"/>
        <v>0</v>
      </c>
      <c r="I46">
        <f t="shared" si="8"/>
        <v>0</v>
      </c>
      <c r="J46">
        <f t="shared" si="8"/>
        <v>0</v>
      </c>
      <c r="K46">
        <f t="shared" si="8"/>
        <v>0</v>
      </c>
      <c r="L46">
        <f t="shared" si="8"/>
        <v>0</v>
      </c>
      <c r="M46">
        <f t="shared" si="8"/>
        <v>0</v>
      </c>
      <c r="N46">
        <f t="shared" si="8"/>
        <v>0</v>
      </c>
      <c r="O46">
        <f t="shared" si="8"/>
        <v>0</v>
      </c>
      <c r="P46">
        <f t="shared" si="8"/>
        <v>0</v>
      </c>
      <c r="Q46">
        <f t="shared" si="8"/>
        <v>0</v>
      </c>
      <c r="R46">
        <f t="shared" si="8"/>
        <v>0</v>
      </c>
      <c r="S46">
        <f t="shared" si="8"/>
        <v>0</v>
      </c>
      <c r="BA46">
        <f ca="1">IF(OR($BA$1="13",$BA$1="16"),SUM(OFFSET(F46,0,1,1,12)),SUM(OFFSET(F46,0,1,1,$BA$1)))</f>
        <v>0</v>
      </c>
      <c r="BB46">
        <f ca="1">IF(OR($BA$1="13",$BA$1="16"),(OFFSET(F46,0,12,1,1)),(OFFSET(F46,0,$BA$1,1,1)))</f>
        <v>0</v>
      </c>
      <c r="CE46">
        <f>SUM(G46:I46)+G65+H65+I65+SUM(G16:I16)*-1+SUM(G53:I53)</f>
        <v>0</v>
      </c>
    </row>
    <row r="47" spans="2:83" x14ac:dyDescent="0.2">
      <c r="B47" t="s">
        <v>2206</v>
      </c>
      <c r="C47">
        <v>351</v>
      </c>
      <c r="D47" t="s">
        <v>251</v>
      </c>
      <c r="E47">
        <f>E23</f>
        <v>0</v>
      </c>
    </row>
    <row r="48" spans="2:83" x14ac:dyDescent="0.2">
      <c r="B48" t="s">
        <v>3284</v>
      </c>
      <c r="C48">
        <v>354</v>
      </c>
      <c r="D48" t="s">
        <v>251</v>
      </c>
      <c r="F48">
        <f>SUM(G48:R48)</f>
        <v>0</v>
      </c>
      <c r="BA48">
        <f t="shared" ref="BA48:BA54" ca="1" si="9">IF(OR($BA$1="13",$BA$1="16"),SUM(OFFSET(F48,0,1,1,12)),SUM(OFFSET(F48,0,1,1,$BA$1)))</f>
        <v>0</v>
      </c>
      <c r="BB48">
        <f t="shared" ref="BB48:BB54" ca="1" si="10">IF(OR($BA$1="13",$BA$1="16"),(OFFSET(F48,0,12,1,1)),(OFFSET(F48,0,$BA$1,1,1)))</f>
        <v>0</v>
      </c>
      <c r="CE48" t="s">
        <v>3285</v>
      </c>
    </row>
    <row r="49" spans="2:87" x14ac:dyDescent="0.2">
      <c r="B49" t="s">
        <v>2208</v>
      </c>
      <c r="C49">
        <v>358</v>
      </c>
      <c r="D49" t="s">
        <v>251</v>
      </c>
      <c r="F49">
        <f>SUM(G49:R49)</f>
        <v>0</v>
      </c>
      <c r="BA49">
        <f t="shared" ca="1" si="9"/>
        <v>0</v>
      </c>
      <c r="BB49">
        <f t="shared" ca="1" si="10"/>
        <v>0</v>
      </c>
      <c r="CE49" t="s">
        <v>3285</v>
      </c>
    </row>
    <row r="50" spans="2:87" x14ac:dyDescent="0.2">
      <c r="B50" t="s">
        <v>2880</v>
      </c>
      <c r="C50">
        <v>360</v>
      </c>
      <c r="D50" t="s">
        <v>251</v>
      </c>
      <c r="E50">
        <f t="shared" ref="E50:S50" si="11">IF(E49&lt;0,(0+E48),E49+E48)</f>
        <v>0</v>
      </c>
      <c r="F50">
        <f t="shared" si="11"/>
        <v>0</v>
      </c>
      <c r="G50">
        <f t="shared" si="11"/>
        <v>0</v>
      </c>
      <c r="H50">
        <f t="shared" si="11"/>
        <v>0</v>
      </c>
      <c r="I50">
        <f t="shared" si="11"/>
        <v>0</v>
      </c>
      <c r="J50">
        <f t="shared" si="11"/>
        <v>0</v>
      </c>
      <c r="K50">
        <f t="shared" si="11"/>
        <v>0</v>
      </c>
      <c r="L50">
        <f t="shared" si="11"/>
        <v>0</v>
      </c>
      <c r="M50">
        <f t="shared" si="11"/>
        <v>0</v>
      </c>
      <c r="N50">
        <f t="shared" si="11"/>
        <v>0</v>
      </c>
      <c r="O50">
        <f t="shared" si="11"/>
        <v>0</v>
      </c>
      <c r="P50">
        <f t="shared" si="11"/>
        <v>0</v>
      </c>
      <c r="Q50">
        <f t="shared" si="11"/>
        <v>0</v>
      </c>
      <c r="R50">
        <f t="shared" si="11"/>
        <v>0</v>
      </c>
      <c r="S50">
        <f t="shared" si="11"/>
        <v>0</v>
      </c>
      <c r="BA50">
        <f t="shared" ca="1" si="9"/>
        <v>0</v>
      </c>
      <c r="BB50">
        <f t="shared" ca="1" si="10"/>
        <v>0</v>
      </c>
      <c r="CE50" t="s">
        <v>3285</v>
      </c>
    </row>
    <row r="51" spans="2:87" x14ac:dyDescent="0.2">
      <c r="B51" t="s">
        <v>2881</v>
      </c>
      <c r="C51">
        <v>370</v>
      </c>
      <c r="D51" t="s">
        <v>251</v>
      </c>
      <c r="F51">
        <f>SUM(G51:R51)</f>
        <v>0</v>
      </c>
      <c r="BA51">
        <f t="shared" ca="1" si="9"/>
        <v>0</v>
      </c>
      <c r="BB51">
        <f t="shared" ca="1" si="10"/>
        <v>0</v>
      </c>
      <c r="CE51">
        <f>SUM(G50:I53)</f>
        <v>0</v>
      </c>
      <c r="CF51">
        <f>SUM(J50:L53)</f>
        <v>0</v>
      </c>
      <c r="CG51">
        <f>SUM(M50:O53)</f>
        <v>0</v>
      </c>
      <c r="CH51">
        <f>SUM(P50:R53)</f>
        <v>0</v>
      </c>
      <c r="CI51">
        <f>SUM(S50:S53)</f>
        <v>0</v>
      </c>
    </row>
    <row r="52" spans="2:87" x14ac:dyDescent="0.2">
      <c r="B52" t="s">
        <v>3286</v>
      </c>
      <c r="C52">
        <v>380</v>
      </c>
      <c r="D52" t="s">
        <v>251</v>
      </c>
      <c r="F52">
        <f>SUM(G52:R52)</f>
        <v>0</v>
      </c>
      <c r="BA52">
        <f t="shared" ca="1" si="9"/>
        <v>0</v>
      </c>
      <c r="BB52">
        <f t="shared" ca="1" si="10"/>
        <v>0</v>
      </c>
      <c r="CE52" t="s">
        <v>3287</v>
      </c>
    </row>
    <row r="53" spans="2:87" x14ac:dyDescent="0.2">
      <c r="B53" t="s">
        <v>3288</v>
      </c>
      <c r="C53">
        <v>385</v>
      </c>
      <c r="D53" t="s">
        <v>251</v>
      </c>
      <c r="E53">
        <f>E21*-1</f>
        <v>0</v>
      </c>
      <c r="F53">
        <f>SUM(G53:R53)</f>
        <v>0</v>
      </c>
      <c r="G53">
        <f t="shared" ref="G53:S53" si="12">G21*-1</f>
        <v>0</v>
      </c>
      <c r="H53">
        <f t="shared" si="12"/>
        <v>0</v>
      </c>
      <c r="I53">
        <f t="shared" si="12"/>
        <v>0</v>
      </c>
      <c r="J53">
        <f t="shared" si="12"/>
        <v>0</v>
      </c>
      <c r="K53">
        <f t="shared" si="12"/>
        <v>0</v>
      </c>
      <c r="L53">
        <f t="shared" si="12"/>
        <v>0</v>
      </c>
      <c r="M53">
        <f t="shared" si="12"/>
        <v>0</v>
      </c>
      <c r="N53">
        <f t="shared" si="12"/>
        <v>0</v>
      </c>
      <c r="O53">
        <f t="shared" si="12"/>
        <v>0</v>
      </c>
      <c r="P53">
        <f t="shared" si="12"/>
        <v>0</v>
      </c>
      <c r="Q53">
        <f t="shared" si="12"/>
        <v>0</v>
      </c>
      <c r="R53">
        <f t="shared" si="12"/>
        <v>0</v>
      </c>
      <c r="S53">
        <f t="shared" si="12"/>
        <v>0</v>
      </c>
      <c r="BA53">
        <f t="shared" ca="1" si="9"/>
        <v>0</v>
      </c>
      <c r="BB53">
        <f t="shared" ca="1" si="10"/>
        <v>0</v>
      </c>
      <c r="CD53" t="s">
        <v>655</v>
      </c>
      <c r="CE53">
        <f>E12+E13+E70</f>
        <v>0</v>
      </c>
      <c r="CF53">
        <f>F12+F13+F70</f>
        <v>0</v>
      </c>
      <c r="CG53">
        <f>S12+S13+S70</f>
        <v>0</v>
      </c>
    </row>
    <row r="54" spans="2:87" x14ac:dyDescent="0.2">
      <c r="B54" t="s">
        <v>2102</v>
      </c>
      <c r="C54">
        <v>390</v>
      </c>
      <c r="D54" t="s">
        <v>251</v>
      </c>
      <c r="E54">
        <f t="shared" ref="E54:S54" si="13">E46+E47+E50+E51+E52+E53</f>
        <v>0</v>
      </c>
      <c r="F54">
        <f t="shared" si="13"/>
        <v>0</v>
      </c>
      <c r="G54">
        <f t="shared" si="13"/>
        <v>0</v>
      </c>
      <c r="H54">
        <f t="shared" si="13"/>
        <v>0</v>
      </c>
      <c r="I54">
        <f t="shared" si="13"/>
        <v>0</v>
      </c>
      <c r="J54">
        <f t="shared" si="13"/>
        <v>0</v>
      </c>
      <c r="K54">
        <f t="shared" si="13"/>
        <v>0</v>
      </c>
      <c r="L54">
        <f t="shared" si="13"/>
        <v>0</v>
      </c>
      <c r="M54">
        <f t="shared" si="13"/>
        <v>0</v>
      </c>
      <c r="N54">
        <f t="shared" si="13"/>
        <v>0</v>
      </c>
      <c r="O54">
        <f t="shared" si="13"/>
        <v>0</v>
      </c>
      <c r="P54">
        <f t="shared" si="13"/>
        <v>0</v>
      </c>
      <c r="Q54">
        <f t="shared" si="13"/>
        <v>0</v>
      </c>
      <c r="R54">
        <f t="shared" si="13"/>
        <v>0</v>
      </c>
      <c r="S54">
        <f t="shared" si="13"/>
        <v>0</v>
      </c>
      <c r="BA54">
        <f t="shared" ca="1" si="9"/>
        <v>0</v>
      </c>
      <c r="BB54">
        <f t="shared" ca="1" si="10"/>
        <v>0</v>
      </c>
      <c r="CD54" t="s">
        <v>2002</v>
      </c>
      <c r="CE54">
        <f>-(E54-CE53)</f>
        <v>0</v>
      </c>
      <c r="CF54">
        <f>-(F54-CF53)</f>
        <v>0</v>
      </c>
      <c r="CG54">
        <f>-(S54-CG53)</f>
        <v>0</v>
      </c>
    </row>
    <row r="58" spans="2:87" x14ac:dyDescent="0.2">
      <c r="B58" t="s">
        <v>3247</v>
      </c>
      <c r="C58" t="s">
        <v>238</v>
      </c>
      <c r="D58" t="s">
        <v>25</v>
      </c>
      <c r="E58" t="s">
        <v>3278</v>
      </c>
      <c r="F58" t="s">
        <v>3279</v>
      </c>
      <c r="G58" t="s">
        <v>3280</v>
      </c>
      <c r="H58" t="s">
        <v>2025</v>
      </c>
      <c r="I58" t="s">
        <v>2026</v>
      </c>
      <c r="J58" t="s">
        <v>2027</v>
      </c>
      <c r="K58" t="s">
        <v>2028</v>
      </c>
      <c r="L58" t="s">
        <v>2029</v>
      </c>
      <c r="M58" t="s">
        <v>2030</v>
      </c>
      <c r="N58" t="s">
        <v>2031</v>
      </c>
      <c r="O58" t="s">
        <v>2032</v>
      </c>
      <c r="P58" t="s">
        <v>2033</v>
      </c>
      <c r="Q58" t="s">
        <v>2034</v>
      </c>
      <c r="R58" t="s">
        <v>2035</v>
      </c>
      <c r="S58" t="s">
        <v>3281</v>
      </c>
    </row>
    <row r="59" spans="2:87" x14ac:dyDescent="0.2">
      <c r="C59" t="s">
        <v>242</v>
      </c>
      <c r="E59" t="s">
        <v>2036</v>
      </c>
      <c r="F59" t="s">
        <v>2037</v>
      </c>
      <c r="G59" t="s">
        <v>2038</v>
      </c>
      <c r="H59" t="s">
        <v>2039</v>
      </c>
      <c r="I59" t="s">
        <v>2040</v>
      </c>
      <c r="J59" t="s">
        <v>2041</v>
      </c>
      <c r="K59" t="s">
        <v>2042</v>
      </c>
      <c r="L59" t="s">
        <v>2043</v>
      </c>
      <c r="M59" t="s">
        <v>2044</v>
      </c>
      <c r="N59" t="s">
        <v>2045</v>
      </c>
      <c r="O59" t="s">
        <v>2046</v>
      </c>
      <c r="P59" t="s">
        <v>2047</v>
      </c>
      <c r="Q59" t="s">
        <v>2048</v>
      </c>
      <c r="R59" t="s">
        <v>2049</v>
      </c>
      <c r="S59" t="s">
        <v>2050</v>
      </c>
    </row>
    <row r="60" spans="2:87" x14ac:dyDescent="0.2">
      <c r="E60" t="s">
        <v>243</v>
      </c>
      <c r="F60" t="s">
        <v>243</v>
      </c>
      <c r="G60" t="s">
        <v>243</v>
      </c>
      <c r="H60" t="s">
        <v>243</v>
      </c>
      <c r="I60" t="s">
        <v>243</v>
      </c>
      <c r="J60" t="s">
        <v>243</v>
      </c>
      <c r="K60" t="s">
        <v>243</v>
      </c>
      <c r="L60" t="s">
        <v>243</v>
      </c>
      <c r="M60" t="s">
        <v>243</v>
      </c>
      <c r="N60" t="s">
        <v>243</v>
      </c>
      <c r="O60" t="s">
        <v>243</v>
      </c>
      <c r="P60" t="s">
        <v>243</v>
      </c>
      <c r="Q60" t="s">
        <v>243</v>
      </c>
      <c r="R60" t="s">
        <v>243</v>
      </c>
      <c r="S60" t="s">
        <v>243</v>
      </c>
      <c r="CE60" t="s">
        <v>3283</v>
      </c>
    </row>
    <row r="61" spans="2:87" x14ac:dyDescent="0.2">
      <c r="B61" t="s">
        <v>3289</v>
      </c>
      <c r="C61">
        <v>400</v>
      </c>
      <c r="D61" t="s">
        <v>251</v>
      </c>
      <c r="E61">
        <f>E24</f>
        <v>0</v>
      </c>
      <c r="F61">
        <f>SUM(G61:R61)</f>
        <v>0</v>
      </c>
      <c r="G61">
        <f t="shared" ref="G61:S61" si="14">G24</f>
        <v>0</v>
      </c>
      <c r="H61">
        <f t="shared" si="14"/>
        <v>0</v>
      </c>
      <c r="I61">
        <f t="shared" si="14"/>
        <v>0</v>
      </c>
      <c r="J61">
        <f t="shared" si="14"/>
        <v>0</v>
      </c>
      <c r="K61">
        <f t="shared" si="14"/>
        <v>0</v>
      </c>
      <c r="L61">
        <f t="shared" si="14"/>
        <v>0</v>
      </c>
      <c r="M61">
        <f t="shared" si="14"/>
        <v>0</v>
      </c>
      <c r="N61">
        <f t="shared" si="14"/>
        <v>0</v>
      </c>
      <c r="O61">
        <f t="shared" si="14"/>
        <v>0</v>
      </c>
      <c r="P61">
        <f t="shared" si="14"/>
        <v>0</v>
      </c>
      <c r="Q61">
        <f t="shared" si="14"/>
        <v>0</v>
      </c>
      <c r="R61">
        <f t="shared" si="14"/>
        <v>0</v>
      </c>
      <c r="S61">
        <f t="shared" si="14"/>
        <v>0</v>
      </c>
      <c r="BA61">
        <f ca="1">IF(OR($BA$1="13",$BA$1="16"),SUM(OFFSET(F61,0,1,1,12)),SUM(OFFSET(F61,0,1,1,$BA$1)))</f>
        <v>0</v>
      </c>
      <c r="BB61">
        <f ca="1">IF(OR($BA$1="13",$BA$1="16"),(OFFSET(F61,0,12,1,1)),(OFFSET(F61,0,$BA$1,1,1)))</f>
        <v>0</v>
      </c>
      <c r="CE61">
        <f>SUM(J61:L61)+SUM(J65:L65)+SUM(J70:L70)+SUM(J16:L16)*-1+SUM(J53:L53)</f>
        <v>0</v>
      </c>
      <c r="CF61">
        <f>SUM(M61:O61)+SUM(M65:O65)+SUM(M70:O70)+SUM(M16:O16)*-1+SUM(M53:O53)</f>
        <v>0</v>
      </c>
      <c r="CG61">
        <f>SUM(P61:R61)+SUM(P65:R65)+SUM(P70:R70)+SUM(P16:R16)*-1+SUM(P53:R53)</f>
        <v>0</v>
      </c>
    </row>
    <row r="62" spans="2:87" x14ac:dyDescent="0.2">
      <c r="B62" t="s">
        <v>2215</v>
      </c>
      <c r="C62">
        <v>405</v>
      </c>
      <c r="D62" t="s">
        <v>251</v>
      </c>
    </row>
    <row r="63" spans="2:87" x14ac:dyDescent="0.2">
      <c r="B63" t="s">
        <v>2216</v>
      </c>
      <c r="C63">
        <v>410</v>
      </c>
      <c r="D63" t="s">
        <v>248</v>
      </c>
      <c r="F63">
        <f>SUM(G63:R63)</f>
        <v>0</v>
      </c>
      <c r="BA63">
        <f ca="1">IF(OR($BA$1="13",$BA$1="16"),SUM(OFFSET(F63,0,1,1,12)),SUM(OFFSET(F63,0,1,1,$BA$1)))</f>
        <v>0</v>
      </c>
      <c r="BB63">
        <f ca="1">IF(OR($BA$1="13",$BA$1="16"),(OFFSET(F63,0,12,1,1)),(OFFSET(F63,0,$BA$1,1,1)))</f>
        <v>0</v>
      </c>
      <c r="CB63">
        <f>IF(OR(E63&lt;0,G63&lt;0,H63&lt;0,I63&lt;0,J63&lt;0,K63&lt;0,L63&lt;0,M63&lt;0,N63&lt;0,O63&lt;0,P63&lt;0,Q63&lt;0,R63&lt;0,S63&lt;0),1,0)</f>
        <v>0</v>
      </c>
    </row>
    <row r="64" spans="2:87" x14ac:dyDescent="0.2">
      <c r="B64" t="s">
        <v>2217</v>
      </c>
      <c r="C64">
        <v>420</v>
      </c>
      <c r="D64" t="s">
        <v>248</v>
      </c>
      <c r="F64">
        <f>SUM(G64:R64)</f>
        <v>0</v>
      </c>
      <c r="BA64">
        <f ca="1">IF(OR($BA$1="13",$BA$1="16"),SUM(OFFSET(F64,0,1,1,12)),SUM(OFFSET(F64,0,1,1,$BA$1)))</f>
        <v>0</v>
      </c>
      <c r="BB64">
        <f ca="1">IF(OR($BA$1="13",$BA$1="16"),(OFFSET(F64,0,12,1,1)),(OFFSET(F64,0,$BA$1,1,1)))</f>
        <v>0</v>
      </c>
      <c r="CB64">
        <f>IF(OR(E64&lt;0,G64&lt;0,H64&lt;0,I64&lt;0,J64&lt;0,K64&lt;0,L64&lt;0,M64&lt;0,N64&lt;0,O64&lt;0,P64&lt;0,Q64&lt;0,R64&lt;0,S64&lt;0),1,0)</f>
        <v>0</v>
      </c>
    </row>
    <row r="65" spans="2:86" x14ac:dyDescent="0.2">
      <c r="B65" t="s">
        <v>2218</v>
      </c>
      <c r="C65">
        <v>425</v>
      </c>
      <c r="D65" t="s">
        <v>251</v>
      </c>
      <c r="F65">
        <f>SUM(G65:R65)</f>
        <v>0</v>
      </c>
      <c r="BA65">
        <f ca="1">IF(OR($BA$1="13",$BA$1="16"),SUM(OFFSET(F65,0,1,1,12)),SUM(OFFSET(F65,0,1,1,$BA$1)))</f>
        <v>0</v>
      </c>
      <c r="BB65">
        <f ca="1">IF(OR($BA$1="13",$BA$1="16"),(OFFSET(F65,0,12,1,1)),(OFFSET(F65,0,$BA$1,1,1)))</f>
        <v>0</v>
      </c>
    </row>
    <row r="66" spans="2:86" x14ac:dyDescent="0.2">
      <c r="B66" t="s">
        <v>2220</v>
      </c>
      <c r="C66">
        <v>430</v>
      </c>
      <c r="D66" t="s">
        <v>245</v>
      </c>
      <c r="E66">
        <f>E15*-1</f>
        <v>0</v>
      </c>
      <c r="F66">
        <f>SUM(G66:R66)</f>
        <v>0</v>
      </c>
      <c r="G66">
        <f t="shared" ref="G66:S66" si="15">G15*-1</f>
        <v>0</v>
      </c>
      <c r="H66">
        <f t="shared" si="15"/>
        <v>0</v>
      </c>
      <c r="I66">
        <f t="shared" si="15"/>
        <v>0</v>
      </c>
      <c r="J66">
        <f t="shared" si="15"/>
        <v>0</v>
      </c>
      <c r="K66">
        <f t="shared" si="15"/>
        <v>0</v>
      </c>
      <c r="L66">
        <f t="shared" si="15"/>
        <v>0</v>
      </c>
      <c r="M66">
        <f t="shared" si="15"/>
        <v>0</v>
      </c>
      <c r="N66">
        <f t="shared" si="15"/>
        <v>0</v>
      </c>
      <c r="O66">
        <f t="shared" si="15"/>
        <v>0</v>
      </c>
      <c r="P66">
        <f t="shared" si="15"/>
        <v>0</v>
      </c>
      <c r="Q66">
        <f t="shared" si="15"/>
        <v>0</v>
      </c>
      <c r="R66">
        <f t="shared" si="15"/>
        <v>0</v>
      </c>
      <c r="S66">
        <f t="shared" si="15"/>
        <v>0</v>
      </c>
      <c r="BA66">
        <f ca="1">IF(OR($BA$1="13",$BA$1="16"),SUM(OFFSET(F66,0,1,1,12)),SUM(OFFSET(F66,0,1,1,$BA$1)))</f>
        <v>0</v>
      </c>
      <c r="BB66">
        <f ca="1">IF(OR($BA$1="13",$BA$1="16"),(OFFSET(F66,0,12,1,1)),(OFFSET(F66,0,$BA$1,1,1)))</f>
        <v>0</v>
      </c>
      <c r="CA66">
        <f>IF(OR(E66&gt;0,G66&gt;0,H66&gt;0,I66&gt;0,J66&gt;0,K66&gt;0,L66&gt;0,M66&gt;0,N66&gt;0,O66&gt;0,P66&gt;0,Q66&gt;0,R66&gt;0,S66&gt;0),1,0)</f>
        <v>0</v>
      </c>
      <c r="CE66" t="s">
        <v>3290</v>
      </c>
    </row>
    <row r="67" spans="2:86" x14ac:dyDescent="0.2">
      <c r="B67" t="s">
        <v>2198</v>
      </c>
      <c r="C67">
        <v>440</v>
      </c>
      <c r="D67" t="s">
        <v>248</v>
      </c>
      <c r="E67">
        <f>E17*-1</f>
        <v>0</v>
      </c>
      <c r="F67">
        <f>SUM(G67:R67)</f>
        <v>0</v>
      </c>
      <c r="G67">
        <f t="shared" ref="G67:S67" si="16">G17*-1</f>
        <v>0</v>
      </c>
      <c r="H67">
        <f t="shared" si="16"/>
        <v>0</v>
      </c>
      <c r="I67">
        <f t="shared" si="16"/>
        <v>0</v>
      </c>
      <c r="J67">
        <f t="shared" si="16"/>
        <v>0</v>
      </c>
      <c r="K67">
        <f t="shared" si="16"/>
        <v>0</v>
      </c>
      <c r="L67">
        <f t="shared" si="16"/>
        <v>0</v>
      </c>
      <c r="M67">
        <f t="shared" si="16"/>
        <v>0</v>
      </c>
      <c r="N67">
        <f t="shared" si="16"/>
        <v>0</v>
      </c>
      <c r="O67">
        <f t="shared" si="16"/>
        <v>0</v>
      </c>
      <c r="P67">
        <f t="shared" si="16"/>
        <v>0</v>
      </c>
      <c r="Q67">
        <f t="shared" si="16"/>
        <v>0</v>
      </c>
      <c r="R67">
        <f t="shared" si="16"/>
        <v>0</v>
      </c>
      <c r="S67">
        <f t="shared" si="16"/>
        <v>0</v>
      </c>
      <c r="BA67">
        <f ca="1">IF(OR($BA$1="13",$BA$1="16"),SUM(OFFSET(F67,0,1,1,12)),SUM(OFFSET(F67,0,1,1,$BA$1)))</f>
        <v>0</v>
      </c>
      <c r="BB67">
        <f ca="1">IF(OR($BA$1="13",$BA$1="16"),(OFFSET(F67,0,12,1,1)),(OFFSET(F67,0,$BA$1,1,1)))</f>
        <v>0</v>
      </c>
      <c r="CE67">
        <f>SUM(G67+H67+I67)</f>
        <v>0</v>
      </c>
      <c r="CF67">
        <f>SUM(J67+K67+L67)</f>
        <v>0</v>
      </c>
      <c r="CG67">
        <f>SUM(M67+N67+O67)</f>
        <v>0</v>
      </c>
      <c r="CH67">
        <f>SUM(P67+Q67+R67)</f>
        <v>0</v>
      </c>
    </row>
    <row r="68" spans="2:86" x14ac:dyDescent="0.2">
      <c r="B68" t="s">
        <v>2199</v>
      </c>
      <c r="C68">
        <v>450</v>
      </c>
      <c r="D68" t="s">
        <v>248</v>
      </c>
    </row>
    <row r="69" spans="2:86" x14ac:dyDescent="0.2">
      <c r="B69" t="s">
        <v>2221</v>
      </c>
      <c r="C69">
        <v>460</v>
      </c>
      <c r="D69" t="s">
        <v>248</v>
      </c>
      <c r="E69">
        <f>E20*-1</f>
        <v>0</v>
      </c>
      <c r="F69">
        <f t="shared" ref="F69:F75" si="17">SUM(G69:R69)</f>
        <v>0</v>
      </c>
      <c r="G69">
        <f t="shared" ref="G69:S69" si="18">G20*-1</f>
        <v>0</v>
      </c>
      <c r="H69">
        <f t="shared" si="18"/>
        <v>0</v>
      </c>
      <c r="I69">
        <f t="shared" si="18"/>
        <v>0</v>
      </c>
      <c r="J69">
        <f t="shared" si="18"/>
        <v>0</v>
      </c>
      <c r="K69">
        <f t="shared" si="18"/>
        <v>0</v>
      </c>
      <c r="L69">
        <f t="shared" si="18"/>
        <v>0</v>
      </c>
      <c r="M69">
        <f t="shared" si="18"/>
        <v>0</v>
      </c>
      <c r="N69">
        <f t="shared" si="18"/>
        <v>0</v>
      </c>
      <c r="O69">
        <f t="shared" si="18"/>
        <v>0</v>
      </c>
      <c r="P69">
        <f t="shared" si="18"/>
        <v>0</v>
      </c>
      <c r="Q69">
        <f t="shared" si="18"/>
        <v>0</v>
      </c>
      <c r="R69">
        <f t="shared" si="18"/>
        <v>0</v>
      </c>
      <c r="S69">
        <f t="shared" si="18"/>
        <v>0</v>
      </c>
      <c r="BA69">
        <f t="shared" ref="BA69:BA75" ca="1" si="19">IF(OR($BA$1="13",$BA$1="16"),SUM(OFFSET(F69,0,1,1,12)),SUM(OFFSET(F69,0,1,1,$BA$1)))</f>
        <v>0</v>
      </c>
      <c r="BB69">
        <f t="shared" ref="BB69:BB75" ca="1" si="20">IF(OR($BA$1="13",$BA$1="16"),(OFFSET(F69,0,12,1,1)),(OFFSET(F69,0,$BA$1,1,1)))</f>
        <v>0</v>
      </c>
      <c r="CE69">
        <f>SUM(G69+H69+I69)</f>
        <v>0</v>
      </c>
      <c r="CF69">
        <f>SUM(J69+K69+L69)</f>
        <v>0</v>
      </c>
      <c r="CG69">
        <f>SUM(M69+N69+O69)</f>
        <v>0</v>
      </c>
      <c r="CH69">
        <f>SUM(P69+Q69+R69)</f>
        <v>0</v>
      </c>
    </row>
    <row r="70" spans="2:86" x14ac:dyDescent="0.2">
      <c r="B70" t="s">
        <v>3291</v>
      </c>
      <c r="C70">
        <v>465</v>
      </c>
      <c r="D70" t="s">
        <v>245</v>
      </c>
      <c r="F70">
        <f t="shared" si="17"/>
        <v>0</v>
      </c>
      <c r="BA70">
        <f t="shared" ca="1" si="19"/>
        <v>0</v>
      </c>
      <c r="BB70">
        <f t="shared" ca="1" si="20"/>
        <v>0</v>
      </c>
      <c r="CA70">
        <f>IF(OR(E70&gt;0,G70&gt;0,H70&gt;0,I70&gt;0,J70&gt;0,K70&gt;0,L70&gt;0,M70&gt;0,N70&gt;0,O70&gt;0,P70&gt;0,Q70&gt;0,R70&gt;0,S70&gt;0),1,0)</f>
        <v>0</v>
      </c>
      <c r="CE70" t="s">
        <v>3283</v>
      </c>
    </row>
    <row r="71" spans="2:86" x14ac:dyDescent="0.2">
      <c r="B71" t="s">
        <v>3292</v>
      </c>
      <c r="C71">
        <v>470</v>
      </c>
      <c r="D71" t="s">
        <v>251</v>
      </c>
      <c r="F71">
        <f t="shared" si="17"/>
        <v>0</v>
      </c>
      <c r="BA71">
        <f t="shared" ca="1" si="19"/>
        <v>0</v>
      </c>
      <c r="BB71">
        <f t="shared" ca="1" si="20"/>
        <v>0</v>
      </c>
      <c r="CE71">
        <f>SUM(G71:I71)</f>
        <v>0</v>
      </c>
      <c r="CF71">
        <f>SUM(G71:L71)</f>
        <v>0</v>
      </c>
      <c r="CG71">
        <f>SUM(G71:O71)</f>
        <v>0</v>
      </c>
    </row>
    <row r="72" spans="2:86" x14ac:dyDescent="0.2">
      <c r="B72" t="s">
        <v>3293</v>
      </c>
      <c r="C72">
        <v>480</v>
      </c>
      <c r="D72" t="s">
        <v>251</v>
      </c>
      <c r="F72">
        <f t="shared" si="17"/>
        <v>0</v>
      </c>
      <c r="BA72">
        <f t="shared" ca="1" si="19"/>
        <v>0</v>
      </c>
      <c r="BB72">
        <f t="shared" ca="1" si="20"/>
        <v>0</v>
      </c>
      <c r="CE72" t="s">
        <v>3283</v>
      </c>
    </row>
    <row r="73" spans="2:86" x14ac:dyDescent="0.2">
      <c r="B73" t="s">
        <v>3294</v>
      </c>
      <c r="C73">
        <v>485</v>
      </c>
      <c r="D73" t="s">
        <v>251</v>
      </c>
      <c r="E73">
        <f>E21*-1</f>
        <v>0</v>
      </c>
      <c r="F73">
        <f t="shared" si="17"/>
        <v>0</v>
      </c>
      <c r="G73">
        <f t="shared" ref="G73:S73" si="21">G21*-1</f>
        <v>0</v>
      </c>
      <c r="H73">
        <f t="shared" si="21"/>
        <v>0</v>
      </c>
      <c r="I73">
        <f t="shared" si="21"/>
        <v>0</v>
      </c>
      <c r="J73">
        <f t="shared" si="21"/>
        <v>0</v>
      </c>
      <c r="K73">
        <f t="shared" si="21"/>
        <v>0</v>
      </c>
      <c r="L73">
        <f t="shared" si="21"/>
        <v>0</v>
      </c>
      <c r="M73">
        <f t="shared" si="21"/>
        <v>0</v>
      </c>
      <c r="N73">
        <f t="shared" si="21"/>
        <v>0</v>
      </c>
      <c r="O73">
        <f t="shared" si="21"/>
        <v>0</v>
      </c>
      <c r="P73">
        <f t="shared" si="21"/>
        <v>0</v>
      </c>
      <c r="Q73">
        <f t="shared" si="21"/>
        <v>0</v>
      </c>
      <c r="R73">
        <f t="shared" si="21"/>
        <v>0</v>
      </c>
      <c r="S73">
        <f t="shared" si="21"/>
        <v>0</v>
      </c>
      <c r="BA73">
        <f t="shared" ca="1" si="19"/>
        <v>0</v>
      </c>
      <c r="BB73">
        <f t="shared" ca="1" si="20"/>
        <v>0</v>
      </c>
    </row>
    <row r="74" spans="2:86" x14ac:dyDescent="0.2">
      <c r="B74" t="s">
        <v>2233</v>
      </c>
      <c r="C74">
        <v>490</v>
      </c>
      <c r="D74" t="s">
        <v>251</v>
      </c>
      <c r="E74">
        <f>SUM(E61:E73)</f>
        <v>0</v>
      </c>
      <c r="F74">
        <f t="shared" si="17"/>
        <v>0</v>
      </c>
      <c r="G74">
        <f t="shared" ref="G74:S74" si="22">SUM(G61:G73)</f>
        <v>0</v>
      </c>
      <c r="H74">
        <f t="shared" si="22"/>
        <v>0</v>
      </c>
      <c r="I74">
        <f t="shared" si="22"/>
        <v>0</v>
      </c>
      <c r="J74">
        <f t="shared" si="22"/>
        <v>0</v>
      </c>
      <c r="K74">
        <f t="shared" si="22"/>
        <v>0</v>
      </c>
      <c r="L74">
        <f t="shared" si="22"/>
        <v>0</v>
      </c>
      <c r="M74">
        <f t="shared" si="22"/>
        <v>0</v>
      </c>
      <c r="N74">
        <f t="shared" si="22"/>
        <v>0</v>
      </c>
      <c r="O74">
        <f t="shared" si="22"/>
        <v>0</v>
      </c>
      <c r="P74">
        <f t="shared" si="22"/>
        <v>0</v>
      </c>
      <c r="Q74">
        <f t="shared" si="22"/>
        <v>0</v>
      </c>
      <c r="R74">
        <f t="shared" si="22"/>
        <v>0</v>
      </c>
      <c r="S74">
        <f t="shared" si="22"/>
        <v>0</v>
      </c>
      <c r="BA74">
        <f t="shared" ca="1" si="19"/>
        <v>0</v>
      </c>
      <c r="BB74">
        <f t="shared" ca="1" si="20"/>
        <v>0</v>
      </c>
      <c r="CE74">
        <f>SUM(G74:L74)</f>
        <v>0</v>
      </c>
      <c r="CF74">
        <f>SUM(G74:O74)</f>
        <v>0</v>
      </c>
    </row>
    <row r="75" spans="2:86" x14ac:dyDescent="0.2">
      <c r="B75" t="s">
        <v>2234</v>
      </c>
      <c r="C75">
        <v>500</v>
      </c>
      <c r="D75" t="s">
        <v>248</v>
      </c>
      <c r="F75">
        <f t="shared" si="17"/>
        <v>0</v>
      </c>
      <c r="BA75">
        <f t="shared" ca="1" si="19"/>
        <v>0</v>
      </c>
      <c r="BB75">
        <f t="shared" ca="1" si="20"/>
        <v>0</v>
      </c>
      <c r="CB75">
        <f>IF(OR(E75&lt;0,G75&lt;0,H75&lt;0,I75&lt;0,J75&lt;0,K75&lt;0,L75&lt;0,M75&lt;0,N75&lt;0,O75&lt;0,P75&lt;0,Q75&lt;0,R75&lt;0,S75&lt;0),1,0)</f>
        <v>0</v>
      </c>
      <c r="CE75">
        <f>SUM(G75:L75)*-1</f>
        <v>0</v>
      </c>
      <c r="CF75">
        <f>SUM(G75:O75)*-1</f>
        <v>0</v>
      </c>
      <c r="CG75">
        <f>SUM(G75:R75)*-1</f>
        <v>0</v>
      </c>
    </row>
    <row r="76" spans="2:86" x14ac:dyDescent="0.2">
      <c r="B76" t="s">
        <v>3295</v>
      </c>
      <c r="C76">
        <v>505</v>
      </c>
      <c r="D76" t="s">
        <v>251</v>
      </c>
    </row>
    <row r="77" spans="2:86" x14ac:dyDescent="0.2">
      <c r="B77" t="s">
        <v>2237</v>
      </c>
      <c r="C77">
        <v>510</v>
      </c>
      <c r="D77" t="s">
        <v>251</v>
      </c>
      <c r="E77">
        <f t="shared" ref="E77:S77" si="23">SUM(E74:E75)</f>
        <v>0</v>
      </c>
      <c r="F77">
        <f t="shared" si="23"/>
        <v>0</v>
      </c>
      <c r="G77">
        <f t="shared" si="23"/>
        <v>0</v>
      </c>
      <c r="H77">
        <f t="shared" si="23"/>
        <v>0</v>
      </c>
      <c r="I77">
        <f t="shared" si="23"/>
        <v>0</v>
      </c>
      <c r="J77">
        <f t="shared" si="23"/>
        <v>0</v>
      </c>
      <c r="K77">
        <f t="shared" si="23"/>
        <v>0</v>
      </c>
      <c r="L77">
        <f t="shared" si="23"/>
        <v>0</v>
      </c>
      <c r="M77">
        <f t="shared" si="23"/>
        <v>0</v>
      </c>
      <c r="N77">
        <f t="shared" si="23"/>
        <v>0</v>
      </c>
      <c r="O77">
        <f t="shared" si="23"/>
        <v>0</v>
      </c>
      <c r="P77">
        <f t="shared" si="23"/>
        <v>0</v>
      </c>
      <c r="Q77">
        <f t="shared" si="23"/>
        <v>0</v>
      </c>
      <c r="R77">
        <f t="shared" si="23"/>
        <v>0</v>
      </c>
      <c r="S77">
        <f t="shared" si="23"/>
        <v>0</v>
      </c>
      <c r="BA77">
        <f ca="1">IF(OR($BA$1="13",$BA$1="16"),SUM(OFFSET(F77,0,1,1,12)),SUM(OFFSET(F77,0,1,1,$BA$1)))</f>
        <v>0</v>
      </c>
      <c r="BB77">
        <f ca="1">IF(OR($BA$1="13",$BA$1="16"),(OFFSET(F77,0,12,1,1)),(OFFSET(F77,0,$BA$1,1,1)))</f>
        <v>0</v>
      </c>
    </row>
    <row r="81" spans="2:83" x14ac:dyDescent="0.2">
      <c r="D81" t="s">
        <v>25</v>
      </c>
      <c r="E81" t="s">
        <v>3278</v>
      </c>
      <c r="F81" t="s">
        <v>3279</v>
      </c>
      <c r="G81" t="s">
        <v>3280</v>
      </c>
      <c r="H81" t="s">
        <v>2025</v>
      </c>
      <c r="I81" t="s">
        <v>2026</v>
      </c>
      <c r="J81" t="s">
        <v>2027</v>
      </c>
      <c r="K81" t="s">
        <v>2028</v>
      </c>
      <c r="L81" t="s">
        <v>2029</v>
      </c>
      <c r="M81" t="s">
        <v>2030</v>
      </c>
      <c r="N81" t="s">
        <v>2031</v>
      </c>
      <c r="O81" t="s">
        <v>2032</v>
      </c>
      <c r="P81" t="s">
        <v>2033</v>
      </c>
      <c r="Q81" t="s">
        <v>2034</v>
      </c>
      <c r="R81" t="s">
        <v>2035</v>
      </c>
      <c r="S81" t="s">
        <v>3281</v>
      </c>
    </row>
    <row r="82" spans="2:83" x14ac:dyDescent="0.2">
      <c r="B82" t="s">
        <v>3296</v>
      </c>
      <c r="C82" t="s">
        <v>238</v>
      </c>
      <c r="E82" t="s">
        <v>2036</v>
      </c>
      <c r="F82" t="s">
        <v>2037</v>
      </c>
      <c r="G82" t="s">
        <v>2038</v>
      </c>
      <c r="H82" t="s">
        <v>2039</v>
      </c>
      <c r="I82" t="s">
        <v>2040</v>
      </c>
      <c r="J82" t="s">
        <v>2041</v>
      </c>
      <c r="K82" t="s">
        <v>2042</v>
      </c>
      <c r="L82" t="s">
        <v>2043</v>
      </c>
      <c r="M82" t="s">
        <v>2044</v>
      </c>
      <c r="N82" t="s">
        <v>2045</v>
      </c>
      <c r="O82" t="s">
        <v>2046</v>
      </c>
      <c r="P82" t="s">
        <v>2047</v>
      </c>
      <c r="Q82" t="s">
        <v>2048</v>
      </c>
      <c r="R82" t="s">
        <v>2049</v>
      </c>
      <c r="S82" t="s">
        <v>2050</v>
      </c>
    </row>
    <row r="83" spans="2:83" x14ac:dyDescent="0.2">
      <c r="C83" t="s">
        <v>242</v>
      </c>
      <c r="E83" t="s">
        <v>243</v>
      </c>
      <c r="F83" t="s">
        <v>243</v>
      </c>
      <c r="G83" t="s">
        <v>243</v>
      </c>
      <c r="H83" t="s">
        <v>243</v>
      </c>
      <c r="I83" t="s">
        <v>243</v>
      </c>
      <c r="J83" t="s">
        <v>243</v>
      </c>
      <c r="K83" t="s">
        <v>243</v>
      </c>
      <c r="L83" t="s">
        <v>243</v>
      </c>
      <c r="M83" t="s">
        <v>243</v>
      </c>
      <c r="N83" t="s">
        <v>243</v>
      </c>
      <c r="O83" t="s">
        <v>243</v>
      </c>
      <c r="P83" t="s">
        <v>243</v>
      </c>
      <c r="Q83" t="s">
        <v>243</v>
      </c>
      <c r="R83" t="s">
        <v>243</v>
      </c>
      <c r="S83" t="s">
        <v>243</v>
      </c>
      <c r="CE83" t="s">
        <v>3297</v>
      </c>
    </row>
    <row r="84" spans="2:83" x14ac:dyDescent="0.2">
      <c r="B84" t="s">
        <v>3298</v>
      </c>
      <c r="C84">
        <v>550</v>
      </c>
      <c r="D84" t="s">
        <v>245</v>
      </c>
      <c r="F84">
        <f>SUM(G84:R84)</f>
        <v>0</v>
      </c>
      <c r="BA84">
        <f ca="1">IF(OR($BA$1="13",$BA$1="16"),SUM(OFFSET(F84,0,1,1,12)),SUM(OFFSET(F84,0,1,1,$BA$1)))</f>
        <v>0</v>
      </c>
      <c r="BB84">
        <f ca="1">IF(OR($BA$1="13",$BA$1="16"),(OFFSET(F84,0,12,1,1)),(OFFSET(F84,0,$BA$1,1,1)))</f>
        <v>0</v>
      </c>
      <c r="CA84">
        <f>IF(OR(E84&gt;0,G84&gt;0,H84&gt;0,I84&gt;0,J84&gt;0,K84&gt;0,L84&gt;0,M84&gt;0,N84&gt;0,O84&gt;0,P84&gt;0,Q84&gt;0,R84&gt;0,S84&gt;0),1,0)</f>
        <v>0</v>
      </c>
      <c r="CC84">
        <f>IF(OR(CE84&lt;-E84,CF84&lt;-F84,CG84&lt;-S84),1,0)</f>
        <v>0</v>
      </c>
      <c r="CD84">
        <f>IF(AND(E84&lt;0,F84&lt;0,S84&lt;0),0,1)</f>
        <v>1</v>
      </c>
    </row>
    <row r="85" spans="2:83" x14ac:dyDescent="0.2">
      <c r="B85" t="s">
        <v>3299</v>
      </c>
      <c r="C85">
        <v>560</v>
      </c>
      <c r="D85" t="s">
        <v>248</v>
      </c>
      <c r="F85">
        <f>SUM(G85:R85)</f>
        <v>0</v>
      </c>
      <c r="BA85">
        <f ca="1">IF(OR($BA$1="13",$BA$1="16"),SUM(OFFSET(F85,0,1,1,12)),SUM(OFFSET(F85,0,1,1,$BA$1)))</f>
        <v>0</v>
      </c>
      <c r="BB85">
        <f ca="1">IF(OR($BA$1="13",$BA$1="16"),(OFFSET(F85,0,12,1,1)),(OFFSET(F85,0,$BA$1,1,1)))</f>
        <v>0</v>
      </c>
      <c r="CB85">
        <f>IF(OR(E85&lt;0,G85&lt;0,H85&lt;0,I85&lt;0,J85&lt;0,K85&lt;0,L85&lt;0,M85&lt;0,N85&lt;0,O85&lt;0,P85&lt;0,Q85&lt;0,R85&lt;0,S85&lt;0),1,0)</f>
        <v>0</v>
      </c>
    </row>
    <row r="86" spans="2:83" x14ac:dyDescent="0.2">
      <c r="B86" t="s">
        <v>926</v>
      </c>
      <c r="C86">
        <v>570</v>
      </c>
      <c r="D86" t="s">
        <v>251</v>
      </c>
      <c r="E86">
        <f t="shared" ref="E86:S86" si="24">SUM(E84:E85)</f>
        <v>0</v>
      </c>
      <c r="F86">
        <f t="shared" si="24"/>
        <v>0</v>
      </c>
      <c r="G86">
        <f t="shared" si="24"/>
        <v>0</v>
      </c>
      <c r="H86">
        <f t="shared" si="24"/>
        <v>0</v>
      </c>
      <c r="I86">
        <f t="shared" si="24"/>
        <v>0</v>
      </c>
      <c r="J86">
        <f t="shared" si="24"/>
        <v>0</v>
      </c>
      <c r="K86">
        <f t="shared" si="24"/>
        <v>0</v>
      </c>
      <c r="L86">
        <f t="shared" si="24"/>
        <v>0</v>
      </c>
      <c r="M86">
        <f t="shared" si="24"/>
        <v>0</v>
      </c>
      <c r="N86">
        <f t="shared" si="24"/>
        <v>0</v>
      </c>
      <c r="O86">
        <f t="shared" si="24"/>
        <v>0</v>
      </c>
      <c r="P86">
        <f t="shared" si="24"/>
        <v>0</v>
      </c>
      <c r="Q86">
        <f t="shared" si="24"/>
        <v>0</v>
      </c>
      <c r="R86">
        <f t="shared" si="24"/>
        <v>0</v>
      </c>
      <c r="S86">
        <f t="shared" si="24"/>
        <v>0</v>
      </c>
      <c r="BA86">
        <f ca="1">IF(OR($BA$1="13",$BA$1="16"),SUM(OFFSET(F86,0,1,1,12)),SUM(OFFSET(F86,0,1,1,$BA$1)))</f>
        <v>0</v>
      </c>
      <c r="BB86">
        <f ca="1">IF(OR($BA$1="13",$BA$1="16"),(OFFSET(F86,0,12,1,1)),(OFFSET(F86,0,$BA$1,1,1)))</f>
        <v>0</v>
      </c>
    </row>
  </sheetData>
  <sheetProtection sheet="1" objects="1" scenarios="1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CP91"/>
  <sheetViews>
    <sheetView zoomScale="70" zoomScaleNormal="70" workbookViewId="0"/>
  </sheetViews>
  <sheetFormatPr defaultRowHeight="12.75" x14ac:dyDescent="0.2"/>
  <sheetData>
    <row r="1" spans="1:85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5" x14ac:dyDescent="0.2">
      <c r="A2" t="s">
        <v>3727</v>
      </c>
    </row>
    <row r="3" spans="1:85" x14ac:dyDescent="0.2">
      <c r="A3" t="s">
        <v>3787</v>
      </c>
    </row>
    <row r="4" spans="1:85" x14ac:dyDescent="0.2">
      <c r="B4" t="s">
        <v>2187</v>
      </c>
    </row>
    <row r="6" spans="1:85" x14ac:dyDescent="0.2">
      <c r="B6" t="s">
        <v>74</v>
      </c>
      <c r="E6" t="s">
        <v>2088</v>
      </c>
      <c r="G6" t="s">
        <v>2089</v>
      </c>
      <c r="J6" t="s">
        <v>241</v>
      </c>
      <c r="CA6" t="s">
        <v>230</v>
      </c>
      <c r="CB6">
        <f>0</f>
        <v>0</v>
      </c>
      <c r="CC6" t="s">
        <v>2188</v>
      </c>
      <c r="CD6" t="s">
        <v>2188</v>
      </c>
      <c r="CE6" t="s">
        <v>2189</v>
      </c>
      <c r="CF6" t="s">
        <v>2190</v>
      </c>
      <c r="CG6" t="s">
        <v>2191</v>
      </c>
    </row>
    <row r="7" spans="1:85" x14ac:dyDescent="0.2">
      <c r="C7" t="s">
        <v>238</v>
      </c>
      <c r="D7" t="s">
        <v>1561</v>
      </c>
      <c r="E7" t="s">
        <v>2091</v>
      </c>
      <c r="F7" t="s">
        <v>2021</v>
      </c>
      <c r="G7" t="s">
        <v>2092</v>
      </c>
      <c r="H7" t="s">
        <v>2023</v>
      </c>
      <c r="I7" t="s">
        <v>2021</v>
      </c>
      <c r="J7" t="s">
        <v>1048</v>
      </c>
      <c r="K7" t="s">
        <v>2023</v>
      </c>
      <c r="CA7" t="s">
        <v>231</v>
      </c>
      <c r="CB7" t="s">
        <v>232</v>
      </c>
      <c r="CC7" t="s">
        <v>2192</v>
      </c>
      <c r="CD7" t="s">
        <v>2193</v>
      </c>
      <c r="CE7" t="s">
        <v>2194</v>
      </c>
      <c r="CF7" t="s">
        <v>2195</v>
      </c>
      <c r="CG7" t="s">
        <v>2196</v>
      </c>
    </row>
    <row r="8" spans="1:85" x14ac:dyDescent="0.2">
      <c r="C8" t="s">
        <v>242</v>
      </c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CA8">
        <f t="shared" ref="CA8:CG8" si="0">SUM(CA9:CA92)</f>
        <v>0</v>
      </c>
      <c r="CB8">
        <f t="shared" si="0"/>
        <v>0</v>
      </c>
      <c r="CC8">
        <f t="shared" si="0"/>
        <v>0</v>
      </c>
      <c r="CD8">
        <f t="shared" si="0"/>
        <v>0</v>
      </c>
      <c r="CE8">
        <f t="shared" si="0"/>
        <v>1</v>
      </c>
      <c r="CF8">
        <f t="shared" si="0"/>
        <v>0</v>
      </c>
      <c r="CG8">
        <f t="shared" si="0"/>
        <v>1</v>
      </c>
    </row>
    <row r="9" spans="1:85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</row>
    <row r="10" spans="1:85" x14ac:dyDescent="0.2">
      <c r="B10" t="s">
        <v>244</v>
      </c>
      <c r="C10">
        <v>100</v>
      </c>
      <c r="D10" t="s">
        <v>245</v>
      </c>
      <c r="H10">
        <f>G10-F10</f>
        <v>0</v>
      </c>
      <c r="K10">
        <f>J10-I10</f>
        <v>0</v>
      </c>
      <c r="CA10">
        <f>IF(OR(G10&gt;0,J10&gt;0),1,0)</f>
        <v>0</v>
      </c>
      <c r="CD10">
        <f>IF(J10&gt;G10,1,0)</f>
        <v>0</v>
      </c>
    </row>
    <row r="11" spans="1:85" x14ac:dyDescent="0.2">
      <c r="B11" t="s">
        <v>246</v>
      </c>
      <c r="C11">
        <v>110</v>
      </c>
      <c r="D11" t="s">
        <v>245</v>
      </c>
      <c r="H11">
        <f>G11-F11</f>
        <v>0</v>
      </c>
      <c r="K11">
        <f>J11-I11</f>
        <v>0</v>
      </c>
      <c r="CA11">
        <f>IF(OR(G11&gt;0,J11&gt;0),1,0)</f>
        <v>0</v>
      </c>
      <c r="CD11">
        <f>IF(J11&gt;G11,1,0)</f>
        <v>0</v>
      </c>
    </row>
    <row r="12" spans="1:85" x14ac:dyDescent="0.2">
      <c r="B12" t="s">
        <v>247</v>
      </c>
      <c r="C12">
        <v>120</v>
      </c>
      <c r="D12" t="s">
        <v>248</v>
      </c>
      <c r="H12">
        <f>G12-F12</f>
        <v>0</v>
      </c>
      <c r="K12">
        <f>J12-I12</f>
        <v>0</v>
      </c>
      <c r="CB12">
        <f>IF(OR(G12&lt;0,J12&lt;0),1,0)</f>
        <v>0</v>
      </c>
      <c r="CC12">
        <f>IF(J12&lt;G12,1,0)</f>
        <v>0</v>
      </c>
    </row>
    <row r="13" spans="1:85" x14ac:dyDescent="0.2">
      <c r="B13" t="s">
        <v>249</v>
      </c>
      <c r="C13">
        <v>130</v>
      </c>
      <c r="D13" t="s">
        <v>248</v>
      </c>
      <c r="H13">
        <f>G13-F13</f>
        <v>0</v>
      </c>
      <c r="K13">
        <f>J13-I13</f>
        <v>0</v>
      </c>
      <c r="CB13">
        <f>IF(OR(G13&lt;0,J13&lt;0),1,0)</f>
        <v>0</v>
      </c>
      <c r="CC13">
        <f>IF(J13&lt;G13,1,0)</f>
        <v>0</v>
      </c>
    </row>
    <row r="14" spans="1:85" x14ac:dyDescent="0.2">
      <c r="B14" t="s">
        <v>250</v>
      </c>
      <c r="C14">
        <v>140</v>
      </c>
      <c r="D14" t="s">
        <v>251</v>
      </c>
      <c r="E14">
        <f t="shared" ref="E14:K14" si="1">SUM(E10:E13)</f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</row>
    <row r="15" spans="1:85" x14ac:dyDescent="0.2">
      <c r="B15" t="s">
        <v>111</v>
      </c>
      <c r="C15">
        <v>150</v>
      </c>
      <c r="D15" t="s">
        <v>248</v>
      </c>
      <c r="H15">
        <f>G15-F15</f>
        <v>0</v>
      </c>
      <c r="K15">
        <f>J15-I15</f>
        <v>0</v>
      </c>
      <c r="CB15">
        <f>IF(OR(G15&lt;0,J15&lt;0),1,0)</f>
        <v>0</v>
      </c>
      <c r="CC15">
        <f>IF(J15&lt;G15,1,0)</f>
        <v>0</v>
      </c>
    </row>
    <row r="16" spans="1:85" x14ac:dyDescent="0.2">
      <c r="B16" t="s">
        <v>2197</v>
      </c>
      <c r="C16">
        <v>160</v>
      </c>
      <c r="D16" t="s">
        <v>251</v>
      </c>
      <c r="H16">
        <f>G16-F16</f>
        <v>0</v>
      </c>
      <c r="K16">
        <f>J16-I16</f>
        <v>0</v>
      </c>
    </row>
    <row r="17" spans="2:82" x14ac:dyDescent="0.2">
      <c r="B17" t="s">
        <v>2198</v>
      </c>
      <c r="C17">
        <v>170</v>
      </c>
      <c r="D17" t="s">
        <v>245</v>
      </c>
      <c r="H17">
        <f>G17-F17</f>
        <v>0</v>
      </c>
      <c r="K17">
        <f>J17-I17</f>
        <v>0</v>
      </c>
      <c r="CA17">
        <f>IF(OR(G17&gt;0,J17&gt;0),1,0)</f>
        <v>0</v>
      </c>
      <c r="CD17">
        <f>IF(J17&gt;G17,1,0)</f>
        <v>0</v>
      </c>
    </row>
    <row r="18" spans="2:82" x14ac:dyDescent="0.2">
      <c r="B18" t="s">
        <v>2199</v>
      </c>
      <c r="C18">
        <v>175</v>
      </c>
      <c r="D18" t="s">
        <v>245</v>
      </c>
    </row>
    <row r="19" spans="2:82" x14ac:dyDescent="0.2">
      <c r="B19" t="s">
        <v>2200</v>
      </c>
      <c r="C19">
        <v>180</v>
      </c>
      <c r="D19" t="s">
        <v>251</v>
      </c>
      <c r="E19">
        <f t="shared" ref="E19:K19" si="2">SUM(E14:E17)</f>
        <v>0</v>
      </c>
      <c r="F19">
        <f t="shared" si="2"/>
        <v>0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0</v>
      </c>
      <c r="K19">
        <f t="shared" si="2"/>
        <v>0</v>
      </c>
    </row>
    <row r="20" spans="2:82" x14ac:dyDescent="0.2">
      <c r="B20" t="s">
        <v>253</v>
      </c>
      <c r="C20">
        <v>190</v>
      </c>
      <c r="D20" t="s">
        <v>245</v>
      </c>
      <c r="H20">
        <f>G20-F20</f>
        <v>0</v>
      </c>
      <c r="K20">
        <f>J20-I20</f>
        <v>0</v>
      </c>
      <c r="CA20">
        <f>IF(OR(G20&gt;0,J20&gt;0),1,0)</f>
        <v>0</v>
      </c>
      <c r="CD20">
        <f>IF(J20&gt;G20,1,0)</f>
        <v>0</v>
      </c>
    </row>
    <row r="21" spans="2:82" x14ac:dyDescent="0.2">
      <c r="B21" t="s">
        <v>2201</v>
      </c>
      <c r="C21">
        <v>195</v>
      </c>
      <c r="D21" t="s">
        <v>251</v>
      </c>
      <c r="H21">
        <f>G21-F21</f>
        <v>0</v>
      </c>
      <c r="K21">
        <f>J21-I21</f>
        <v>0</v>
      </c>
    </row>
    <row r="22" spans="2:82" x14ac:dyDescent="0.2">
      <c r="B22" t="s">
        <v>2202</v>
      </c>
      <c r="C22">
        <v>200</v>
      </c>
      <c r="D22" t="s">
        <v>251</v>
      </c>
      <c r="E22">
        <f t="shared" ref="E22:K22" si="3">SUM(E19:E21)</f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0</v>
      </c>
    </row>
    <row r="23" spans="2:82" x14ac:dyDescent="0.2">
      <c r="B23" t="s">
        <v>2006</v>
      </c>
      <c r="C23">
        <v>210</v>
      </c>
      <c r="D23" t="s">
        <v>251</v>
      </c>
      <c r="H23">
        <f>G23-F23</f>
        <v>0</v>
      </c>
      <c r="K23">
        <f>J23-I23</f>
        <v>0</v>
      </c>
    </row>
    <row r="24" spans="2:82" x14ac:dyDescent="0.2">
      <c r="B24" t="s">
        <v>2203</v>
      </c>
      <c r="C24">
        <v>220</v>
      </c>
      <c r="D24" t="s">
        <v>251</v>
      </c>
      <c r="E24">
        <f t="shared" ref="E24:K24" si="4">SUM(E22:E23)</f>
        <v>0</v>
      </c>
      <c r="F24">
        <f t="shared" si="4"/>
        <v>0</v>
      </c>
      <c r="G24">
        <f t="shared" si="4"/>
        <v>0</v>
      </c>
      <c r="H24">
        <f t="shared" si="4"/>
        <v>0</v>
      </c>
      <c r="I24">
        <f t="shared" si="4"/>
        <v>0</v>
      </c>
      <c r="J24">
        <f t="shared" si="4"/>
        <v>0</v>
      </c>
      <c r="K24">
        <f t="shared" si="4"/>
        <v>0</v>
      </c>
    </row>
    <row r="42" spans="2:11" x14ac:dyDescent="0.2">
      <c r="E42" t="s">
        <v>2088</v>
      </c>
      <c r="G42" t="s">
        <v>2089</v>
      </c>
      <c r="J42" t="s">
        <v>241</v>
      </c>
    </row>
    <row r="43" spans="2:11" x14ac:dyDescent="0.2">
      <c r="B43" t="s">
        <v>2204</v>
      </c>
      <c r="C43" t="s">
        <v>242</v>
      </c>
      <c r="D43" t="s">
        <v>25</v>
      </c>
      <c r="E43" t="s">
        <v>2091</v>
      </c>
      <c r="F43" t="s">
        <v>2021</v>
      </c>
      <c r="G43" t="s">
        <v>2092</v>
      </c>
      <c r="H43" t="s">
        <v>2023</v>
      </c>
      <c r="I43" t="s">
        <v>2021</v>
      </c>
      <c r="J43" t="s">
        <v>1048</v>
      </c>
      <c r="K43" t="s">
        <v>2023</v>
      </c>
    </row>
    <row r="44" spans="2:11" x14ac:dyDescent="0.2">
      <c r="E44" t="s">
        <v>2036</v>
      </c>
      <c r="F44" t="s">
        <v>2037</v>
      </c>
      <c r="G44" t="s">
        <v>2038</v>
      </c>
      <c r="H44" t="s">
        <v>2039</v>
      </c>
      <c r="I44" t="s">
        <v>2040</v>
      </c>
      <c r="J44" t="s">
        <v>2041</v>
      </c>
      <c r="K44" t="s">
        <v>2042</v>
      </c>
    </row>
    <row r="45" spans="2:11" x14ac:dyDescent="0.2">
      <c r="E45" t="s">
        <v>243</v>
      </c>
      <c r="F45" t="s">
        <v>243</v>
      </c>
      <c r="G45" t="s">
        <v>243</v>
      </c>
      <c r="H45" t="s">
        <v>243</v>
      </c>
      <c r="I45" t="s">
        <v>243</v>
      </c>
      <c r="J45" t="s">
        <v>243</v>
      </c>
      <c r="K45" t="s">
        <v>243</v>
      </c>
    </row>
    <row r="46" spans="2:11" x14ac:dyDescent="0.2">
      <c r="B46" t="s">
        <v>2205</v>
      </c>
      <c r="C46">
        <v>350</v>
      </c>
      <c r="D46" t="s">
        <v>251</v>
      </c>
      <c r="E46">
        <f>E22</f>
        <v>0</v>
      </c>
      <c r="F46">
        <f>F22</f>
        <v>0</v>
      </c>
      <c r="G46">
        <f>G22</f>
        <v>0</v>
      </c>
      <c r="H46">
        <f t="shared" ref="H46:H53" si="5">G46-F46</f>
        <v>0</v>
      </c>
      <c r="I46">
        <f>I22</f>
        <v>0</v>
      </c>
      <c r="J46">
        <f>J22</f>
        <v>0</v>
      </c>
      <c r="K46">
        <f t="shared" ref="K46:K53" si="6">J46-I46</f>
        <v>0</v>
      </c>
    </row>
    <row r="47" spans="2:11" x14ac:dyDescent="0.2">
      <c r="B47" t="s">
        <v>2206</v>
      </c>
      <c r="C47">
        <v>351</v>
      </c>
      <c r="D47" t="s">
        <v>251</v>
      </c>
      <c r="G47">
        <f>G23</f>
        <v>0</v>
      </c>
      <c r="H47">
        <f t="shared" si="5"/>
        <v>0</v>
      </c>
      <c r="J47">
        <f>J23</f>
        <v>0</v>
      </c>
      <c r="K47">
        <f t="shared" si="6"/>
        <v>0</v>
      </c>
    </row>
    <row r="48" spans="2:11" x14ac:dyDescent="0.2">
      <c r="B48" t="s">
        <v>2207</v>
      </c>
      <c r="C48">
        <v>354</v>
      </c>
      <c r="D48" t="s">
        <v>251</v>
      </c>
      <c r="H48">
        <f t="shared" si="5"/>
        <v>0</v>
      </c>
      <c r="K48">
        <f t="shared" si="6"/>
        <v>0</v>
      </c>
    </row>
    <row r="49" spans="2:80" x14ac:dyDescent="0.2">
      <c r="B49" t="s">
        <v>2208</v>
      </c>
      <c r="C49">
        <v>358</v>
      </c>
      <c r="D49" t="s">
        <v>251</v>
      </c>
      <c r="H49">
        <f t="shared" si="5"/>
        <v>0</v>
      </c>
      <c r="K49">
        <f t="shared" si="6"/>
        <v>0</v>
      </c>
    </row>
    <row r="50" spans="2:80" x14ac:dyDescent="0.2">
      <c r="B50" t="s">
        <v>2209</v>
      </c>
      <c r="C50">
        <v>360</v>
      </c>
      <c r="D50" t="s">
        <v>251</v>
      </c>
      <c r="E50">
        <f>IF(E49&lt;0,(0+E48),E49+E48)</f>
        <v>0</v>
      </c>
      <c r="F50">
        <f>IF(F49&lt;0,(0+F48),F49+F48)</f>
        <v>0</v>
      </c>
      <c r="G50">
        <f>IF(G49&lt;0,(0+G48),G49+G48)</f>
        <v>0</v>
      </c>
      <c r="H50">
        <f t="shared" si="5"/>
        <v>0</v>
      </c>
      <c r="I50">
        <f>IF(I49&lt;0,(0+I48),I49+I48)</f>
        <v>0</v>
      </c>
      <c r="J50">
        <f>IF(J49&lt;0,(0+J48),J49+J48)</f>
        <v>0</v>
      </c>
      <c r="K50">
        <f t="shared" si="6"/>
        <v>0</v>
      </c>
    </row>
    <row r="51" spans="2:80" x14ac:dyDescent="0.2">
      <c r="B51" t="s">
        <v>2210</v>
      </c>
      <c r="C51">
        <v>370</v>
      </c>
      <c r="D51" t="s">
        <v>251</v>
      </c>
      <c r="H51">
        <f t="shared" si="5"/>
        <v>0</v>
      </c>
      <c r="K51">
        <f t="shared" si="6"/>
        <v>0</v>
      </c>
    </row>
    <row r="52" spans="2:80" x14ac:dyDescent="0.2">
      <c r="B52" t="s">
        <v>2211</v>
      </c>
      <c r="C52">
        <v>380</v>
      </c>
      <c r="D52" t="s">
        <v>251</v>
      </c>
      <c r="E52">
        <f>E83</f>
        <v>0</v>
      </c>
      <c r="F52">
        <f>F83</f>
        <v>0</v>
      </c>
      <c r="G52">
        <f>G83</f>
        <v>0</v>
      </c>
      <c r="H52">
        <f t="shared" si="5"/>
        <v>0</v>
      </c>
      <c r="I52">
        <f>I83</f>
        <v>0</v>
      </c>
      <c r="J52">
        <f>J83</f>
        <v>0</v>
      </c>
      <c r="K52">
        <f t="shared" si="6"/>
        <v>0</v>
      </c>
    </row>
    <row r="53" spans="2:80" x14ac:dyDescent="0.2">
      <c r="B53" t="s">
        <v>2212</v>
      </c>
      <c r="C53">
        <v>385</v>
      </c>
      <c r="D53" t="s">
        <v>251</v>
      </c>
      <c r="G53">
        <f>G21*-1</f>
        <v>0</v>
      </c>
      <c r="H53">
        <f t="shared" si="5"/>
        <v>0</v>
      </c>
      <c r="J53">
        <f>J21*-1</f>
        <v>0</v>
      </c>
      <c r="K53">
        <f t="shared" si="6"/>
        <v>0</v>
      </c>
    </row>
    <row r="54" spans="2:80" x14ac:dyDescent="0.2">
      <c r="B54" t="s">
        <v>2102</v>
      </c>
      <c r="C54">
        <v>390</v>
      </c>
      <c r="D54" t="s">
        <v>251</v>
      </c>
      <c r="E54">
        <f t="shared" ref="E54:K54" si="7">SUM(E46+E50+E47+E51+E52+E53)</f>
        <v>0</v>
      </c>
      <c r="F54">
        <f t="shared" si="7"/>
        <v>0</v>
      </c>
      <c r="G54">
        <f t="shared" si="7"/>
        <v>0</v>
      </c>
      <c r="H54">
        <f t="shared" si="7"/>
        <v>0</v>
      </c>
      <c r="I54">
        <f t="shared" si="7"/>
        <v>0</v>
      </c>
      <c r="J54">
        <f t="shared" si="7"/>
        <v>0</v>
      </c>
      <c r="K54">
        <f t="shared" si="7"/>
        <v>0</v>
      </c>
    </row>
    <row r="57" spans="2:80" x14ac:dyDescent="0.2">
      <c r="B57" t="s">
        <v>2105</v>
      </c>
      <c r="C57" t="s">
        <v>238</v>
      </c>
      <c r="D57" t="s">
        <v>25</v>
      </c>
      <c r="E57" t="s">
        <v>2088</v>
      </c>
      <c r="G57" t="s">
        <v>2089</v>
      </c>
      <c r="J57" t="s">
        <v>241</v>
      </c>
    </row>
    <row r="58" spans="2:80" x14ac:dyDescent="0.2">
      <c r="B58" t="s">
        <v>2213</v>
      </c>
      <c r="C58" t="s">
        <v>242</v>
      </c>
      <c r="E58" t="s">
        <v>2091</v>
      </c>
      <c r="F58" t="s">
        <v>2021</v>
      </c>
      <c r="G58" t="s">
        <v>2092</v>
      </c>
      <c r="H58" t="s">
        <v>2023</v>
      </c>
      <c r="I58" t="s">
        <v>2021</v>
      </c>
      <c r="J58" t="s">
        <v>1048</v>
      </c>
      <c r="K58" t="s">
        <v>2023</v>
      </c>
    </row>
    <row r="59" spans="2:80" x14ac:dyDescent="0.2">
      <c r="E59" t="s">
        <v>2036</v>
      </c>
      <c r="F59" t="s">
        <v>2037</v>
      </c>
      <c r="G59" t="s">
        <v>2038</v>
      </c>
      <c r="H59" t="s">
        <v>2039</v>
      </c>
      <c r="I59" t="s">
        <v>2040</v>
      </c>
      <c r="J59" t="s">
        <v>2041</v>
      </c>
      <c r="K59" t="s">
        <v>2042</v>
      </c>
    </row>
    <row r="60" spans="2:80" x14ac:dyDescent="0.2">
      <c r="E60" t="s">
        <v>243</v>
      </c>
      <c r="F60" t="s">
        <v>243</v>
      </c>
      <c r="G60" t="s">
        <v>243</v>
      </c>
      <c r="H60" t="s">
        <v>243</v>
      </c>
      <c r="I60" t="s">
        <v>243</v>
      </c>
      <c r="J60" t="s">
        <v>243</v>
      </c>
      <c r="K60" t="s">
        <v>243</v>
      </c>
    </row>
    <row r="61" spans="2:80" x14ac:dyDescent="0.2">
      <c r="B61" t="s">
        <v>2214</v>
      </c>
      <c r="C61">
        <v>400</v>
      </c>
      <c r="D61" t="s">
        <v>251</v>
      </c>
      <c r="E61">
        <f t="shared" ref="E61:J61" si="8">E24</f>
        <v>0</v>
      </c>
      <c r="F61">
        <f t="shared" si="8"/>
        <v>0</v>
      </c>
      <c r="G61">
        <f t="shared" si="8"/>
        <v>0</v>
      </c>
      <c r="H61">
        <f t="shared" si="8"/>
        <v>0</v>
      </c>
      <c r="I61">
        <f t="shared" si="8"/>
        <v>0</v>
      </c>
      <c r="J61">
        <f t="shared" si="8"/>
        <v>0</v>
      </c>
      <c r="K61">
        <f>J61-I61</f>
        <v>0</v>
      </c>
    </row>
    <row r="62" spans="2:80" x14ac:dyDescent="0.2">
      <c r="B62" t="s">
        <v>2215</v>
      </c>
      <c r="C62">
        <v>405</v>
      </c>
      <c r="D62" t="s">
        <v>251</v>
      </c>
    </row>
    <row r="63" spans="2:80" x14ac:dyDescent="0.2">
      <c r="B63" t="s">
        <v>2216</v>
      </c>
      <c r="C63">
        <v>410</v>
      </c>
      <c r="D63" t="s">
        <v>248</v>
      </c>
      <c r="H63">
        <f>G63-F63</f>
        <v>0</v>
      </c>
      <c r="K63">
        <f>J63-I63</f>
        <v>0</v>
      </c>
      <c r="CB63">
        <f>IF(OR(G63&lt;0,J63&lt;0),1,0)</f>
        <v>0</v>
      </c>
    </row>
    <row r="64" spans="2:80" x14ac:dyDescent="0.2">
      <c r="B64" t="s">
        <v>2217</v>
      </c>
      <c r="C64">
        <v>420</v>
      </c>
      <c r="D64" t="s">
        <v>248</v>
      </c>
      <c r="H64">
        <f>G64-F64</f>
        <v>0</v>
      </c>
      <c r="K64">
        <f>J64-I64</f>
        <v>0</v>
      </c>
      <c r="CB64">
        <f>IF(OR(G64&lt;0,J64&lt;0),1,0)</f>
        <v>0</v>
      </c>
    </row>
    <row r="65" spans="2:94" x14ac:dyDescent="0.2">
      <c r="B65" t="s">
        <v>2218</v>
      </c>
      <c r="C65">
        <v>425</v>
      </c>
      <c r="D65" t="s">
        <v>251</v>
      </c>
      <c r="G65">
        <f>G48+G51</f>
        <v>0</v>
      </c>
      <c r="H65">
        <f>G65-F65</f>
        <v>0</v>
      </c>
      <c r="J65">
        <f>J48+J51</f>
        <v>0</v>
      </c>
      <c r="K65">
        <f>J65-I65</f>
        <v>0</v>
      </c>
      <c r="CK65" t="s">
        <v>2219</v>
      </c>
    </row>
    <row r="66" spans="2:94" x14ac:dyDescent="0.2">
      <c r="B66" t="s">
        <v>2220</v>
      </c>
      <c r="C66">
        <v>430</v>
      </c>
      <c r="D66" t="s">
        <v>245</v>
      </c>
      <c r="G66">
        <f>G15*-1</f>
        <v>0</v>
      </c>
      <c r="H66">
        <f>G66-F66</f>
        <v>0</v>
      </c>
      <c r="J66">
        <f>J15*-1</f>
        <v>0</v>
      </c>
      <c r="K66">
        <f>J66-I66</f>
        <v>0</v>
      </c>
      <c r="CA66">
        <f>IF(OR(G66&gt;0,J66&gt;0),1,0)</f>
        <v>0</v>
      </c>
      <c r="CK66">
        <f>E12++E13+E70</f>
        <v>0</v>
      </c>
      <c r="CL66">
        <f>F12+F13+F70</f>
        <v>0</v>
      </c>
      <c r="CM66">
        <f>G12+G13+G70</f>
        <v>0</v>
      </c>
      <c r="CO66">
        <f>I12+I13+I70</f>
        <v>0</v>
      </c>
      <c r="CP66">
        <f>J12+J13+J70</f>
        <v>0</v>
      </c>
    </row>
    <row r="67" spans="2:94" x14ac:dyDescent="0.2">
      <c r="B67" t="s">
        <v>2198</v>
      </c>
      <c r="C67">
        <v>440</v>
      </c>
      <c r="D67" t="s">
        <v>248</v>
      </c>
      <c r="G67">
        <f>G17*-1</f>
        <v>0</v>
      </c>
      <c r="H67">
        <f>G67-F67</f>
        <v>0</v>
      </c>
      <c r="J67">
        <f>J17*-1</f>
        <v>0</v>
      </c>
      <c r="K67">
        <f>J67-I67</f>
        <v>0</v>
      </c>
      <c r="CB67">
        <f>IF(OR(G67&lt;0,J67&lt;0),1,0)</f>
        <v>0</v>
      </c>
    </row>
    <row r="68" spans="2:94" x14ac:dyDescent="0.2">
      <c r="B68" t="s">
        <v>2199</v>
      </c>
      <c r="C68">
        <v>450</v>
      </c>
      <c r="D68" t="s">
        <v>248</v>
      </c>
    </row>
    <row r="69" spans="2:94" x14ac:dyDescent="0.2">
      <c r="B69" t="s">
        <v>2221</v>
      </c>
      <c r="C69">
        <v>460</v>
      </c>
      <c r="D69" t="s">
        <v>248</v>
      </c>
      <c r="G69">
        <f>G20*-1</f>
        <v>0</v>
      </c>
      <c r="H69">
        <f>G69-F69</f>
        <v>0</v>
      </c>
      <c r="J69">
        <f>J20*-1</f>
        <v>0</v>
      </c>
      <c r="K69">
        <f>J69-I69</f>
        <v>0</v>
      </c>
      <c r="CB69">
        <f>IF(OR(G69&lt;0,J69&lt;0),1,0)</f>
        <v>0</v>
      </c>
      <c r="CK69" t="s">
        <v>2222</v>
      </c>
      <c r="CP69">
        <f>J54-CP66</f>
        <v>0</v>
      </c>
    </row>
    <row r="70" spans="2:94" x14ac:dyDescent="0.2">
      <c r="B70" t="s">
        <v>2223</v>
      </c>
      <c r="C70">
        <v>465</v>
      </c>
      <c r="D70" t="s">
        <v>245</v>
      </c>
      <c r="E70">
        <f>E82</f>
        <v>0</v>
      </c>
      <c r="F70">
        <f>F82</f>
        <v>0</v>
      </c>
      <c r="G70">
        <f>G82</f>
        <v>0</v>
      </c>
      <c r="H70">
        <f>G70-F70</f>
        <v>0</v>
      </c>
      <c r="I70">
        <f>I82</f>
        <v>0</v>
      </c>
      <c r="J70">
        <f>J82</f>
        <v>0</v>
      </c>
      <c r="K70">
        <f>J70-I70</f>
        <v>0</v>
      </c>
      <c r="CM70">
        <f>G54-CM66</f>
        <v>0</v>
      </c>
    </row>
    <row r="71" spans="2:94" x14ac:dyDescent="0.2">
      <c r="B71" t="s">
        <v>2224</v>
      </c>
      <c r="C71">
        <v>470</v>
      </c>
      <c r="D71" t="s">
        <v>251</v>
      </c>
      <c r="H71">
        <f>G71-F71</f>
        <v>0</v>
      </c>
      <c r="K71">
        <f>J71-I71</f>
        <v>0</v>
      </c>
      <c r="CK71" t="s">
        <v>2225</v>
      </c>
    </row>
    <row r="72" spans="2:94" x14ac:dyDescent="0.2">
      <c r="B72" t="s">
        <v>2226</v>
      </c>
      <c r="C72">
        <v>480</v>
      </c>
      <c r="D72" t="s">
        <v>251</v>
      </c>
      <c r="H72">
        <f>G72-F72</f>
        <v>0</v>
      </c>
      <c r="K72">
        <f>J72-I72</f>
        <v>0</v>
      </c>
      <c r="CK72" t="s">
        <v>2227</v>
      </c>
      <c r="CL72" t="s">
        <v>2228</v>
      </c>
      <c r="CM72" t="s">
        <v>2229</v>
      </c>
      <c r="CO72" t="s">
        <v>2230</v>
      </c>
      <c r="CP72" t="s">
        <v>2231</v>
      </c>
    </row>
    <row r="73" spans="2:94" x14ac:dyDescent="0.2">
      <c r="B73" t="s">
        <v>2232</v>
      </c>
      <c r="C73">
        <v>485</v>
      </c>
      <c r="D73" t="s">
        <v>251</v>
      </c>
      <c r="G73">
        <f>G21*-1</f>
        <v>0</v>
      </c>
      <c r="H73">
        <f>G73-F73</f>
        <v>0</v>
      </c>
      <c r="J73">
        <f>J21*-1</f>
        <v>0</v>
      </c>
      <c r="K73">
        <f>J73-I73</f>
        <v>0</v>
      </c>
      <c r="CK73">
        <f>(E10+E11+(E65+E63+E64+E84+E85))*-1</f>
        <v>0</v>
      </c>
      <c r="CL73">
        <f>(F10+F11+(F65+F63+F64+F84+F85))*-1</f>
        <v>0</v>
      </c>
      <c r="CM73">
        <f>(G10+G11+(G65+G63+G64+G84+G85))*-1</f>
        <v>0</v>
      </c>
      <c r="CO73">
        <f>(I10+I11+(I65+I63+I64+I84+I85))*-1</f>
        <v>0</v>
      </c>
      <c r="CP73">
        <f>(J10+J11+(J65+J63+J64+J84+J85))*-1</f>
        <v>0</v>
      </c>
    </row>
    <row r="74" spans="2:94" x14ac:dyDescent="0.2">
      <c r="B74" t="s">
        <v>2233</v>
      </c>
      <c r="C74">
        <v>490</v>
      </c>
      <c r="D74" t="s">
        <v>251</v>
      </c>
      <c r="E74">
        <f t="shared" ref="E74:K74" si="9">SUM(E61:E73)</f>
        <v>0</v>
      </c>
      <c r="F74">
        <f t="shared" si="9"/>
        <v>0</v>
      </c>
      <c r="G74">
        <f t="shared" si="9"/>
        <v>0</v>
      </c>
      <c r="H74">
        <f t="shared" si="9"/>
        <v>0</v>
      </c>
      <c r="I74">
        <f t="shared" si="9"/>
        <v>0</v>
      </c>
      <c r="J74">
        <f t="shared" si="9"/>
        <v>0</v>
      </c>
      <c r="K74">
        <f t="shared" si="9"/>
        <v>0</v>
      </c>
    </row>
    <row r="75" spans="2:94" x14ac:dyDescent="0.2">
      <c r="B75" t="s">
        <v>2234</v>
      </c>
      <c r="C75">
        <v>500</v>
      </c>
      <c r="D75" t="s">
        <v>248</v>
      </c>
      <c r="H75">
        <f>G75-F75</f>
        <v>0</v>
      </c>
      <c r="K75">
        <f>J75-I75</f>
        <v>0</v>
      </c>
      <c r="CB75">
        <f>IF(OR(G75&lt;0,J75&lt;0),1,0)</f>
        <v>0</v>
      </c>
      <c r="CK75" t="s">
        <v>2235</v>
      </c>
    </row>
    <row r="76" spans="2:94" x14ac:dyDescent="0.2">
      <c r="B76" t="s">
        <v>2236</v>
      </c>
      <c r="C76">
        <v>505</v>
      </c>
      <c r="D76" t="s">
        <v>251</v>
      </c>
    </row>
    <row r="77" spans="2:94" x14ac:dyDescent="0.2">
      <c r="B77" t="s">
        <v>2237</v>
      </c>
      <c r="C77">
        <v>510</v>
      </c>
      <c r="D77" t="s">
        <v>251</v>
      </c>
      <c r="E77">
        <f t="shared" ref="E77:K77" si="10">SUM(E74:E75)</f>
        <v>0</v>
      </c>
      <c r="F77">
        <f t="shared" si="10"/>
        <v>0</v>
      </c>
      <c r="G77">
        <f t="shared" si="10"/>
        <v>0</v>
      </c>
      <c r="H77">
        <f t="shared" si="10"/>
        <v>0</v>
      </c>
      <c r="I77">
        <f t="shared" si="10"/>
        <v>0</v>
      </c>
      <c r="J77">
        <f t="shared" si="10"/>
        <v>0</v>
      </c>
      <c r="K77">
        <f t="shared" si="10"/>
        <v>0</v>
      </c>
      <c r="CK77" t="s">
        <v>2227</v>
      </c>
      <c r="CP77" t="s">
        <v>2238</v>
      </c>
    </row>
    <row r="78" spans="2:94" x14ac:dyDescent="0.2">
      <c r="CK78">
        <f>(E10+E11+E15+E16+E17+E20+E21+E50+E51+E52+E53-E82+E47)*-1</f>
        <v>0</v>
      </c>
      <c r="CP78">
        <f>(J10+J11+J15+J16+J17+J20+J21+J50+J51+J52+J53-J82+J47)*-1</f>
        <v>0</v>
      </c>
    </row>
    <row r="80" spans="2:94" x14ac:dyDescent="0.2">
      <c r="B80" t="s">
        <v>2239</v>
      </c>
    </row>
    <row r="81" spans="2:85" x14ac:dyDescent="0.2">
      <c r="B81" t="s">
        <v>2240</v>
      </c>
      <c r="C81">
        <v>550</v>
      </c>
      <c r="D81" t="s">
        <v>248</v>
      </c>
      <c r="H81">
        <f>G81-F81</f>
        <v>0</v>
      </c>
      <c r="K81">
        <f>J81-I81</f>
        <v>0</v>
      </c>
      <c r="CB81">
        <f>IF(OR(G81&lt;0,J81&lt;0),1,0)</f>
        <v>0</v>
      </c>
      <c r="CC81">
        <f>IF(J81&lt;G81,1,0)</f>
        <v>0</v>
      </c>
    </row>
    <row r="82" spans="2:85" x14ac:dyDescent="0.2">
      <c r="B82" t="s">
        <v>2241</v>
      </c>
      <c r="C82">
        <v>555</v>
      </c>
      <c r="D82" t="s">
        <v>245</v>
      </c>
      <c r="H82">
        <f>G82-F82</f>
        <v>0</v>
      </c>
      <c r="K82">
        <f>J82-I82</f>
        <v>0</v>
      </c>
      <c r="CA82">
        <f>IF(OR(G82&gt;0,J82&gt;0),1,0)</f>
        <v>0</v>
      </c>
      <c r="CD82">
        <f>IF(J82&gt;G82,1,0)</f>
        <v>0</v>
      </c>
    </row>
    <row r="83" spans="2:85" x14ac:dyDescent="0.2">
      <c r="B83" t="s">
        <v>2242</v>
      </c>
      <c r="C83">
        <v>560</v>
      </c>
      <c r="D83" t="s">
        <v>251</v>
      </c>
      <c r="E83">
        <f t="shared" ref="E83:K83" si="11">SUM(E81:E82)</f>
        <v>0</v>
      </c>
      <c r="F83">
        <f t="shared" si="11"/>
        <v>0</v>
      </c>
      <c r="G83">
        <f t="shared" si="11"/>
        <v>0</v>
      </c>
      <c r="H83">
        <f t="shared" si="11"/>
        <v>0</v>
      </c>
      <c r="I83">
        <f t="shared" si="11"/>
        <v>0</v>
      </c>
      <c r="J83">
        <f t="shared" si="11"/>
        <v>0</v>
      </c>
      <c r="K83">
        <f t="shared" si="11"/>
        <v>0</v>
      </c>
    </row>
    <row r="84" spans="2:85" x14ac:dyDescent="0.2">
      <c r="B84" t="s">
        <v>2243</v>
      </c>
      <c r="C84">
        <v>570</v>
      </c>
      <c r="D84" t="s">
        <v>248</v>
      </c>
      <c r="H84">
        <f>G84-F84</f>
        <v>0</v>
      </c>
      <c r="K84">
        <f>J84-I84</f>
        <v>0</v>
      </c>
      <c r="CB84">
        <f>IF(OR(G84&lt;0,J84&lt;0),1,0)</f>
        <v>0</v>
      </c>
      <c r="CC84">
        <f>IF(J84&lt;G84,1,0)</f>
        <v>0</v>
      </c>
    </row>
    <row r="85" spans="2:85" x14ac:dyDescent="0.2">
      <c r="B85" t="s">
        <v>2244</v>
      </c>
      <c r="C85">
        <v>580</v>
      </c>
      <c r="D85" t="s">
        <v>251</v>
      </c>
      <c r="H85">
        <f>G85-F85</f>
        <v>0</v>
      </c>
      <c r="K85">
        <f>J85-I85</f>
        <v>0</v>
      </c>
    </row>
    <row r="86" spans="2:85" x14ac:dyDescent="0.2">
      <c r="B86" t="s">
        <v>3300</v>
      </c>
    </row>
    <row r="87" spans="2:85" x14ac:dyDescent="0.2">
      <c r="B87" t="s">
        <v>2245</v>
      </c>
      <c r="C87">
        <v>590</v>
      </c>
      <c r="D87" t="s">
        <v>245</v>
      </c>
      <c r="H87">
        <f>G87-F87</f>
        <v>0</v>
      </c>
      <c r="K87">
        <f>J87-I87</f>
        <v>0</v>
      </c>
      <c r="CA87">
        <f>IF(OR(G87&gt;0,J87&gt;0),1,0)</f>
        <v>0</v>
      </c>
      <c r="CE87">
        <f>IF(ISBLANK(G87),1,IF(ISBLANK(J87),1,0))</f>
        <v>1</v>
      </c>
    </row>
    <row r="88" spans="2:85" x14ac:dyDescent="0.2">
      <c r="B88" t="s">
        <v>2246</v>
      </c>
      <c r="C88">
        <v>600</v>
      </c>
      <c r="D88" t="s">
        <v>245</v>
      </c>
    </row>
    <row r="89" spans="2:85" x14ac:dyDescent="0.2">
      <c r="B89" t="s">
        <v>2247</v>
      </c>
      <c r="C89">
        <v>610</v>
      </c>
      <c r="D89" t="s">
        <v>245</v>
      </c>
    </row>
    <row r="90" spans="2:85" x14ac:dyDescent="0.2">
      <c r="B90" t="s">
        <v>2248</v>
      </c>
      <c r="C90">
        <v>620</v>
      </c>
      <c r="D90" t="s">
        <v>251</v>
      </c>
      <c r="K90">
        <f>J90-I90</f>
        <v>0</v>
      </c>
      <c r="CG90">
        <f>IF(ISBLANK(J90),1,0)</f>
        <v>1</v>
      </c>
    </row>
    <row r="91" spans="2:85" x14ac:dyDescent="0.2">
      <c r="B91" t="s">
        <v>3301</v>
      </c>
      <c r="C91">
        <v>630</v>
      </c>
      <c r="D91" t="s">
        <v>248</v>
      </c>
      <c r="CB91">
        <f>IF(OR(G91&lt;0,J91&lt;0),1,0)</f>
        <v>0</v>
      </c>
      <c r="CC91">
        <f>IF(J91&lt;G91,1,0)</f>
        <v>0</v>
      </c>
    </row>
  </sheetData>
  <sheetProtection sheet="1" objects="1" scenarios="1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CS87"/>
  <sheetViews>
    <sheetView zoomScale="70" zoomScaleNormal="70" workbookViewId="0"/>
  </sheetViews>
  <sheetFormatPr defaultRowHeight="12.75" x14ac:dyDescent="0.2"/>
  <sheetData>
    <row r="1" spans="1:82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82" x14ac:dyDescent="0.2">
      <c r="A2" t="s">
        <v>3727</v>
      </c>
    </row>
    <row r="3" spans="1:82" x14ac:dyDescent="0.2">
      <c r="A3" t="s">
        <v>3788</v>
      </c>
    </row>
    <row r="5" spans="1:82" x14ac:dyDescent="0.2">
      <c r="B5" t="s">
        <v>3302</v>
      </c>
      <c r="CA5" t="s">
        <v>230</v>
      </c>
      <c r="CB5">
        <f>0</f>
        <v>0</v>
      </c>
    </row>
    <row r="6" spans="1:82" x14ac:dyDescent="0.2">
      <c r="CA6" t="s">
        <v>231</v>
      </c>
      <c r="CB6" t="s">
        <v>232</v>
      </c>
      <c r="CC6" t="s">
        <v>2003</v>
      </c>
      <c r="CD6" t="s">
        <v>3303</v>
      </c>
    </row>
    <row r="7" spans="1:82" x14ac:dyDescent="0.2">
      <c r="B7" t="s">
        <v>82</v>
      </c>
      <c r="C7" t="s">
        <v>238</v>
      </c>
      <c r="D7" t="s">
        <v>25</v>
      </c>
      <c r="E7" t="s">
        <v>3304</v>
      </c>
      <c r="F7" t="s">
        <v>3280</v>
      </c>
      <c r="G7" t="s">
        <v>2025</v>
      </c>
      <c r="H7" t="s">
        <v>2026</v>
      </c>
      <c r="I7" t="s">
        <v>2027</v>
      </c>
      <c r="J7" t="s">
        <v>2028</v>
      </c>
      <c r="K7" t="s">
        <v>2029</v>
      </c>
      <c r="L7" t="s">
        <v>2030</v>
      </c>
      <c r="M7" t="s">
        <v>2031</v>
      </c>
      <c r="N7" t="s">
        <v>2032</v>
      </c>
      <c r="O7" t="s">
        <v>2033</v>
      </c>
      <c r="P7" t="s">
        <v>2034</v>
      </c>
      <c r="Q7" t="s">
        <v>2035</v>
      </c>
      <c r="R7" t="s">
        <v>3305</v>
      </c>
      <c r="CA7">
        <f>SUM(CA10:CA81)</f>
        <v>0</v>
      </c>
      <c r="CB7">
        <f>SUM(CB10:CB81)</f>
        <v>0</v>
      </c>
    </row>
    <row r="8" spans="1:82" x14ac:dyDescent="0.2">
      <c r="C8" t="s">
        <v>242</v>
      </c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L8" t="s">
        <v>2043</v>
      </c>
      <c r="M8" t="s">
        <v>2044</v>
      </c>
      <c r="N8" t="s">
        <v>2045</v>
      </c>
      <c r="O8" t="s">
        <v>2046</v>
      </c>
      <c r="P8" t="s">
        <v>2047</v>
      </c>
      <c r="Q8" t="s">
        <v>2048</v>
      </c>
      <c r="R8" t="s">
        <v>2049</v>
      </c>
    </row>
    <row r="9" spans="1:82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N9" t="s">
        <v>243</v>
      </c>
      <c r="O9" t="s">
        <v>243</v>
      </c>
      <c r="P9" t="s">
        <v>243</v>
      </c>
      <c r="Q9" t="s">
        <v>243</v>
      </c>
      <c r="R9" t="s">
        <v>243</v>
      </c>
    </row>
    <row r="10" spans="1:82" x14ac:dyDescent="0.2">
      <c r="B10" t="s">
        <v>309</v>
      </c>
    </row>
    <row r="11" spans="1:82" x14ac:dyDescent="0.2">
      <c r="B11" t="s">
        <v>310</v>
      </c>
      <c r="C11">
        <v>100</v>
      </c>
      <c r="D11" t="s">
        <v>248</v>
      </c>
      <c r="BA11">
        <f t="shared" ref="BA11:BA16" ca="1" si="0">IF(OR($BA$1="13",$BA$1="16"),SUM(OFFSET(E11,0,1,1,12)),SUM(OFFSET(E11,0,1,1,$BA$1)))</f>
        <v>0</v>
      </c>
      <c r="BB11">
        <f t="shared" ref="BB11:BB16" ca="1" si="1">IF(OR($BA$1="13",$BA$1="16"),(OFFSET(E11,0,12,1,1)),(OFFSET(E11,0,$BA$1,1,1)))</f>
        <v>0</v>
      </c>
      <c r="CB11">
        <f>IF(OR(E11&lt;0,F11&lt;0,G11&lt;0,H11&lt;0,I11&lt;0,J11&lt;0,K11&lt;0,L11&lt;0,M11&lt;0,N11&lt;0,O11&lt;0,P11&lt;0,Q11&lt;0,R11&lt;0),1,0)</f>
        <v>0</v>
      </c>
    </row>
    <row r="12" spans="1:82" x14ac:dyDescent="0.2">
      <c r="B12" t="s">
        <v>311</v>
      </c>
      <c r="C12">
        <v>110</v>
      </c>
      <c r="D12" t="s">
        <v>248</v>
      </c>
      <c r="BA12">
        <f t="shared" ca="1" si="0"/>
        <v>0</v>
      </c>
      <c r="BB12">
        <f t="shared" ca="1" si="1"/>
        <v>0</v>
      </c>
      <c r="CB12">
        <f>IF(OR(E12&lt;0,F12&lt;0,G12&lt;0,H12&lt;0,I12&lt;0,J12&lt;0,K12&lt;0,L12&lt;0,M12&lt;0,N12&lt;0,O12&lt;0,P12&lt;0,Q12&lt;0,R12&lt;0),1,0)</f>
        <v>0</v>
      </c>
    </row>
    <row r="13" spans="1:82" x14ac:dyDescent="0.2">
      <c r="B13" t="s">
        <v>130</v>
      </c>
      <c r="C13">
        <v>120</v>
      </c>
      <c r="D13" t="s">
        <v>248</v>
      </c>
      <c r="BA13">
        <f t="shared" ca="1" si="0"/>
        <v>0</v>
      </c>
      <c r="BB13">
        <f t="shared" ca="1" si="1"/>
        <v>0</v>
      </c>
      <c r="CB13">
        <f>IF(OR(E13&lt;0,F13&lt;0,G13&lt;0,H13&lt;0,I13&lt;0,J13&lt;0,K13&lt;0,L13&lt;0,M13&lt;0,N13&lt;0,O13&lt;0,P13&lt;0,Q13&lt;0,R13&lt;0),1,0)</f>
        <v>0</v>
      </c>
    </row>
    <row r="14" spans="1:82" x14ac:dyDescent="0.2">
      <c r="B14" t="s">
        <v>312</v>
      </c>
      <c r="C14">
        <v>130</v>
      </c>
      <c r="D14" t="s">
        <v>248</v>
      </c>
      <c r="BA14">
        <f t="shared" ca="1" si="0"/>
        <v>0</v>
      </c>
      <c r="BB14">
        <f t="shared" ca="1" si="1"/>
        <v>0</v>
      </c>
      <c r="CB14">
        <f>IF(OR(E14&lt;0,F14&lt;0,G14&lt;0,H14&lt;0,I14&lt;0,J14&lt;0,K14&lt;0,L14&lt;0,M14&lt;0,N14&lt;0,O14&lt;0,P14&lt;0,Q14&lt;0,R14&lt;0),1,0)</f>
        <v>0</v>
      </c>
    </row>
    <row r="15" spans="1:82" x14ac:dyDescent="0.2">
      <c r="B15" t="s">
        <v>313</v>
      </c>
      <c r="C15">
        <v>140</v>
      </c>
      <c r="D15" t="s">
        <v>248</v>
      </c>
      <c r="BA15">
        <f t="shared" ca="1" si="0"/>
        <v>0</v>
      </c>
      <c r="BB15">
        <f t="shared" ca="1" si="1"/>
        <v>0</v>
      </c>
      <c r="CB15">
        <f>IF(OR(E15&lt;0,F15&lt;0,G15&lt;0,H15&lt;0,I15&lt;0,J15&lt;0,K15&lt;0,L15&lt;0,M15&lt;0,N15&lt;0,O15&lt;0,P15&lt;0,Q15&lt;0,R15&lt;0),1,0)</f>
        <v>0</v>
      </c>
    </row>
    <row r="16" spans="1:82" x14ac:dyDescent="0.2">
      <c r="B16" t="s">
        <v>314</v>
      </c>
      <c r="C16">
        <v>150</v>
      </c>
      <c r="D16" t="s">
        <v>248</v>
      </c>
      <c r="E16">
        <f t="shared" ref="E16:R16" si="2">SUM(E11:E15)</f>
        <v>0</v>
      </c>
      <c r="F16">
        <f t="shared" si="2"/>
        <v>0</v>
      </c>
      <c r="G16">
        <f t="shared" si="2"/>
        <v>0</v>
      </c>
      <c r="H16">
        <f t="shared" si="2"/>
        <v>0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0</v>
      </c>
      <c r="M16">
        <f t="shared" si="2"/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 t="shared" si="2"/>
        <v>0</v>
      </c>
      <c r="BA16">
        <f t="shared" ca="1" si="0"/>
        <v>0</v>
      </c>
      <c r="BB16">
        <f t="shared" ca="1" si="1"/>
        <v>0</v>
      </c>
    </row>
    <row r="17" spans="2:97" x14ac:dyDescent="0.2">
      <c r="B17" t="s">
        <v>315</v>
      </c>
    </row>
    <row r="18" spans="2:97" x14ac:dyDescent="0.2">
      <c r="B18" t="s">
        <v>316</v>
      </c>
      <c r="C18">
        <v>160</v>
      </c>
      <c r="D18" t="s">
        <v>248</v>
      </c>
      <c r="BA18">
        <f t="shared" ref="BA18:BA26" ca="1" si="3">IF(OR($BA$1="13",$BA$1="16"),SUM(OFFSET(E18,0,1,1,12)),SUM(OFFSET(E18,0,1,1,$BA$1)))</f>
        <v>0</v>
      </c>
      <c r="BB18">
        <f t="shared" ref="BB18:BB26" ca="1" si="4">IF(OR($BA$1="13",$BA$1="16"),(OFFSET(E18,0,12,1,1)),(OFFSET(E18,0,$BA$1,1,1)))</f>
        <v>0</v>
      </c>
      <c r="CB18">
        <f>IF(OR(E18&lt;0,F18&lt;0,G18&lt;0,H18&lt;0,I18&lt;0,J18&lt;0,K18&lt;0,L18&lt;0,M18&lt;0,N18&lt;0,O18&lt;0,P18&lt;0,Q18&lt;0,R18&lt;0),1,0)</f>
        <v>0</v>
      </c>
    </row>
    <row r="19" spans="2:97" x14ac:dyDescent="0.2">
      <c r="B19" t="s">
        <v>313</v>
      </c>
      <c r="C19">
        <v>170</v>
      </c>
      <c r="D19" t="s">
        <v>248</v>
      </c>
      <c r="BA19">
        <f t="shared" ca="1" si="3"/>
        <v>0</v>
      </c>
      <c r="BB19">
        <f t="shared" ca="1" si="4"/>
        <v>0</v>
      </c>
      <c r="CB19">
        <f>IF(OR(E19&lt;0,F19&lt;0,G19&lt;0,H19&lt;0,I19&lt;0,J19&lt;0,K19&lt;0,L19&lt;0,M19&lt;0,N19&lt;0,O19&lt;0,P19&lt;0,Q19&lt;0,R19&lt;0),1,0)</f>
        <v>0</v>
      </c>
    </row>
    <row r="20" spans="2:97" x14ac:dyDescent="0.2">
      <c r="B20" t="s">
        <v>312</v>
      </c>
      <c r="C20">
        <v>180</v>
      </c>
      <c r="D20" t="s">
        <v>248</v>
      </c>
      <c r="BA20">
        <f t="shared" ca="1" si="3"/>
        <v>0</v>
      </c>
      <c r="BB20">
        <f t="shared" ca="1" si="4"/>
        <v>0</v>
      </c>
      <c r="CB20">
        <f>IF(OR(E20&lt;0,F20&lt;0,G20&lt;0,H20&lt;0,I20&lt;0,J20&lt;0,K20&lt;0,L20&lt;0,M20&lt;0,N20&lt;0,O20&lt;0,P20&lt;0,Q20&lt;0,R20&lt;0),1,0)</f>
        <v>0</v>
      </c>
    </row>
    <row r="21" spans="2:97" x14ac:dyDescent="0.2">
      <c r="B21" t="s">
        <v>142</v>
      </c>
      <c r="C21">
        <v>190</v>
      </c>
      <c r="D21" t="s">
        <v>248</v>
      </c>
      <c r="BA21">
        <f t="shared" ca="1" si="3"/>
        <v>0</v>
      </c>
      <c r="BB21">
        <f t="shared" ca="1" si="4"/>
        <v>0</v>
      </c>
      <c r="CB21">
        <f>IF(OR(E21&lt;0,F21&lt;0,G21&lt;0,H21&lt;0,I21&lt;0,J21&lt;0,K21&lt;0,L21&lt;0,M21&lt;0,N21&lt;0,O21&lt;0,P21&lt;0,Q21&lt;0,R21&lt;0),1,0)</f>
        <v>0</v>
      </c>
    </row>
    <row r="22" spans="2:97" x14ac:dyDescent="0.2">
      <c r="B22" t="s">
        <v>143</v>
      </c>
      <c r="C22">
        <v>200</v>
      </c>
      <c r="D22" t="s">
        <v>248</v>
      </c>
      <c r="BA22">
        <f t="shared" ca="1" si="3"/>
        <v>0</v>
      </c>
      <c r="BB22">
        <f t="shared" ca="1" si="4"/>
        <v>0</v>
      </c>
      <c r="CB22">
        <f>IF(OR(E22&lt;0,F22&lt;0,G22&lt;0,H22&lt;0,I22&lt;0,J22&lt;0,K22&lt;0,L22&lt;0,M22&lt;0,N22&lt;0,O22&lt;0,P22&lt;0,Q22&lt;0,R22&lt;0),1,0)</f>
        <v>0</v>
      </c>
    </row>
    <row r="23" spans="2:97" x14ac:dyDescent="0.2">
      <c r="B23" t="s">
        <v>317</v>
      </c>
      <c r="C23">
        <v>210</v>
      </c>
      <c r="D23" t="s">
        <v>248</v>
      </c>
      <c r="E23">
        <f t="shared" ref="E23:R23" si="5">SUM(E18:E22)</f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  <c r="O23">
        <f t="shared" si="5"/>
        <v>0</v>
      </c>
      <c r="P23">
        <f t="shared" si="5"/>
        <v>0</v>
      </c>
      <c r="Q23">
        <f t="shared" si="5"/>
        <v>0</v>
      </c>
      <c r="R23">
        <f t="shared" si="5"/>
        <v>0</v>
      </c>
      <c r="BA23">
        <f t="shared" ca="1" si="3"/>
        <v>0</v>
      </c>
      <c r="BB23">
        <f t="shared" ca="1" si="4"/>
        <v>0</v>
      </c>
    </row>
    <row r="24" spans="2:97" x14ac:dyDescent="0.2">
      <c r="B24" t="s">
        <v>318</v>
      </c>
      <c r="C24">
        <v>220</v>
      </c>
      <c r="D24" t="s">
        <v>248</v>
      </c>
      <c r="BA24">
        <f t="shared" ca="1" si="3"/>
        <v>0</v>
      </c>
      <c r="BB24">
        <f t="shared" ca="1" si="4"/>
        <v>0</v>
      </c>
      <c r="CB24">
        <f>IF(OR(E24&lt;0,F24&lt;0,G24&lt;0,H24&lt;0,I24&lt;0,J24&lt;0,K24&lt;0,L24&lt;0,M24&lt;0,N24&lt;0,O24&lt;0,P24&lt;0,Q24&lt;0,R24&lt;0),1,0)</f>
        <v>0</v>
      </c>
    </row>
    <row r="25" spans="2:97" x14ac:dyDescent="0.2">
      <c r="B25" t="s">
        <v>319</v>
      </c>
      <c r="C25">
        <v>230</v>
      </c>
      <c r="D25" t="s">
        <v>248</v>
      </c>
      <c r="E25">
        <f t="shared" ref="E25:R25" si="6">SUM(E23:E24)</f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6"/>
        <v>0</v>
      </c>
      <c r="P25">
        <f t="shared" si="6"/>
        <v>0</v>
      </c>
      <c r="Q25">
        <f t="shared" si="6"/>
        <v>0</v>
      </c>
      <c r="R25">
        <f t="shared" si="6"/>
        <v>0</v>
      </c>
      <c r="BA25">
        <f t="shared" ca="1" si="3"/>
        <v>0</v>
      </c>
      <c r="BB25">
        <f t="shared" ca="1" si="4"/>
        <v>0</v>
      </c>
      <c r="CE25" t="s">
        <v>3306</v>
      </c>
    </row>
    <row r="26" spans="2:97" x14ac:dyDescent="0.2">
      <c r="B26" t="s">
        <v>320</v>
      </c>
      <c r="C26">
        <v>240</v>
      </c>
      <c r="D26" t="s">
        <v>248</v>
      </c>
      <c r="E26">
        <f t="shared" ref="E26:R26" si="7">SUM(E16+E25)</f>
        <v>0</v>
      </c>
      <c r="F26">
        <f t="shared" si="7"/>
        <v>0</v>
      </c>
      <c r="G26">
        <f t="shared" si="7"/>
        <v>0</v>
      </c>
      <c r="H26">
        <f t="shared" si="7"/>
        <v>0</v>
      </c>
      <c r="I26">
        <f t="shared" si="7"/>
        <v>0</v>
      </c>
      <c r="J26">
        <f t="shared" si="7"/>
        <v>0</v>
      </c>
      <c r="K26">
        <f t="shared" si="7"/>
        <v>0</v>
      </c>
      <c r="L26">
        <f t="shared" si="7"/>
        <v>0</v>
      </c>
      <c r="M26">
        <f t="shared" si="7"/>
        <v>0</v>
      </c>
      <c r="N26">
        <f t="shared" si="7"/>
        <v>0</v>
      </c>
      <c r="O26">
        <f t="shared" si="7"/>
        <v>0</v>
      </c>
      <c r="P26">
        <f t="shared" si="7"/>
        <v>0</v>
      </c>
      <c r="Q26">
        <f t="shared" si="7"/>
        <v>0</v>
      </c>
      <c r="R26">
        <f t="shared" si="7"/>
        <v>0</v>
      </c>
      <c r="BA26">
        <f t="shared" ca="1" si="3"/>
        <v>0</v>
      </c>
      <c r="BB26">
        <f t="shared" ca="1" si="4"/>
        <v>0</v>
      </c>
      <c r="CE26" t="s">
        <v>2888</v>
      </c>
      <c r="CF26" t="s">
        <v>3307</v>
      </c>
      <c r="CG26" t="s">
        <v>3280</v>
      </c>
      <c r="CH26" t="s">
        <v>2025</v>
      </c>
      <c r="CI26" t="s">
        <v>2026</v>
      </c>
      <c r="CJ26" t="s">
        <v>2027</v>
      </c>
      <c r="CK26" t="s">
        <v>2028</v>
      </c>
      <c r="CL26" t="s">
        <v>2029</v>
      </c>
      <c r="CM26" t="s">
        <v>2030</v>
      </c>
      <c r="CN26" t="s">
        <v>2031</v>
      </c>
      <c r="CO26" t="s">
        <v>2032</v>
      </c>
      <c r="CP26" t="s">
        <v>2033</v>
      </c>
      <c r="CQ26" t="s">
        <v>2034</v>
      </c>
      <c r="CR26" t="s">
        <v>2035</v>
      </c>
      <c r="CS26" t="s">
        <v>3308</v>
      </c>
    </row>
    <row r="27" spans="2:97" x14ac:dyDescent="0.2">
      <c r="B27" t="s">
        <v>321</v>
      </c>
      <c r="CE27">
        <f>E31+E34+E35+E36+E44+E47+E48+E49+E69*-1</f>
        <v>0</v>
      </c>
      <c r="CF27">
        <f>CR27</f>
        <v>0</v>
      </c>
      <c r="CG27">
        <f t="shared" ref="CG27:CS27" si="8">F31+F34+F35+F36+F44+F47+F48+F49+F69*-1</f>
        <v>0</v>
      </c>
      <c r="CH27">
        <f t="shared" si="8"/>
        <v>0</v>
      </c>
      <c r="CI27">
        <f t="shared" si="8"/>
        <v>0</v>
      </c>
      <c r="CJ27">
        <f t="shared" si="8"/>
        <v>0</v>
      </c>
      <c r="CK27">
        <f t="shared" si="8"/>
        <v>0</v>
      </c>
      <c r="CL27">
        <f t="shared" si="8"/>
        <v>0</v>
      </c>
      <c r="CM27">
        <f t="shared" si="8"/>
        <v>0</v>
      </c>
      <c r="CN27">
        <f t="shared" si="8"/>
        <v>0</v>
      </c>
      <c r="CO27">
        <f t="shared" si="8"/>
        <v>0</v>
      </c>
      <c r="CP27">
        <f t="shared" si="8"/>
        <v>0</v>
      </c>
      <c r="CQ27">
        <f t="shared" si="8"/>
        <v>0</v>
      </c>
      <c r="CR27">
        <f t="shared" si="8"/>
        <v>0</v>
      </c>
      <c r="CS27">
        <f t="shared" si="8"/>
        <v>0</v>
      </c>
    </row>
    <row r="28" spans="2:97" x14ac:dyDescent="0.2">
      <c r="B28" t="s">
        <v>322</v>
      </c>
      <c r="C28">
        <v>250</v>
      </c>
      <c r="D28" t="s">
        <v>245</v>
      </c>
      <c r="BA28">
        <f t="shared" ref="BA28:BA39" ca="1" si="9">IF(OR($BA$1="13",$BA$1="16"),SUM(OFFSET(E28,0,1,1,12)),SUM(OFFSET(E28,0,1,1,$BA$1)))</f>
        <v>0</v>
      </c>
      <c r="BB28">
        <f t="shared" ref="BB28:BB39" ca="1" si="10">IF(OR($BA$1="13",$BA$1="16"),(OFFSET(E28,0,12,1,1)),(OFFSET(E28,0,$BA$1,1,1)))</f>
        <v>0</v>
      </c>
      <c r="CA28">
        <f t="shared" ref="CA28:CA36" si="11">IF(OR(E28&gt;0,F28&gt;0,G28&gt;0,H28&gt;0,I28&gt;0,J28&gt;0,K28&gt;0,L28&gt;0,M28&gt;0,N28&gt;0,O28&gt;0,P28&gt;0,Q28&gt;0,R28&gt;0),1,0)</f>
        <v>0</v>
      </c>
      <c r="CE28" t="s">
        <v>2252</v>
      </c>
    </row>
    <row r="29" spans="2:97" x14ac:dyDescent="0.2">
      <c r="B29" t="s">
        <v>323</v>
      </c>
      <c r="C29">
        <v>260</v>
      </c>
      <c r="D29" t="s">
        <v>245</v>
      </c>
      <c r="BA29">
        <f t="shared" ca="1" si="9"/>
        <v>0</v>
      </c>
      <c r="BB29">
        <f t="shared" ca="1" si="10"/>
        <v>0</v>
      </c>
      <c r="CA29">
        <f t="shared" si="11"/>
        <v>0</v>
      </c>
      <c r="CE29">
        <f>E31+E34+E35+E36+E44+E47+E48+E49+E69*-1</f>
        <v>0</v>
      </c>
    </row>
    <row r="30" spans="2:97" x14ac:dyDescent="0.2">
      <c r="B30" t="s">
        <v>170</v>
      </c>
      <c r="C30">
        <v>270</v>
      </c>
      <c r="D30" t="s">
        <v>245</v>
      </c>
      <c r="BA30">
        <f t="shared" ca="1" si="9"/>
        <v>0</v>
      </c>
      <c r="BB30">
        <f t="shared" ca="1" si="10"/>
        <v>0</v>
      </c>
      <c r="CA30">
        <f t="shared" si="11"/>
        <v>0</v>
      </c>
      <c r="CE30" t="s">
        <v>3290</v>
      </c>
    </row>
    <row r="31" spans="2:97" x14ac:dyDescent="0.2">
      <c r="B31" t="s">
        <v>324</v>
      </c>
      <c r="C31">
        <v>280</v>
      </c>
      <c r="D31" t="s">
        <v>245</v>
      </c>
      <c r="BA31">
        <f t="shared" ca="1" si="9"/>
        <v>0</v>
      </c>
      <c r="BB31">
        <f t="shared" ca="1" si="10"/>
        <v>0</v>
      </c>
      <c r="CA31">
        <f t="shared" si="11"/>
        <v>0</v>
      </c>
      <c r="CE31">
        <f>E57-E31-E34-E35-E36-E44-E47-E48-E49</f>
        <v>0</v>
      </c>
      <c r="CF31">
        <f>H57-H31-H34-H35-H36-H44-H47-H48-H49</f>
        <v>0</v>
      </c>
      <c r="CG31">
        <f>K57-K31-K34-K35-K36-K44-K47-K48-K49</f>
        <v>0</v>
      </c>
      <c r="CH31">
        <f>N57-N31-N34-N35-N36-N44-N47-N48-N49</f>
        <v>0</v>
      </c>
      <c r="CI31">
        <f>Q57-Q31-Q34-Q35-Q36-Q44-Q47-Q48-Q49</f>
        <v>0</v>
      </c>
      <c r="CJ31">
        <f>R57-R31-R34-R35-R36-R44-R47-R48-R49</f>
        <v>0</v>
      </c>
    </row>
    <row r="32" spans="2:97" x14ac:dyDescent="0.2">
      <c r="B32" t="s">
        <v>325</v>
      </c>
      <c r="C32">
        <v>290</v>
      </c>
      <c r="D32" t="s">
        <v>245</v>
      </c>
      <c r="BA32">
        <f t="shared" ca="1" si="9"/>
        <v>0</v>
      </c>
      <c r="BB32">
        <f t="shared" ca="1" si="10"/>
        <v>0</v>
      </c>
      <c r="CA32">
        <f t="shared" si="11"/>
        <v>0</v>
      </c>
    </row>
    <row r="33" spans="2:88" x14ac:dyDescent="0.2">
      <c r="B33" t="s">
        <v>3309</v>
      </c>
      <c r="C33">
        <v>295</v>
      </c>
      <c r="D33" t="s">
        <v>245</v>
      </c>
      <c r="BA33">
        <f t="shared" ca="1" si="9"/>
        <v>0</v>
      </c>
      <c r="BB33">
        <f t="shared" ca="1" si="10"/>
        <v>0</v>
      </c>
      <c r="CA33">
        <f t="shared" si="11"/>
        <v>0</v>
      </c>
    </row>
    <row r="34" spans="2:88" x14ac:dyDescent="0.2">
      <c r="B34" t="s">
        <v>2254</v>
      </c>
      <c r="C34">
        <v>300</v>
      </c>
      <c r="D34" t="s">
        <v>245</v>
      </c>
      <c r="BA34">
        <f t="shared" ca="1" si="9"/>
        <v>0</v>
      </c>
      <c r="BB34">
        <f t="shared" ca="1" si="10"/>
        <v>0</v>
      </c>
      <c r="CA34">
        <f t="shared" si="11"/>
        <v>0</v>
      </c>
      <c r="CE34" t="s">
        <v>3290</v>
      </c>
    </row>
    <row r="35" spans="2:88" x14ac:dyDescent="0.2">
      <c r="B35" t="s">
        <v>2255</v>
      </c>
      <c r="C35">
        <v>305</v>
      </c>
      <c r="D35" t="s">
        <v>245</v>
      </c>
      <c r="BA35">
        <f t="shared" ca="1" si="9"/>
        <v>0</v>
      </c>
      <c r="BB35">
        <f t="shared" ca="1" si="10"/>
        <v>0</v>
      </c>
      <c r="CA35">
        <f t="shared" si="11"/>
        <v>0</v>
      </c>
      <c r="CE35">
        <f>E25+E37-E18-E24+(SUM(E64:E68))</f>
        <v>0</v>
      </c>
      <c r="CF35">
        <f>H25+H37-H18-H24+(SUM(H64:H68))</f>
        <v>0</v>
      </c>
      <c r="CG35">
        <f>K25+K37-K18-K24+(SUM(K64:K68))</f>
        <v>0</v>
      </c>
      <c r="CH35">
        <f>N25+N37-N18-N24+(SUM(N64:N68))</f>
        <v>0</v>
      </c>
      <c r="CI35">
        <f>Q25+Q37-Q18-Q24+(SUM(Q64:Q68))</f>
        <v>0</v>
      </c>
      <c r="CJ35">
        <f>R25+R37-R18-R24+(SUM(R64:R68))</f>
        <v>0</v>
      </c>
    </row>
    <row r="36" spans="2:88" x14ac:dyDescent="0.2">
      <c r="B36" t="s">
        <v>327</v>
      </c>
      <c r="C36">
        <v>310</v>
      </c>
      <c r="D36" t="s">
        <v>245</v>
      </c>
      <c r="BA36">
        <f t="shared" ca="1" si="9"/>
        <v>0</v>
      </c>
      <c r="BB36">
        <f t="shared" ca="1" si="10"/>
        <v>0</v>
      </c>
      <c r="CA36">
        <f t="shared" si="11"/>
        <v>0</v>
      </c>
    </row>
    <row r="37" spans="2:88" x14ac:dyDescent="0.2">
      <c r="B37" t="s">
        <v>328</v>
      </c>
      <c r="C37">
        <v>320</v>
      </c>
      <c r="D37" t="s">
        <v>245</v>
      </c>
      <c r="E37">
        <f t="shared" ref="E37:R37" si="12">SUM(E28:E36)</f>
        <v>0</v>
      </c>
      <c r="F37">
        <f t="shared" si="12"/>
        <v>0</v>
      </c>
      <c r="G37">
        <f t="shared" si="12"/>
        <v>0</v>
      </c>
      <c r="H37">
        <f t="shared" si="12"/>
        <v>0</v>
      </c>
      <c r="I37">
        <f t="shared" si="12"/>
        <v>0</v>
      </c>
      <c r="J37">
        <f t="shared" si="12"/>
        <v>0</v>
      </c>
      <c r="K37">
        <f t="shared" si="12"/>
        <v>0</v>
      </c>
      <c r="L37">
        <f t="shared" si="12"/>
        <v>0</v>
      </c>
      <c r="M37">
        <f t="shared" si="12"/>
        <v>0</v>
      </c>
      <c r="N37">
        <f t="shared" si="12"/>
        <v>0</v>
      </c>
      <c r="O37">
        <f t="shared" si="12"/>
        <v>0</v>
      </c>
      <c r="P37">
        <f t="shared" si="12"/>
        <v>0</v>
      </c>
      <c r="Q37">
        <f t="shared" si="12"/>
        <v>0</v>
      </c>
      <c r="R37">
        <f t="shared" si="12"/>
        <v>0</v>
      </c>
      <c r="BA37">
        <f t="shared" ca="1" si="9"/>
        <v>0</v>
      </c>
      <c r="BB37">
        <f t="shared" ca="1" si="10"/>
        <v>0</v>
      </c>
    </row>
    <row r="38" spans="2:88" x14ac:dyDescent="0.2">
      <c r="B38" t="s">
        <v>329</v>
      </c>
      <c r="C38">
        <v>330</v>
      </c>
      <c r="D38" t="s">
        <v>251</v>
      </c>
      <c r="E38">
        <f t="shared" ref="E38:R38" si="13">SUM(E25+E37)</f>
        <v>0</v>
      </c>
      <c r="F38">
        <f t="shared" si="13"/>
        <v>0</v>
      </c>
      <c r="G38">
        <f t="shared" si="13"/>
        <v>0</v>
      </c>
      <c r="H38">
        <f t="shared" si="13"/>
        <v>0</v>
      </c>
      <c r="I38">
        <f t="shared" si="13"/>
        <v>0</v>
      </c>
      <c r="J38">
        <f t="shared" si="13"/>
        <v>0</v>
      </c>
      <c r="K38">
        <f t="shared" si="13"/>
        <v>0</v>
      </c>
      <c r="L38">
        <f t="shared" si="13"/>
        <v>0</v>
      </c>
      <c r="M38">
        <f t="shared" si="13"/>
        <v>0</v>
      </c>
      <c r="N38">
        <f t="shared" si="13"/>
        <v>0</v>
      </c>
      <c r="O38">
        <f t="shared" si="13"/>
        <v>0</v>
      </c>
      <c r="P38">
        <f t="shared" si="13"/>
        <v>0</v>
      </c>
      <c r="Q38">
        <f t="shared" si="13"/>
        <v>0</v>
      </c>
      <c r="R38">
        <f t="shared" si="13"/>
        <v>0</v>
      </c>
      <c r="BA38">
        <f t="shared" ca="1" si="9"/>
        <v>0</v>
      </c>
      <c r="BB38">
        <f t="shared" ca="1" si="10"/>
        <v>0</v>
      </c>
    </row>
    <row r="39" spans="2:88" x14ac:dyDescent="0.2">
      <c r="B39" t="s">
        <v>330</v>
      </c>
      <c r="C39">
        <v>340</v>
      </c>
      <c r="D39" t="s">
        <v>251</v>
      </c>
      <c r="E39">
        <f t="shared" ref="E39:R39" si="14">SUM(E26+E37)</f>
        <v>0</v>
      </c>
      <c r="F39">
        <f t="shared" si="14"/>
        <v>0</v>
      </c>
      <c r="G39">
        <f t="shared" si="14"/>
        <v>0</v>
      </c>
      <c r="H39">
        <f t="shared" si="14"/>
        <v>0</v>
      </c>
      <c r="I39">
        <f t="shared" si="14"/>
        <v>0</v>
      </c>
      <c r="J39">
        <f t="shared" si="14"/>
        <v>0</v>
      </c>
      <c r="K39">
        <f t="shared" si="14"/>
        <v>0</v>
      </c>
      <c r="L39">
        <f t="shared" si="14"/>
        <v>0</v>
      </c>
      <c r="M39">
        <f t="shared" si="14"/>
        <v>0</v>
      </c>
      <c r="N39">
        <f t="shared" si="14"/>
        <v>0</v>
      </c>
      <c r="O39">
        <f t="shared" si="14"/>
        <v>0</v>
      </c>
      <c r="P39">
        <f t="shared" si="14"/>
        <v>0</v>
      </c>
      <c r="Q39">
        <f t="shared" si="14"/>
        <v>0</v>
      </c>
      <c r="R39">
        <f t="shared" si="14"/>
        <v>0</v>
      </c>
      <c r="BA39">
        <f t="shared" ca="1" si="9"/>
        <v>0</v>
      </c>
      <c r="BB39">
        <f t="shared" ca="1" si="10"/>
        <v>0</v>
      </c>
    </row>
    <row r="40" spans="2:88" x14ac:dyDescent="0.2">
      <c r="B40" t="s">
        <v>331</v>
      </c>
    </row>
    <row r="41" spans="2:88" x14ac:dyDescent="0.2">
      <c r="B41" t="s">
        <v>322</v>
      </c>
      <c r="C41">
        <v>350</v>
      </c>
      <c r="D41" t="s">
        <v>245</v>
      </c>
      <c r="BA41">
        <f t="shared" ref="BA41:BA51" ca="1" si="15">IF(OR($BA$1="13",$BA$1="16"),SUM(OFFSET(E41,0,1,1,12)),SUM(OFFSET(E41,0,1,1,$BA$1)))</f>
        <v>0</v>
      </c>
      <c r="BB41">
        <f t="shared" ref="BB41:BB51" ca="1" si="16">IF(OR($BA$1="13",$BA$1="16"),(OFFSET(E41,0,12,1,1)),(OFFSET(E41,0,$BA$1,1,1)))</f>
        <v>0</v>
      </c>
      <c r="CA41">
        <f t="shared" ref="CA41:CA49" si="17">IF(OR(E41&gt;0,F41&gt;0,G41&gt;0,H41&gt;0,I41&gt;0,J41&gt;0,K41&gt;0,L41&gt;0,M41&gt;0,N41&gt;0,O41&gt;0,P41&gt;0,Q41&gt;0,R41&gt;0),1,0)</f>
        <v>0</v>
      </c>
    </row>
    <row r="42" spans="2:88" x14ac:dyDescent="0.2">
      <c r="B42" t="s">
        <v>323</v>
      </c>
      <c r="C42">
        <v>360</v>
      </c>
      <c r="D42" t="s">
        <v>245</v>
      </c>
      <c r="BA42">
        <f t="shared" ca="1" si="15"/>
        <v>0</v>
      </c>
      <c r="BB42">
        <f t="shared" ca="1" si="16"/>
        <v>0</v>
      </c>
      <c r="CA42">
        <f t="shared" si="17"/>
        <v>0</v>
      </c>
    </row>
    <row r="43" spans="2:88" x14ac:dyDescent="0.2">
      <c r="B43" t="s">
        <v>170</v>
      </c>
      <c r="C43">
        <v>370</v>
      </c>
      <c r="D43" t="s">
        <v>245</v>
      </c>
      <c r="BA43">
        <f t="shared" ca="1" si="15"/>
        <v>0</v>
      </c>
      <c r="BB43">
        <f t="shared" ca="1" si="16"/>
        <v>0</v>
      </c>
      <c r="CA43">
        <f t="shared" si="17"/>
        <v>0</v>
      </c>
    </row>
    <row r="44" spans="2:88" x14ac:dyDescent="0.2">
      <c r="B44" t="s">
        <v>324</v>
      </c>
      <c r="C44">
        <v>380</v>
      </c>
      <c r="D44" t="s">
        <v>245</v>
      </c>
      <c r="BA44">
        <f t="shared" ca="1" si="15"/>
        <v>0</v>
      </c>
      <c r="BB44">
        <f t="shared" ca="1" si="16"/>
        <v>0</v>
      </c>
      <c r="CA44">
        <f t="shared" si="17"/>
        <v>0</v>
      </c>
    </row>
    <row r="45" spans="2:88" x14ac:dyDescent="0.2">
      <c r="B45" t="s">
        <v>325</v>
      </c>
      <c r="C45">
        <v>390</v>
      </c>
      <c r="D45" t="s">
        <v>245</v>
      </c>
      <c r="BA45">
        <f t="shared" ca="1" si="15"/>
        <v>0</v>
      </c>
      <c r="BB45">
        <f t="shared" ca="1" si="16"/>
        <v>0</v>
      </c>
      <c r="CA45">
        <f t="shared" si="17"/>
        <v>0</v>
      </c>
    </row>
    <row r="46" spans="2:88" x14ac:dyDescent="0.2">
      <c r="B46" t="s">
        <v>3309</v>
      </c>
      <c r="C46">
        <v>395</v>
      </c>
      <c r="D46" t="s">
        <v>245</v>
      </c>
      <c r="BA46">
        <f t="shared" ca="1" si="15"/>
        <v>0</v>
      </c>
      <c r="BB46">
        <f t="shared" ca="1" si="16"/>
        <v>0</v>
      </c>
      <c r="CA46">
        <f t="shared" si="17"/>
        <v>0</v>
      </c>
    </row>
    <row r="47" spans="2:88" x14ac:dyDescent="0.2">
      <c r="B47" t="s">
        <v>2254</v>
      </c>
      <c r="C47">
        <v>400</v>
      </c>
      <c r="D47" t="s">
        <v>245</v>
      </c>
      <c r="BA47">
        <f t="shared" ca="1" si="15"/>
        <v>0</v>
      </c>
      <c r="BB47">
        <f t="shared" ca="1" si="16"/>
        <v>0</v>
      </c>
      <c r="CA47">
        <f t="shared" si="17"/>
        <v>0</v>
      </c>
    </row>
    <row r="48" spans="2:88" x14ac:dyDescent="0.2">
      <c r="B48" t="s">
        <v>2255</v>
      </c>
      <c r="C48">
        <v>405</v>
      </c>
      <c r="D48" t="s">
        <v>245</v>
      </c>
      <c r="BA48">
        <f t="shared" ca="1" si="15"/>
        <v>0</v>
      </c>
      <c r="BB48">
        <f t="shared" ca="1" si="16"/>
        <v>0</v>
      </c>
      <c r="CA48">
        <f t="shared" si="17"/>
        <v>0</v>
      </c>
    </row>
    <row r="49" spans="2:81" x14ac:dyDescent="0.2">
      <c r="B49" t="s">
        <v>327</v>
      </c>
      <c r="C49">
        <v>410</v>
      </c>
      <c r="D49" t="s">
        <v>245</v>
      </c>
      <c r="BA49">
        <f t="shared" ca="1" si="15"/>
        <v>0</v>
      </c>
      <c r="BB49">
        <f t="shared" ca="1" si="16"/>
        <v>0</v>
      </c>
      <c r="CA49">
        <f t="shared" si="17"/>
        <v>0</v>
      </c>
    </row>
    <row r="50" spans="2:81" x14ac:dyDescent="0.2">
      <c r="B50" t="s">
        <v>332</v>
      </c>
      <c r="C50">
        <v>420</v>
      </c>
      <c r="D50" t="s">
        <v>245</v>
      </c>
      <c r="E50">
        <f t="shared" ref="E50:R50" si="18">SUM(E41:E49)</f>
        <v>0</v>
      </c>
      <c r="F50">
        <f t="shared" si="18"/>
        <v>0</v>
      </c>
      <c r="G50">
        <f t="shared" si="18"/>
        <v>0</v>
      </c>
      <c r="H50">
        <f t="shared" si="18"/>
        <v>0</v>
      </c>
      <c r="I50">
        <f t="shared" si="18"/>
        <v>0</v>
      </c>
      <c r="J50">
        <f t="shared" si="18"/>
        <v>0</v>
      </c>
      <c r="K50">
        <f t="shared" si="18"/>
        <v>0</v>
      </c>
      <c r="L50">
        <f t="shared" si="18"/>
        <v>0</v>
      </c>
      <c r="M50">
        <f t="shared" si="18"/>
        <v>0</v>
      </c>
      <c r="N50">
        <f t="shared" si="18"/>
        <v>0</v>
      </c>
      <c r="O50">
        <f t="shared" si="18"/>
        <v>0</v>
      </c>
      <c r="P50">
        <f t="shared" si="18"/>
        <v>0</v>
      </c>
      <c r="Q50">
        <f t="shared" si="18"/>
        <v>0</v>
      </c>
      <c r="R50">
        <f t="shared" si="18"/>
        <v>0</v>
      </c>
      <c r="BA50">
        <f t="shared" ca="1" si="15"/>
        <v>0</v>
      </c>
      <c r="BB50">
        <f t="shared" ca="1" si="16"/>
        <v>0</v>
      </c>
    </row>
    <row r="51" spans="2:81" x14ac:dyDescent="0.2">
      <c r="B51" t="s">
        <v>333</v>
      </c>
      <c r="C51">
        <v>430</v>
      </c>
      <c r="D51" t="s">
        <v>251</v>
      </c>
      <c r="E51">
        <f t="shared" ref="E51:R51" si="19">SUM(E39+E50)</f>
        <v>0</v>
      </c>
      <c r="F51">
        <f t="shared" si="19"/>
        <v>0</v>
      </c>
      <c r="G51">
        <f t="shared" si="19"/>
        <v>0</v>
      </c>
      <c r="H51">
        <f t="shared" si="19"/>
        <v>0</v>
      </c>
      <c r="I51">
        <f t="shared" si="19"/>
        <v>0</v>
      </c>
      <c r="J51">
        <f t="shared" si="19"/>
        <v>0</v>
      </c>
      <c r="K51">
        <f t="shared" si="19"/>
        <v>0</v>
      </c>
      <c r="L51">
        <f t="shared" si="19"/>
        <v>0</v>
      </c>
      <c r="M51">
        <f t="shared" si="19"/>
        <v>0</v>
      </c>
      <c r="N51">
        <f t="shared" si="19"/>
        <v>0</v>
      </c>
      <c r="O51">
        <f t="shared" si="19"/>
        <v>0</v>
      </c>
      <c r="P51">
        <f t="shared" si="19"/>
        <v>0</v>
      </c>
      <c r="Q51">
        <f t="shared" si="19"/>
        <v>0</v>
      </c>
      <c r="R51">
        <f t="shared" si="19"/>
        <v>0</v>
      </c>
      <c r="BA51">
        <f t="shared" ca="1" si="15"/>
        <v>0</v>
      </c>
      <c r="BB51">
        <f t="shared" ca="1" si="16"/>
        <v>0</v>
      </c>
    </row>
    <row r="52" spans="2:81" x14ac:dyDescent="0.2">
      <c r="B52" t="s">
        <v>334</v>
      </c>
    </row>
    <row r="53" spans="2:81" x14ac:dyDescent="0.2">
      <c r="B53" t="s">
        <v>335</v>
      </c>
      <c r="C53">
        <v>440</v>
      </c>
      <c r="D53" t="s">
        <v>251</v>
      </c>
      <c r="BA53">
        <f ca="1">IF(OR($BA$1="13",$BA$1="16"),SUM(OFFSET(E53,0,1,1,12)),SUM(OFFSET(E53,0,1,1,$BA$1)))</f>
        <v>0</v>
      </c>
      <c r="BB53">
        <f ca="1">IF(OR($BA$1="13",$BA$1="16"),(OFFSET(E53,0,12,1,1)),(OFFSET(E53,0,$BA$1,1,1)))</f>
        <v>0</v>
      </c>
    </row>
    <row r="54" spans="2:81" x14ac:dyDescent="0.2">
      <c r="B54" t="s">
        <v>336</v>
      </c>
      <c r="C54">
        <v>450</v>
      </c>
      <c r="D54" t="s">
        <v>251</v>
      </c>
      <c r="BA54">
        <f ca="1">IF(OR($BA$1="13",$BA$1="16"),SUM(OFFSET(E54,0,1,1,12)),SUM(OFFSET(E54,0,1,1,$BA$1)))</f>
        <v>0</v>
      </c>
      <c r="BB54">
        <f ca="1">IF(OR($BA$1="13",$BA$1="16"),(OFFSET(E54,0,12,1,1)),(OFFSET(E54,0,$BA$1,1,1)))</f>
        <v>0</v>
      </c>
    </row>
    <row r="55" spans="2:81" x14ac:dyDescent="0.2">
      <c r="B55" t="s">
        <v>338</v>
      </c>
      <c r="C55">
        <v>470</v>
      </c>
      <c r="D55" t="s">
        <v>248</v>
      </c>
      <c r="BA55">
        <f ca="1">IF(OR($BA$1="13",$BA$1="16"),SUM(OFFSET(E55,0,1,1,12)),SUM(OFFSET(E55,0,1,1,$BA$1)))</f>
        <v>0</v>
      </c>
      <c r="BB55">
        <f ca="1">IF(OR($BA$1="13",$BA$1="16"),(OFFSET(E55,0,12,1,1)),(OFFSET(E55,0,$BA$1,1,1)))</f>
        <v>0</v>
      </c>
      <c r="CB55">
        <f>IF(OR(E55&lt;0,F55&lt;0,G55&lt;0,H55&lt;0,I55&lt;0,J55&lt;0,K55&lt;0,L55&lt;0,M55&lt;0,N55&lt;0,O55&lt;0,P55&lt;0,Q55&lt;0,R55&lt;0),1,0)</f>
        <v>0</v>
      </c>
    </row>
    <row r="56" spans="2:81" x14ac:dyDescent="0.2">
      <c r="B56" t="s">
        <v>339</v>
      </c>
      <c r="C56">
        <v>480</v>
      </c>
      <c r="D56" t="s">
        <v>251</v>
      </c>
      <c r="BA56">
        <f ca="1">IF(OR($BA$1="13",$BA$1="16"),SUM(OFFSET(E56,0,1,1,12)),SUM(OFFSET(E56,0,1,1,$BA$1)))</f>
        <v>0</v>
      </c>
      <c r="BB56">
        <f ca="1">IF(OR($BA$1="13",$BA$1="16"),(OFFSET(E56,0,12,1,1)),(OFFSET(E56,0,$BA$1,1,1)))</f>
        <v>0</v>
      </c>
    </row>
    <row r="57" spans="2:81" x14ac:dyDescent="0.2">
      <c r="B57" t="s">
        <v>3310</v>
      </c>
      <c r="C57">
        <v>490</v>
      </c>
      <c r="D57" t="s">
        <v>251</v>
      </c>
      <c r="E57">
        <f t="shared" ref="E57:R57" si="20">SUM(E53:E56)</f>
        <v>0</v>
      </c>
      <c r="F57">
        <f t="shared" si="20"/>
        <v>0</v>
      </c>
      <c r="G57">
        <f t="shared" si="20"/>
        <v>0</v>
      </c>
      <c r="H57">
        <f t="shared" si="20"/>
        <v>0</v>
      </c>
      <c r="I57">
        <f t="shared" si="20"/>
        <v>0</v>
      </c>
      <c r="J57">
        <f t="shared" si="20"/>
        <v>0</v>
      </c>
      <c r="K57">
        <f t="shared" si="20"/>
        <v>0</v>
      </c>
      <c r="L57">
        <f t="shared" si="20"/>
        <v>0</v>
      </c>
      <c r="M57">
        <f t="shared" si="20"/>
        <v>0</v>
      </c>
      <c r="N57">
        <f t="shared" si="20"/>
        <v>0</v>
      </c>
      <c r="O57">
        <f t="shared" si="20"/>
        <v>0</v>
      </c>
      <c r="P57">
        <f t="shared" si="20"/>
        <v>0</v>
      </c>
      <c r="Q57">
        <f t="shared" si="20"/>
        <v>0</v>
      </c>
      <c r="R57">
        <f t="shared" si="20"/>
        <v>0</v>
      </c>
      <c r="BA57">
        <f ca="1">IF(OR($BA$1="13",$BA$1="16"),SUM(OFFSET(E57,0,1,1,12)),SUM(OFFSET(E57,0,1,1,$BA$1)))</f>
        <v>0</v>
      </c>
      <c r="BB57">
        <f ca="1">IF(OR($BA$1="13",$BA$1="16"),(OFFSET(E57,0,12,1,1)),(OFFSET(E57,0,$BA$1,1,1)))</f>
        <v>0</v>
      </c>
      <c r="CC57">
        <f>IF(OR(E57-E51&lt;&gt;0,F57-F51&lt;&gt;0,G57-G51&lt;&gt;0,H57-H51&lt;&gt;0,I57-I51&lt;&gt;0,J57-J51&lt;&gt;0,K57-K51&lt;&gt;0,L57-L51&lt;&gt;0,M57-M51&lt;&gt;0,N57-N51&lt;&gt;0,O57-O51&lt;&gt;0,P57-P51&lt;&gt;0,Q57-Q51&lt;&gt;0,R57-R51&lt;&gt;0),1,0)</f>
        <v>0</v>
      </c>
    </row>
    <row r="59" spans="2:81" x14ac:dyDescent="0.2">
      <c r="B59" t="s">
        <v>3311</v>
      </c>
      <c r="C59">
        <v>500</v>
      </c>
      <c r="D59" t="s">
        <v>248</v>
      </c>
      <c r="E59">
        <f>E76+E77</f>
        <v>0</v>
      </c>
      <c r="Q59">
        <f>F76+F77</f>
        <v>0</v>
      </c>
      <c r="R59">
        <f>G76+G77</f>
        <v>0</v>
      </c>
      <c r="BA59">
        <f ca="1">IF(OR($BA$1="13",$BA$1="16"),SUM(OFFSET(E59,0,1,1,12)),SUM(OFFSET(E59,0,1,1,$BA$1)))</f>
        <v>0</v>
      </c>
      <c r="BB59">
        <f ca="1">IF(OR($BA$1="13",$BA$1="16"),(OFFSET(E59,0,12,1,1)),(OFFSET(E59,0,$BA$1,1,1)))</f>
        <v>0</v>
      </c>
    </row>
    <row r="61" spans="2:81" x14ac:dyDescent="0.2">
      <c r="B61" t="s">
        <v>2258</v>
      </c>
      <c r="C61" t="s">
        <v>238</v>
      </c>
      <c r="D61" t="s">
        <v>25</v>
      </c>
      <c r="E61" t="s">
        <v>3304</v>
      </c>
      <c r="F61" t="s">
        <v>3280</v>
      </c>
      <c r="G61" t="s">
        <v>2025</v>
      </c>
      <c r="H61" t="s">
        <v>2026</v>
      </c>
      <c r="I61" t="s">
        <v>2027</v>
      </c>
      <c r="J61" t="s">
        <v>2028</v>
      </c>
      <c r="K61" t="s">
        <v>2029</v>
      </c>
      <c r="L61" t="s">
        <v>2030</v>
      </c>
      <c r="M61" t="s">
        <v>2031</v>
      </c>
      <c r="N61" t="s">
        <v>2032</v>
      </c>
      <c r="O61" t="s">
        <v>2033</v>
      </c>
      <c r="P61" t="s">
        <v>2034</v>
      </c>
      <c r="Q61" t="s">
        <v>2035</v>
      </c>
      <c r="R61" t="s">
        <v>3305</v>
      </c>
    </row>
    <row r="62" spans="2:81" x14ac:dyDescent="0.2">
      <c r="C62" t="s">
        <v>242</v>
      </c>
      <c r="E62" t="s">
        <v>2036</v>
      </c>
      <c r="F62" t="s">
        <v>2037</v>
      </c>
      <c r="G62" t="s">
        <v>2038</v>
      </c>
      <c r="H62" t="s">
        <v>2039</v>
      </c>
      <c r="I62" t="s">
        <v>2040</v>
      </c>
      <c r="J62" t="s">
        <v>2041</v>
      </c>
      <c r="K62" t="s">
        <v>2042</v>
      </c>
      <c r="L62" t="s">
        <v>2043</v>
      </c>
      <c r="M62" t="s">
        <v>2044</v>
      </c>
      <c r="N62" t="s">
        <v>2045</v>
      </c>
      <c r="O62" t="s">
        <v>2046</v>
      </c>
      <c r="P62" t="s">
        <v>2047</v>
      </c>
      <c r="Q62" t="s">
        <v>2048</v>
      </c>
      <c r="R62" t="s">
        <v>2049</v>
      </c>
    </row>
    <row r="63" spans="2:81" x14ac:dyDescent="0.2">
      <c r="E63" t="s">
        <v>243</v>
      </c>
      <c r="F63" t="s">
        <v>243</v>
      </c>
      <c r="G63" t="s">
        <v>243</v>
      </c>
      <c r="H63" t="s">
        <v>243</v>
      </c>
      <c r="I63" t="s">
        <v>243</v>
      </c>
      <c r="J63" t="s">
        <v>243</v>
      </c>
      <c r="K63" t="s">
        <v>243</v>
      </c>
      <c r="L63" t="s">
        <v>243</v>
      </c>
      <c r="M63" t="s">
        <v>243</v>
      </c>
      <c r="N63" t="s">
        <v>243</v>
      </c>
      <c r="O63" t="s">
        <v>243</v>
      </c>
      <c r="P63" t="s">
        <v>243</v>
      </c>
      <c r="Q63" t="s">
        <v>243</v>
      </c>
      <c r="R63" t="s">
        <v>243</v>
      </c>
    </row>
    <row r="64" spans="2:81" x14ac:dyDescent="0.2">
      <c r="B64" t="s">
        <v>2259</v>
      </c>
      <c r="C64">
        <v>510</v>
      </c>
      <c r="D64" t="s">
        <v>245</v>
      </c>
      <c r="BA64">
        <f t="shared" ref="BA64:BA69" ca="1" si="21">IF(OR($BA$1="13",$BA$1="16"),SUM(OFFSET(E64,0,1,1,12)),SUM(OFFSET(E64,0,1,1,$BA$1)))</f>
        <v>0</v>
      </c>
      <c r="BB64">
        <f t="shared" ref="BB64:BB69" ca="1" si="22">IF(OR($BA$1="13",$BA$1="16"),(OFFSET(E64,0,12,1,1)),(OFFSET(E64,0,$BA$1,1,1)))</f>
        <v>0</v>
      </c>
      <c r="CA64">
        <f>IF(OR(E64&gt;0,F64&gt;0,G64&gt;0,H64&gt;0,I64&gt;0,J64&gt;0,K64&gt;0,L64&gt;0,M64&gt;0,N64&gt;0,O64&gt;0,P64&gt;0,Q64&gt;0,R64&gt;0),1,0)</f>
        <v>0</v>
      </c>
    </row>
    <row r="65" spans="2:82" x14ac:dyDescent="0.2">
      <c r="B65" t="s">
        <v>2260</v>
      </c>
      <c r="C65">
        <v>520</v>
      </c>
      <c r="D65" t="s">
        <v>245</v>
      </c>
      <c r="BA65">
        <f t="shared" ca="1" si="21"/>
        <v>0</v>
      </c>
      <c r="BB65">
        <f t="shared" ca="1" si="22"/>
        <v>0</v>
      </c>
      <c r="CA65">
        <f>IF(OR(E65&gt;0,F65&gt;0,G65&gt;0,H65&gt;0,I65&gt;0,J65&gt;0,K65&gt;0,L65&gt;0,M65&gt;0,N65&gt;0,O65&gt;0,P65&gt;0,Q65&gt;0,R65&gt;0),1,0)</f>
        <v>0</v>
      </c>
    </row>
    <row r="66" spans="2:82" x14ac:dyDescent="0.2">
      <c r="B66" t="s">
        <v>2261</v>
      </c>
      <c r="C66">
        <v>530</v>
      </c>
      <c r="D66" t="s">
        <v>245</v>
      </c>
      <c r="BA66">
        <f t="shared" ca="1" si="21"/>
        <v>0</v>
      </c>
      <c r="BB66">
        <f t="shared" ca="1" si="22"/>
        <v>0</v>
      </c>
      <c r="CA66">
        <f>IF(OR(E66&gt;0,F66&gt;0,G66&gt;0,H66&gt;0,I66&gt;0,J66&gt;0,K66&gt;0,L66&gt;0,M66&gt;0,N66&gt;0,O66&gt;0,P66&gt;0,Q66&gt;0,R66&gt;0),1,0)</f>
        <v>0</v>
      </c>
    </row>
    <row r="67" spans="2:82" x14ac:dyDescent="0.2">
      <c r="B67" t="s">
        <v>2262</v>
      </c>
      <c r="C67">
        <v>540</v>
      </c>
      <c r="D67" t="s">
        <v>245</v>
      </c>
      <c r="BA67">
        <f t="shared" ca="1" si="21"/>
        <v>0</v>
      </c>
      <c r="BB67">
        <f t="shared" ca="1" si="22"/>
        <v>0</v>
      </c>
      <c r="CA67">
        <f>IF(OR(E67&gt;0,F67&gt;0,G67&gt;0,H67&gt;0,I67&gt;0,J67&gt;0,K67&gt;0,L67&gt;0,M67&gt;0,N67&gt;0,O67&gt;0,P67&gt;0,Q67&gt;0,R67&gt;0),1,0)</f>
        <v>0</v>
      </c>
    </row>
    <row r="68" spans="2:82" x14ac:dyDescent="0.2">
      <c r="B68" t="s">
        <v>2263</v>
      </c>
      <c r="C68">
        <v>550</v>
      </c>
      <c r="D68" t="s">
        <v>248</v>
      </c>
      <c r="BA68">
        <f t="shared" ca="1" si="21"/>
        <v>0</v>
      </c>
      <c r="BB68">
        <f t="shared" ca="1" si="22"/>
        <v>0</v>
      </c>
      <c r="CB68">
        <f>IF(OR(E68&lt;0,F68&lt;0,G68&lt;0,H68&lt;0,I68&lt;0,J68&lt;0,K68&lt;0,L68&lt;0,M68&lt;0,N68&lt;0,O68&lt;0,P68&lt;0,Q68&lt;0,R68&lt;0),1,0)</f>
        <v>0</v>
      </c>
    </row>
    <row r="69" spans="2:82" x14ac:dyDescent="0.2">
      <c r="B69" t="s">
        <v>2264</v>
      </c>
      <c r="C69">
        <v>555</v>
      </c>
      <c r="D69" t="s">
        <v>245</v>
      </c>
      <c r="BA69">
        <f t="shared" ca="1" si="21"/>
        <v>0</v>
      </c>
      <c r="BB69">
        <f t="shared" ca="1" si="22"/>
        <v>0</v>
      </c>
      <c r="CA69">
        <f>IF(OR(E69&gt;0,F69&gt;0,G69&gt;0,H69&gt;0,I69&gt;0,J69&gt;0,K69&gt;0,L69&gt;0,M69&gt;0,N69&gt;0,O69&gt;0,P69&gt;0,Q69&gt;0,R69&gt;0),1,0)</f>
        <v>0</v>
      </c>
    </row>
    <row r="71" spans="2:82" x14ac:dyDescent="0.2">
      <c r="C71" t="s">
        <v>238</v>
      </c>
      <c r="D71" t="s">
        <v>25</v>
      </c>
      <c r="E71" t="s">
        <v>3304</v>
      </c>
      <c r="F71" t="s">
        <v>3312</v>
      </c>
      <c r="G71" t="s">
        <v>3305</v>
      </c>
    </row>
    <row r="72" spans="2:82" x14ac:dyDescent="0.2">
      <c r="B72" t="s">
        <v>2265</v>
      </c>
      <c r="C72" t="s">
        <v>242</v>
      </c>
    </row>
    <row r="73" spans="2:82" x14ac:dyDescent="0.2">
      <c r="E73" t="s">
        <v>2036</v>
      </c>
      <c r="F73" t="s">
        <v>2037</v>
      </c>
      <c r="G73" t="s">
        <v>2038</v>
      </c>
    </row>
    <row r="74" spans="2:82" x14ac:dyDescent="0.2">
      <c r="E74" t="s">
        <v>243</v>
      </c>
      <c r="F74" t="s">
        <v>243</v>
      </c>
      <c r="G74" t="s">
        <v>243</v>
      </c>
    </row>
    <row r="75" spans="2:82" x14ac:dyDescent="0.2">
      <c r="B75" t="s">
        <v>2266</v>
      </c>
      <c r="C75">
        <v>685</v>
      </c>
      <c r="D75" t="s">
        <v>248</v>
      </c>
      <c r="E75">
        <f>E22</f>
        <v>0</v>
      </c>
      <c r="F75">
        <f>Q22</f>
        <v>0</v>
      </c>
      <c r="G75">
        <f>R22</f>
        <v>0</v>
      </c>
      <c r="CD75">
        <f>IF(OR(E75&lt;&gt;E80,F75&lt;&gt;F80,G75&lt;&gt;G80),1,0)</f>
        <v>0</v>
      </c>
    </row>
    <row r="76" spans="2:82" x14ac:dyDescent="0.2">
      <c r="B76" t="s">
        <v>2267</v>
      </c>
      <c r="C76">
        <v>690</v>
      </c>
      <c r="D76" t="s">
        <v>248</v>
      </c>
      <c r="CB76">
        <f>IF(OR(E76&lt;0,F76&lt;0,G76&lt;0,H76&lt;0,I76&lt;0,J76&lt;0,K76&lt;0,L76&lt;0,M76&lt;0,N76&lt;0,O76&lt;0,P76&lt;0,Q76&lt;0,R76&lt;0),1,0)</f>
        <v>0</v>
      </c>
    </row>
    <row r="77" spans="2:82" x14ac:dyDescent="0.2">
      <c r="B77" t="s">
        <v>2268</v>
      </c>
      <c r="C77">
        <v>695</v>
      </c>
      <c r="D77" t="s">
        <v>248</v>
      </c>
      <c r="CB77">
        <f>IF(OR(E77&lt;0,F77&lt;0,G77&lt;0,H77&lt;0,I77&lt;0,J77&lt;0,K77&lt;0,L77&lt;0,M77&lt;0,N77&lt;0,O77&lt;0,P77&lt;0,Q77&lt;0,R77&lt;0),1,0)</f>
        <v>0</v>
      </c>
    </row>
    <row r="78" spans="2:82" x14ac:dyDescent="0.2">
      <c r="B78" t="s">
        <v>2269</v>
      </c>
      <c r="C78">
        <v>700</v>
      </c>
      <c r="D78" t="s">
        <v>248</v>
      </c>
      <c r="CB78">
        <f>IF(OR(E78&lt;0,F78&lt;0,G78&lt;0,H78&lt;0,I78&lt;0,J78&lt;0,K78&lt;0,L78&lt;0,M78&lt;0,N78&lt;0,O78&lt;0,P78&lt;0,Q78&lt;0,R78&lt;0),1,0)</f>
        <v>0</v>
      </c>
    </row>
    <row r="79" spans="2:82" x14ac:dyDescent="0.2">
      <c r="B79" t="s">
        <v>2270</v>
      </c>
      <c r="C79">
        <v>705</v>
      </c>
      <c r="D79" t="s">
        <v>248</v>
      </c>
      <c r="CB79">
        <f>IF(OR(E79&lt;0,F79&lt;0,G79&lt;0,H79&lt;0,I79&lt;0,J79&lt;0,K79&lt;0,L79&lt;0,M79&lt;0,N79&lt;0,O79&lt;0,P79&lt;0,Q79&lt;0,R79&lt;0),1,0)</f>
        <v>0</v>
      </c>
    </row>
    <row r="80" spans="2:82" x14ac:dyDescent="0.2">
      <c r="B80" t="s">
        <v>340</v>
      </c>
      <c r="C80">
        <v>710</v>
      </c>
      <c r="D80" t="s">
        <v>248</v>
      </c>
      <c r="E80">
        <f>SUM(E76:E79)</f>
        <v>0</v>
      </c>
      <c r="F80">
        <f>SUM(F76:F79)</f>
        <v>0</v>
      </c>
      <c r="G80">
        <f>SUM(G76:G79)</f>
        <v>0</v>
      </c>
    </row>
    <row r="81" spans="2:80" x14ac:dyDescent="0.2">
      <c r="B81" t="s">
        <v>2271</v>
      </c>
      <c r="C81">
        <v>720</v>
      </c>
      <c r="D81" t="s">
        <v>248</v>
      </c>
      <c r="CB81">
        <f>IF(OR(E81&lt;0,F81&lt;0,G81&lt;0,H81&lt;0,I81&lt;0,J81&lt;0,K81&lt;0,L81&lt;0,M81&lt;0,N81&lt;0,O81&lt;0,P81&lt;0,Q81&lt;0,R81&lt;0),1,0)</f>
        <v>0</v>
      </c>
    </row>
    <row r="82" spans="2:80" x14ac:dyDescent="0.2">
      <c r="B82" t="s">
        <v>2272</v>
      </c>
    </row>
    <row r="83" spans="2:80" x14ac:dyDescent="0.2">
      <c r="C83">
        <v>730</v>
      </c>
    </row>
    <row r="84" spans="2:80" x14ac:dyDescent="0.2">
      <c r="C84">
        <v>740</v>
      </c>
    </row>
    <row r="85" spans="2:80" x14ac:dyDescent="0.2">
      <c r="C85">
        <v>750</v>
      </c>
    </row>
    <row r="86" spans="2:80" x14ac:dyDescent="0.2">
      <c r="C86">
        <v>760</v>
      </c>
    </row>
    <row r="87" spans="2:80" x14ac:dyDescent="0.2">
      <c r="C87">
        <v>770</v>
      </c>
    </row>
  </sheetData>
  <sheetProtection sheet="1" objects="1" scenarios="1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CP120"/>
  <sheetViews>
    <sheetView zoomScale="70" zoomScaleNormal="70" workbookViewId="0"/>
  </sheetViews>
  <sheetFormatPr defaultRowHeight="12.75" x14ac:dyDescent="0.2"/>
  <sheetData>
    <row r="1" spans="1:87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7" x14ac:dyDescent="0.2">
      <c r="A2" t="s">
        <v>3727</v>
      </c>
    </row>
    <row r="3" spans="1:87" x14ac:dyDescent="0.2">
      <c r="A3" t="s">
        <v>3789</v>
      </c>
    </row>
    <row r="4" spans="1:87" x14ac:dyDescent="0.2">
      <c r="B4" t="s">
        <v>2273</v>
      </c>
    </row>
    <row r="6" spans="1:87" x14ac:dyDescent="0.2">
      <c r="B6" t="s">
        <v>433</v>
      </c>
      <c r="C6" t="s">
        <v>238</v>
      </c>
      <c r="D6" t="s">
        <v>25</v>
      </c>
      <c r="E6" t="s">
        <v>2088</v>
      </c>
      <c r="G6" t="s">
        <v>2089</v>
      </c>
      <c r="J6" t="s">
        <v>241</v>
      </c>
      <c r="CA6" t="s">
        <v>230</v>
      </c>
      <c r="CB6">
        <f>0</f>
        <v>0</v>
      </c>
    </row>
    <row r="7" spans="1:87" x14ac:dyDescent="0.2">
      <c r="C7" t="s">
        <v>242</v>
      </c>
      <c r="E7" t="s">
        <v>2091</v>
      </c>
      <c r="F7" t="s">
        <v>2021</v>
      </c>
      <c r="G7" t="s">
        <v>2092</v>
      </c>
      <c r="H7" t="s">
        <v>2023</v>
      </c>
      <c r="I7" t="s">
        <v>2021</v>
      </c>
      <c r="J7" t="s">
        <v>1048</v>
      </c>
      <c r="K7" t="s">
        <v>2023</v>
      </c>
      <c r="CC7" t="s">
        <v>2274</v>
      </c>
      <c r="CD7" t="s">
        <v>2274</v>
      </c>
    </row>
    <row r="8" spans="1:87" x14ac:dyDescent="0.2"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CC8" t="s">
        <v>2192</v>
      </c>
      <c r="CD8" t="s">
        <v>2193</v>
      </c>
      <c r="CE8" t="s">
        <v>2275</v>
      </c>
      <c r="CF8" t="s">
        <v>2276</v>
      </c>
      <c r="CH8" t="s">
        <v>2277</v>
      </c>
      <c r="CI8" t="s">
        <v>2278</v>
      </c>
    </row>
    <row r="9" spans="1:87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CA9" t="s">
        <v>231</v>
      </c>
      <c r="CB9" t="s">
        <v>232</v>
      </c>
      <c r="CH9" t="s">
        <v>2279</v>
      </c>
      <c r="CI9" t="s">
        <v>2280</v>
      </c>
    </row>
    <row r="10" spans="1:87" x14ac:dyDescent="0.2">
      <c r="B10" t="s">
        <v>434</v>
      </c>
      <c r="CA10">
        <f t="shared" ref="CA10:CF10" si="0">SUM(CA11:CA90)</f>
        <v>0</v>
      </c>
      <c r="CB10">
        <f t="shared" si="0"/>
        <v>0</v>
      </c>
      <c r="CC10">
        <f t="shared" si="0"/>
        <v>0</v>
      </c>
      <c r="CD10">
        <f t="shared" si="0"/>
        <v>0</v>
      </c>
      <c r="CE10">
        <f t="shared" si="0"/>
        <v>0</v>
      </c>
      <c r="CF10">
        <f t="shared" si="0"/>
        <v>0</v>
      </c>
      <c r="CI10">
        <f>SUM(CI11:CI90)</f>
        <v>0</v>
      </c>
    </row>
    <row r="11" spans="1:87" x14ac:dyDescent="0.2">
      <c r="B11" t="s">
        <v>2281</v>
      </c>
      <c r="C11">
        <v>100</v>
      </c>
      <c r="D11" t="s">
        <v>251</v>
      </c>
      <c r="H11">
        <f t="shared" ref="H11:H16" si="1">G11-F11</f>
        <v>0</v>
      </c>
      <c r="K11">
        <f t="shared" ref="K11:K16" si="2">J11-I11</f>
        <v>0</v>
      </c>
    </row>
    <row r="12" spans="1:87" x14ac:dyDescent="0.2">
      <c r="B12" t="s">
        <v>436</v>
      </c>
      <c r="C12">
        <v>110</v>
      </c>
      <c r="D12" t="s">
        <v>248</v>
      </c>
      <c r="H12">
        <f t="shared" si="1"/>
        <v>0</v>
      </c>
      <c r="K12">
        <f t="shared" si="2"/>
        <v>0</v>
      </c>
      <c r="CB12">
        <f>IF(OR(E12&lt;0,G12&lt;0,J12&lt;0),1,0)</f>
        <v>0</v>
      </c>
    </row>
    <row r="13" spans="1:87" x14ac:dyDescent="0.2">
      <c r="B13" t="s">
        <v>399</v>
      </c>
      <c r="C13">
        <v>120</v>
      </c>
      <c r="D13" t="s">
        <v>251</v>
      </c>
      <c r="H13">
        <f t="shared" si="1"/>
        <v>0</v>
      </c>
      <c r="K13">
        <f t="shared" si="2"/>
        <v>0</v>
      </c>
    </row>
    <row r="14" spans="1:87" x14ac:dyDescent="0.2">
      <c r="B14" t="s">
        <v>437</v>
      </c>
      <c r="C14">
        <v>130</v>
      </c>
      <c r="D14" t="s">
        <v>251</v>
      </c>
      <c r="H14">
        <f t="shared" si="1"/>
        <v>0</v>
      </c>
      <c r="K14">
        <f t="shared" si="2"/>
        <v>0</v>
      </c>
    </row>
    <row r="15" spans="1:87" x14ac:dyDescent="0.2">
      <c r="B15" t="s">
        <v>438</v>
      </c>
      <c r="C15">
        <v>140</v>
      </c>
      <c r="D15" t="s">
        <v>245</v>
      </c>
      <c r="H15">
        <f t="shared" si="1"/>
        <v>0</v>
      </c>
      <c r="K15">
        <f t="shared" si="2"/>
        <v>0</v>
      </c>
      <c r="CA15">
        <f>IF(OR(E15&gt;0,G15&gt;0,J15&gt;0),1,0)</f>
        <v>0</v>
      </c>
      <c r="CD15">
        <f>IF(J15&gt;G15,1,0)</f>
        <v>0</v>
      </c>
    </row>
    <row r="16" spans="1:87" x14ac:dyDescent="0.2">
      <c r="B16" t="s">
        <v>2282</v>
      </c>
      <c r="C16">
        <v>150</v>
      </c>
      <c r="D16" t="s">
        <v>245</v>
      </c>
      <c r="H16">
        <f t="shared" si="1"/>
        <v>0</v>
      </c>
      <c r="K16">
        <f t="shared" si="2"/>
        <v>0</v>
      </c>
      <c r="CA16">
        <f>IF(OR(E16&gt;0,G16&gt;0,J16&gt;0),1,0)</f>
        <v>0</v>
      </c>
      <c r="CD16">
        <f>IF(J16&gt;G16,1,0)</f>
        <v>0</v>
      </c>
    </row>
    <row r="17" spans="2:82" x14ac:dyDescent="0.2">
      <c r="B17" t="s">
        <v>2283</v>
      </c>
      <c r="C17">
        <v>155</v>
      </c>
      <c r="D17" t="s">
        <v>245</v>
      </c>
    </row>
    <row r="18" spans="2:82" x14ac:dyDescent="0.2">
      <c r="B18" t="s">
        <v>440</v>
      </c>
      <c r="C18">
        <v>160</v>
      </c>
      <c r="D18" t="s">
        <v>245</v>
      </c>
      <c r="H18">
        <f t="shared" ref="H18:H27" si="3">G18-F18</f>
        <v>0</v>
      </c>
      <c r="K18">
        <f t="shared" ref="K18:K27" si="4">J18-I18</f>
        <v>0</v>
      </c>
      <c r="CA18">
        <f>IF(OR(E18&gt;0,G18&gt;0,J18&gt;0),1,0)</f>
        <v>0</v>
      </c>
      <c r="CD18">
        <f>IF(J18&gt;G18,1,0)</f>
        <v>0</v>
      </c>
    </row>
    <row r="19" spans="2:82" x14ac:dyDescent="0.2">
      <c r="B19" t="s">
        <v>441</v>
      </c>
      <c r="C19">
        <v>170</v>
      </c>
      <c r="D19" t="s">
        <v>251</v>
      </c>
      <c r="H19">
        <f t="shared" si="3"/>
        <v>0</v>
      </c>
      <c r="K19">
        <f t="shared" si="4"/>
        <v>0</v>
      </c>
    </row>
    <row r="20" spans="2:82" x14ac:dyDescent="0.2">
      <c r="B20" t="s">
        <v>2284</v>
      </c>
      <c r="C20">
        <v>180</v>
      </c>
      <c r="D20" t="s">
        <v>251</v>
      </c>
      <c r="H20">
        <f t="shared" si="3"/>
        <v>0</v>
      </c>
      <c r="K20">
        <f t="shared" si="4"/>
        <v>0</v>
      </c>
    </row>
    <row r="21" spans="2:82" x14ac:dyDescent="0.2">
      <c r="B21" t="s">
        <v>443</v>
      </c>
      <c r="C21">
        <v>190</v>
      </c>
      <c r="D21" t="s">
        <v>251</v>
      </c>
      <c r="H21">
        <f t="shared" si="3"/>
        <v>0</v>
      </c>
      <c r="K21">
        <f t="shared" si="4"/>
        <v>0</v>
      </c>
    </row>
    <row r="22" spans="2:82" x14ac:dyDescent="0.2">
      <c r="B22" t="s">
        <v>444</v>
      </c>
      <c r="C22">
        <v>200</v>
      </c>
      <c r="D22" t="s">
        <v>251</v>
      </c>
      <c r="H22">
        <f t="shared" si="3"/>
        <v>0</v>
      </c>
      <c r="K22">
        <f t="shared" si="4"/>
        <v>0</v>
      </c>
    </row>
    <row r="23" spans="2:82" x14ac:dyDescent="0.2">
      <c r="B23" t="s">
        <v>445</v>
      </c>
      <c r="C23">
        <v>210</v>
      </c>
      <c r="D23" t="s">
        <v>251</v>
      </c>
      <c r="H23">
        <f t="shared" si="3"/>
        <v>0</v>
      </c>
      <c r="K23">
        <f t="shared" si="4"/>
        <v>0</v>
      </c>
    </row>
    <row r="24" spans="2:82" x14ac:dyDescent="0.2">
      <c r="B24" t="s">
        <v>446</v>
      </c>
      <c r="C24">
        <v>220</v>
      </c>
      <c r="D24" t="s">
        <v>251</v>
      </c>
      <c r="H24">
        <f t="shared" si="3"/>
        <v>0</v>
      </c>
      <c r="K24">
        <f t="shared" si="4"/>
        <v>0</v>
      </c>
    </row>
    <row r="25" spans="2:82" x14ac:dyDescent="0.2">
      <c r="B25" t="s">
        <v>447</v>
      </c>
      <c r="C25">
        <v>230</v>
      </c>
      <c r="D25" t="s">
        <v>251</v>
      </c>
      <c r="H25">
        <f t="shared" si="3"/>
        <v>0</v>
      </c>
      <c r="K25">
        <f t="shared" si="4"/>
        <v>0</v>
      </c>
    </row>
    <row r="26" spans="2:82" x14ac:dyDescent="0.2">
      <c r="B26" t="s">
        <v>448</v>
      </c>
      <c r="C26">
        <v>240</v>
      </c>
      <c r="D26" t="s">
        <v>245</v>
      </c>
      <c r="H26">
        <f t="shared" si="3"/>
        <v>0</v>
      </c>
      <c r="K26">
        <f t="shared" si="4"/>
        <v>0</v>
      </c>
      <c r="CA26">
        <f>IF(OR(E26&gt;0,G26&gt;0,J26&gt;0),1,0)</f>
        <v>0</v>
      </c>
      <c r="CD26">
        <f>IF(J26&gt;G26,1,0)</f>
        <v>0</v>
      </c>
    </row>
    <row r="27" spans="2:82" x14ac:dyDescent="0.2">
      <c r="B27" t="s">
        <v>2285</v>
      </c>
      <c r="C27">
        <v>250</v>
      </c>
      <c r="D27" t="s">
        <v>251</v>
      </c>
      <c r="H27">
        <f t="shared" si="3"/>
        <v>0</v>
      </c>
      <c r="K27">
        <f t="shared" si="4"/>
        <v>0</v>
      </c>
    </row>
    <row r="28" spans="2:82" x14ac:dyDescent="0.2">
      <c r="B28" t="s">
        <v>450</v>
      </c>
      <c r="C28">
        <v>260</v>
      </c>
      <c r="D28" t="s">
        <v>251</v>
      </c>
      <c r="E28">
        <f t="shared" ref="E28:K28" si="5">SUM(E11:E27)</f>
        <v>0</v>
      </c>
      <c r="F28">
        <f t="shared" si="5"/>
        <v>0</v>
      </c>
      <c r="G28">
        <f t="shared" si="5"/>
        <v>0</v>
      </c>
      <c r="H28">
        <f t="shared" si="5"/>
        <v>0</v>
      </c>
      <c r="I28">
        <f t="shared" si="5"/>
        <v>0</v>
      </c>
      <c r="J28">
        <f t="shared" si="5"/>
        <v>0</v>
      </c>
      <c r="K28">
        <f t="shared" si="5"/>
        <v>0</v>
      </c>
    </row>
    <row r="29" spans="2:82" x14ac:dyDescent="0.2">
      <c r="B29" t="s">
        <v>2286</v>
      </c>
    </row>
    <row r="30" spans="2:82" x14ac:dyDescent="0.2">
      <c r="B30" t="s">
        <v>452</v>
      </c>
      <c r="C30">
        <v>270</v>
      </c>
      <c r="D30" t="s">
        <v>248</v>
      </c>
      <c r="H30">
        <f t="shared" ref="H30:H43" si="6">G30-F30</f>
        <v>0</v>
      </c>
      <c r="K30">
        <f t="shared" ref="K30:K43" si="7">J30-I30</f>
        <v>0</v>
      </c>
      <c r="CB30">
        <f>IF(OR(E30&lt;0,G30&lt;0,J30&lt;0),1,0)</f>
        <v>0</v>
      </c>
      <c r="CC30">
        <f>IF(G30&gt;J30,1,0)</f>
        <v>0</v>
      </c>
    </row>
    <row r="31" spans="2:82" x14ac:dyDescent="0.2">
      <c r="B31" t="s">
        <v>2287</v>
      </c>
      <c r="C31">
        <v>280</v>
      </c>
      <c r="D31" t="s">
        <v>251</v>
      </c>
      <c r="H31">
        <f t="shared" si="6"/>
        <v>0</v>
      </c>
      <c r="K31">
        <f t="shared" si="7"/>
        <v>0</v>
      </c>
    </row>
    <row r="32" spans="2:82" x14ac:dyDescent="0.2">
      <c r="B32" t="s">
        <v>454</v>
      </c>
      <c r="C32">
        <v>290</v>
      </c>
      <c r="D32" t="s">
        <v>245</v>
      </c>
      <c r="H32">
        <f t="shared" si="6"/>
        <v>0</v>
      </c>
      <c r="K32">
        <f t="shared" si="7"/>
        <v>0</v>
      </c>
      <c r="CA32">
        <f>IF(OR(E32&gt;0,G32&gt;0,J32&gt;0),1,0)</f>
        <v>0</v>
      </c>
      <c r="CD32">
        <f>IF(J32&gt;G32,1,0)</f>
        <v>0</v>
      </c>
    </row>
    <row r="33" spans="2:94" x14ac:dyDescent="0.2">
      <c r="B33" t="s">
        <v>455</v>
      </c>
      <c r="C33">
        <v>300</v>
      </c>
      <c r="D33" t="s">
        <v>245</v>
      </c>
      <c r="H33">
        <f t="shared" si="6"/>
        <v>0</v>
      </c>
      <c r="K33">
        <f t="shared" si="7"/>
        <v>0</v>
      </c>
      <c r="CA33">
        <f>IF(OR(E33&gt;0,G33&gt;0,J33&gt;0),1,0)</f>
        <v>0</v>
      </c>
      <c r="CD33">
        <f>IF(J33&gt;G33,1,0)</f>
        <v>0</v>
      </c>
    </row>
    <row r="34" spans="2:94" x14ac:dyDescent="0.2">
      <c r="B34" t="s">
        <v>456</v>
      </c>
      <c r="C34">
        <v>310</v>
      </c>
      <c r="D34" t="s">
        <v>245</v>
      </c>
      <c r="H34">
        <f t="shared" si="6"/>
        <v>0</v>
      </c>
      <c r="K34">
        <f t="shared" si="7"/>
        <v>0</v>
      </c>
      <c r="CA34">
        <f>IF(OR(E34&gt;0,G34&gt;0,J34&gt;0),1,0)</f>
        <v>0</v>
      </c>
      <c r="CD34">
        <f>IF(J34&gt;G34,1,0)</f>
        <v>0</v>
      </c>
    </row>
    <row r="35" spans="2:94" x14ac:dyDescent="0.2">
      <c r="B35" t="s">
        <v>457</v>
      </c>
      <c r="C35">
        <v>320</v>
      </c>
      <c r="D35" t="s">
        <v>245</v>
      </c>
      <c r="H35">
        <f t="shared" si="6"/>
        <v>0</v>
      </c>
      <c r="K35">
        <f t="shared" si="7"/>
        <v>0</v>
      </c>
      <c r="CA35">
        <f>IF(OR(E35&gt;0,G35&gt;0,J35&gt;0),1,0)</f>
        <v>0</v>
      </c>
      <c r="CD35">
        <f>IF(J35&gt;G35,1,0)</f>
        <v>0</v>
      </c>
    </row>
    <row r="36" spans="2:94" x14ac:dyDescent="0.2">
      <c r="B36" t="s">
        <v>458</v>
      </c>
      <c r="C36">
        <v>330</v>
      </c>
      <c r="D36" t="s">
        <v>248</v>
      </c>
      <c r="H36">
        <f t="shared" si="6"/>
        <v>0</v>
      </c>
      <c r="K36">
        <f t="shared" si="7"/>
        <v>0</v>
      </c>
      <c r="CB36">
        <f>IF(OR(E36&lt;0,G36&lt;0,J36&lt;0),1,0)</f>
        <v>0</v>
      </c>
      <c r="CC36">
        <f>IF(G36&gt;J36,1,0)</f>
        <v>0</v>
      </c>
    </row>
    <row r="37" spans="2:94" x14ac:dyDescent="0.2">
      <c r="B37" t="s">
        <v>459</v>
      </c>
      <c r="C37">
        <v>340</v>
      </c>
      <c r="D37" t="s">
        <v>248</v>
      </c>
      <c r="H37">
        <f t="shared" si="6"/>
        <v>0</v>
      </c>
      <c r="K37">
        <f t="shared" si="7"/>
        <v>0</v>
      </c>
      <c r="CB37">
        <f>IF(OR(E37&lt;0,G37&lt;0,J37&lt;0),1,0)</f>
        <v>0</v>
      </c>
      <c r="CC37">
        <f>IF(G37&gt;J37,1,0)</f>
        <v>0</v>
      </c>
    </row>
    <row r="38" spans="2:94" x14ac:dyDescent="0.2">
      <c r="B38" t="s">
        <v>460</v>
      </c>
      <c r="C38">
        <v>350</v>
      </c>
      <c r="D38" t="s">
        <v>248</v>
      </c>
      <c r="H38">
        <f t="shared" si="6"/>
        <v>0</v>
      </c>
      <c r="K38">
        <f t="shared" si="7"/>
        <v>0</v>
      </c>
      <c r="CB38">
        <f>IF(OR(E38&lt;0,G38&lt;0,J38&lt;0),1,0)</f>
        <v>0</v>
      </c>
      <c r="CC38">
        <f>IF(G38&gt;J38,1,0)</f>
        <v>0</v>
      </c>
    </row>
    <row r="39" spans="2:94" x14ac:dyDescent="0.2">
      <c r="B39" t="s">
        <v>461</v>
      </c>
      <c r="C39">
        <v>360</v>
      </c>
      <c r="D39" t="s">
        <v>248</v>
      </c>
      <c r="H39">
        <f t="shared" si="6"/>
        <v>0</v>
      </c>
      <c r="K39">
        <f t="shared" si="7"/>
        <v>0</v>
      </c>
      <c r="CB39">
        <f>IF(OR(E39&lt;0,G39&lt;0,J39&lt;0),1,0)</f>
        <v>0</v>
      </c>
      <c r="CC39">
        <f>IF(G39&gt;J39,1,0)</f>
        <v>0</v>
      </c>
      <c r="CL39" t="s">
        <v>2288</v>
      </c>
    </row>
    <row r="40" spans="2:94" x14ac:dyDescent="0.2">
      <c r="B40" t="s">
        <v>462</v>
      </c>
      <c r="C40">
        <v>370</v>
      </c>
      <c r="D40" t="s">
        <v>248</v>
      </c>
      <c r="H40">
        <f t="shared" si="6"/>
        <v>0</v>
      </c>
      <c r="K40">
        <f t="shared" si="7"/>
        <v>0</v>
      </c>
      <c r="CB40">
        <f>IF(OR(E40&lt;0,G40&lt;0,J40&lt;0),1,0)</f>
        <v>0</v>
      </c>
      <c r="CC40">
        <f>IF(G40&gt;J40,1,0)</f>
        <v>0</v>
      </c>
      <c r="CL40">
        <f>SUM(F51+F48+F52+F58+F59+F60+F61+F62)*-1</f>
        <v>0</v>
      </c>
      <c r="CM40">
        <f>SUM(G51+G48+G52+G58+G59+G60+G61+G62)*-1</f>
        <v>0</v>
      </c>
      <c r="CN40">
        <f>SUM(H51+H48+H52+H58+H59+H60+H61+H62)*-1</f>
        <v>0</v>
      </c>
      <c r="CO40">
        <f>SUM(I51+I48+I52+I58+I59+I60+I61+I62)*-1</f>
        <v>0</v>
      </c>
      <c r="CP40">
        <f>SUM(J51+J48+J52+J58+J59+J60+J61+J62)*-1</f>
        <v>0</v>
      </c>
    </row>
    <row r="41" spans="2:94" x14ac:dyDescent="0.2">
      <c r="B41" t="s">
        <v>463</v>
      </c>
      <c r="C41">
        <v>380</v>
      </c>
      <c r="D41" t="s">
        <v>245</v>
      </c>
      <c r="H41">
        <f t="shared" si="6"/>
        <v>0</v>
      </c>
      <c r="K41">
        <f t="shared" si="7"/>
        <v>0</v>
      </c>
    </row>
    <row r="42" spans="2:94" x14ac:dyDescent="0.2">
      <c r="B42" t="s">
        <v>464</v>
      </c>
      <c r="C42">
        <v>390</v>
      </c>
      <c r="D42" t="s">
        <v>248</v>
      </c>
      <c r="H42">
        <f t="shared" si="6"/>
        <v>0</v>
      </c>
      <c r="K42">
        <f t="shared" si="7"/>
        <v>0</v>
      </c>
    </row>
    <row r="43" spans="2:94" x14ac:dyDescent="0.2">
      <c r="B43" t="s">
        <v>165</v>
      </c>
      <c r="C43">
        <v>400</v>
      </c>
      <c r="D43" t="s">
        <v>248</v>
      </c>
      <c r="H43">
        <f t="shared" si="6"/>
        <v>0</v>
      </c>
      <c r="K43">
        <f t="shared" si="7"/>
        <v>0</v>
      </c>
      <c r="CB43">
        <f>IF(OR(E43&lt;0,G43&lt;0,J43&lt;0),1,0)</f>
        <v>0</v>
      </c>
      <c r="CC43">
        <f>IF(G43&gt;J43,1,0)</f>
        <v>0</v>
      </c>
      <c r="CL43">
        <f>SUM(F47:F52)</f>
        <v>0</v>
      </c>
      <c r="CM43">
        <f>SUM(G47:G52)</f>
        <v>0</v>
      </c>
      <c r="CO43">
        <f>SUM(I47:I52)</f>
        <v>0</v>
      </c>
      <c r="CP43">
        <f>SUM(J47:J52)</f>
        <v>0</v>
      </c>
    </row>
    <row r="44" spans="2:94" x14ac:dyDescent="0.2">
      <c r="B44" t="s">
        <v>466</v>
      </c>
      <c r="C44">
        <v>410</v>
      </c>
      <c r="D44" t="s">
        <v>251</v>
      </c>
      <c r="E44">
        <f t="shared" ref="E44:K44" si="8">SUM(E30:E43)</f>
        <v>0</v>
      </c>
      <c r="F44">
        <f t="shared" si="8"/>
        <v>0</v>
      </c>
      <c r="G44">
        <f t="shared" si="8"/>
        <v>0</v>
      </c>
      <c r="H44">
        <f t="shared" si="8"/>
        <v>0</v>
      </c>
      <c r="I44">
        <f t="shared" si="8"/>
        <v>0</v>
      </c>
      <c r="J44">
        <f t="shared" si="8"/>
        <v>0</v>
      </c>
      <c r="K44">
        <f t="shared" si="8"/>
        <v>0</v>
      </c>
    </row>
    <row r="45" spans="2:94" x14ac:dyDescent="0.2">
      <c r="B45" t="s">
        <v>467</v>
      </c>
      <c r="C45">
        <v>420</v>
      </c>
      <c r="D45" t="s">
        <v>251</v>
      </c>
      <c r="E45">
        <f t="shared" ref="E45:K45" si="9">E28+E44</f>
        <v>0</v>
      </c>
      <c r="F45">
        <f t="shared" si="9"/>
        <v>0</v>
      </c>
      <c r="G45">
        <f t="shared" si="9"/>
        <v>0</v>
      </c>
      <c r="H45">
        <f t="shared" si="9"/>
        <v>0</v>
      </c>
      <c r="I45">
        <f t="shared" si="9"/>
        <v>0</v>
      </c>
      <c r="J45">
        <f t="shared" si="9"/>
        <v>0</v>
      </c>
      <c r="K45">
        <f t="shared" si="9"/>
        <v>0</v>
      </c>
    </row>
    <row r="46" spans="2:94" x14ac:dyDescent="0.2">
      <c r="B46" t="s">
        <v>2289</v>
      </c>
    </row>
    <row r="47" spans="2:94" x14ac:dyDescent="0.2">
      <c r="B47" t="s">
        <v>2290</v>
      </c>
      <c r="C47">
        <v>424</v>
      </c>
      <c r="D47" t="s">
        <v>248</v>
      </c>
      <c r="H47">
        <f t="shared" ref="H47:H62" si="10">G47-F47</f>
        <v>0</v>
      </c>
      <c r="K47">
        <f t="shared" ref="K47:K62" si="11">J47-I47</f>
        <v>0</v>
      </c>
      <c r="CB47">
        <f>IF(OR(E47&lt;0,G47&lt;0,J47&lt;0),1,0)</f>
        <v>0</v>
      </c>
      <c r="CC47">
        <f>IF(G47&gt;J47,1,0)</f>
        <v>0</v>
      </c>
    </row>
    <row r="48" spans="2:94" x14ac:dyDescent="0.2">
      <c r="B48" t="s">
        <v>2291</v>
      </c>
      <c r="C48">
        <v>427</v>
      </c>
      <c r="D48" t="s">
        <v>245</v>
      </c>
      <c r="H48">
        <f t="shared" si="10"/>
        <v>0</v>
      </c>
      <c r="K48">
        <f t="shared" si="11"/>
        <v>0</v>
      </c>
      <c r="CA48">
        <f>IF(OR(E48&gt;0,G48&gt;0,J48&gt;0),1,0)</f>
        <v>0</v>
      </c>
      <c r="CD48">
        <f>IF(J48&gt;G48,1,0)</f>
        <v>0</v>
      </c>
    </row>
    <row r="49" spans="2:82" x14ac:dyDescent="0.2">
      <c r="B49" t="s">
        <v>2292</v>
      </c>
      <c r="C49">
        <v>430</v>
      </c>
      <c r="D49" t="s">
        <v>248</v>
      </c>
      <c r="H49">
        <f t="shared" si="10"/>
        <v>0</v>
      </c>
      <c r="K49">
        <f t="shared" si="11"/>
        <v>0</v>
      </c>
      <c r="CB49">
        <f>IF(OR(E49&lt;0,G49&lt;0,J49&lt;0),1,0)</f>
        <v>0</v>
      </c>
      <c r="CC49">
        <f>IF(G49&gt;J49,1,0)</f>
        <v>0</v>
      </c>
    </row>
    <row r="50" spans="2:82" x14ac:dyDescent="0.2">
      <c r="B50" t="s">
        <v>2293</v>
      </c>
      <c r="C50">
        <v>440</v>
      </c>
      <c r="D50" t="s">
        <v>248</v>
      </c>
      <c r="H50">
        <f t="shared" si="10"/>
        <v>0</v>
      </c>
      <c r="K50">
        <f t="shared" si="11"/>
        <v>0</v>
      </c>
      <c r="CB50">
        <f>IF(OR(E50&lt;0,G50&lt;0,J50&lt;0),1,0)</f>
        <v>0</v>
      </c>
      <c r="CC50">
        <f>IF(G50&gt;J50,1,0)</f>
        <v>0</v>
      </c>
    </row>
    <row r="51" spans="2:82" x14ac:dyDescent="0.2">
      <c r="B51" t="s">
        <v>2294</v>
      </c>
      <c r="C51">
        <v>441</v>
      </c>
      <c r="D51" t="s">
        <v>245</v>
      </c>
      <c r="H51">
        <f t="shared" si="10"/>
        <v>0</v>
      </c>
      <c r="K51">
        <f t="shared" si="11"/>
        <v>0</v>
      </c>
      <c r="CA51">
        <f>IF(OR(E51&gt;0,G51&gt;0,J51&gt;0),1,0)</f>
        <v>0</v>
      </c>
      <c r="CD51">
        <f>IF(J51&gt;G51,1,0)</f>
        <v>0</v>
      </c>
    </row>
    <row r="52" spans="2:82" x14ac:dyDescent="0.2">
      <c r="B52" t="s">
        <v>2295</v>
      </c>
      <c r="C52">
        <v>442</v>
      </c>
      <c r="D52" t="s">
        <v>245</v>
      </c>
      <c r="H52">
        <f t="shared" si="10"/>
        <v>0</v>
      </c>
      <c r="K52">
        <f t="shared" si="11"/>
        <v>0</v>
      </c>
      <c r="CA52">
        <f>IF(OR(G52&gt;0,J52&gt;0),1,0)</f>
        <v>0</v>
      </c>
      <c r="CD52">
        <f>IF(J52&gt;G52,1,0)</f>
        <v>0</v>
      </c>
    </row>
    <row r="53" spans="2:82" x14ac:dyDescent="0.2">
      <c r="B53" t="s">
        <v>471</v>
      </c>
      <c r="C53">
        <v>450</v>
      </c>
      <c r="D53" t="s">
        <v>248</v>
      </c>
      <c r="H53">
        <f t="shared" si="10"/>
        <v>0</v>
      </c>
      <c r="K53">
        <f t="shared" si="11"/>
        <v>0</v>
      </c>
      <c r="CB53">
        <f>IF(OR(E53&lt;0,G53&lt;0,J53&lt;0),1,0)</f>
        <v>0</v>
      </c>
      <c r="CC53">
        <f>IF(G53&gt;J53,1,0)</f>
        <v>0</v>
      </c>
    </row>
    <row r="54" spans="2:82" x14ac:dyDescent="0.2">
      <c r="B54" t="s">
        <v>562</v>
      </c>
      <c r="C54">
        <v>460</v>
      </c>
      <c r="D54" t="s">
        <v>248</v>
      </c>
      <c r="H54">
        <f t="shared" si="10"/>
        <v>0</v>
      </c>
      <c r="K54">
        <f t="shared" si="11"/>
        <v>0</v>
      </c>
      <c r="CB54">
        <f>IF(OR(E54&lt;0,G54&lt;0,J54&lt;0),1,0)</f>
        <v>0</v>
      </c>
      <c r="CC54">
        <f>IF(G54&gt;J54,1,0)</f>
        <v>0</v>
      </c>
    </row>
    <row r="55" spans="2:82" x14ac:dyDescent="0.2">
      <c r="B55" t="s">
        <v>2137</v>
      </c>
      <c r="C55">
        <v>465</v>
      </c>
      <c r="D55" t="s">
        <v>248</v>
      </c>
      <c r="H55">
        <f t="shared" si="10"/>
        <v>0</v>
      </c>
      <c r="K55">
        <f t="shared" si="11"/>
        <v>0</v>
      </c>
      <c r="CB55">
        <f>IF(OR(E55&lt;0,G55&lt;0,J55&lt;0),1,0)</f>
        <v>0</v>
      </c>
      <c r="CC55">
        <f>IF(G55&gt;J55,1,0)</f>
        <v>0</v>
      </c>
    </row>
    <row r="56" spans="2:82" x14ac:dyDescent="0.2">
      <c r="B56" t="s">
        <v>2296</v>
      </c>
      <c r="C56">
        <v>468</v>
      </c>
      <c r="D56" t="s">
        <v>248</v>
      </c>
      <c r="H56">
        <f t="shared" si="10"/>
        <v>0</v>
      </c>
      <c r="K56">
        <f t="shared" si="11"/>
        <v>0</v>
      </c>
      <c r="CB56">
        <f>IF(OR(E56&lt;0,G56&lt;0,J56&lt;0),1,0)</f>
        <v>0</v>
      </c>
      <c r="CC56">
        <f>IF(G56&gt;J56,1,0)</f>
        <v>0</v>
      </c>
    </row>
    <row r="57" spans="2:82" x14ac:dyDescent="0.2">
      <c r="B57" t="s">
        <v>473</v>
      </c>
      <c r="C57">
        <v>470</v>
      </c>
      <c r="D57" t="s">
        <v>248</v>
      </c>
      <c r="H57">
        <f t="shared" si="10"/>
        <v>0</v>
      </c>
      <c r="K57">
        <f t="shared" si="11"/>
        <v>0</v>
      </c>
      <c r="CB57">
        <f>IF(OR(E57&lt;0,G57&lt;0,J57&lt;0),1,0)</f>
        <v>0</v>
      </c>
      <c r="CC57">
        <f>IF(G57&gt;J57,1,0)</f>
        <v>0</v>
      </c>
    </row>
    <row r="58" spans="2:82" x14ac:dyDescent="0.2">
      <c r="B58" t="s">
        <v>474</v>
      </c>
      <c r="C58">
        <v>480</v>
      </c>
      <c r="D58" t="s">
        <v>245</v>
      </c>
      <c r="H58">
        <f t="shared" si="10"/>
        <v>0</v>
      </c>
      <c r="K58">
        <f t="shared" si="11"/>
        <v>0</v>
      </c>
      <c r="CA58">
        <f>IF(OR(E58&gt;0,G58&gt;0,J58&gt;0),1,0)</f>
        <v>0</v>
      </c>
      <c r="CD58">
        <f>IF(J58&gt;G58,1,0)</f>
        <v>0</v>
      </c>
    </row>
    <row r="59" spans="2:82" x14ac:dyDescent="0.2">
      <c r="B59" t="s">
        <v>2297</v>
      </c>
      <c r="C59">
        <v>490</v>
      </c>
      <c r="D59" t="s">
        <v>245</v>
      </c>
      <c r="H59">
        <f t="shared" si="10"/>
        <v>0</v>
      </c>
      <c r="K59">
        <f t="shared" si="11"/>
        <v>0</v>
      </c>
      <c r="CA59">
        <f>IF(OR(E59&gt;0,G59&gt;0,J59&gt;0),1,0)</f>
        <v>0</v>
      </c>
      <c r="CD59">
        <f>IF(J59&gt;G59,1,0)</f>
        <v>0</v>
      </c>
    </row>
    <row r="60" spans="2:82" x14ac:dyDescent="0.2">
      <c r="B60" t="s">
        <v>2298</v>
      </c>
      <c r="C60">
        <v>492</v>
      </c>
      <c r="D60" t="s">
        <v>245</v>
      </c>
      <c r="H60">
        <f t="shared" si="10"/>
        <v>0</v>
      </c>
      <c r="K60">
        <f t="shared" si="11"/>
        <v>0</v>
      </c>
      <c r="CA60">
        <f>IF(OR(E60&gt;0,G60&gt;0,J60&gt;0),1,0)</f>
        <v>0</v>
      </c>
      <c r="CD60">
        <f>IF(J60&gt;G60,1,0)</f>
        <v>0</v>
      </c>
    </row>
    <row r="61" spans="2:82" x14ac:dyDescent="0.2">
      <c r="B61" t="s">
        <v>479</v>
      </c>
      <c r="C61">
        <v>495</v>
      </c>
      <c r="D61" t="s">
        <v>245</v>
      </c>
      <c r="H61">
        <f t="shared" si="10"/>
        <v>0</v>
      </c>
      <c r="K61">
        <f t="shared" si="11"/>
        <v>0</v>
      </c>
      <c r="CA61">
        <f>IF(OR(E61&gt;0,G61&gt;0,J61&gt;0),1,0)</f>
        <v>0</v>
      </c>
      <c r="CD61">
        <f>IF(J61&gt;G61,1,0)</f>
        <v>0</v>
      </c>
    </row>
    <row r="62" spans="2:82" x14ac:dyDescent="0.2">
      <c r="B62" t="s">
        <v>476</v>
      </c>
      <c r="C62">
        <v>500</v>
      </c>
      <c r="D62" t="s">
        <v>245</v>
      </c>
      <c r="H62">
        <f t="shared" si="10"/>
        <v>0</v>
      </c>
      <c r="K62">
        <f t="shared" si="11"/>
        <v>0</v>
      </c>
      <c r="CA62">
        <f>IF(OR(E62&gt;0,G62&gt;0,J62&gt;0),1,0)</f>
        <v>0</v>
      </c>
      <c r="CD62">
        <f>IF(J62&gt;G62,1,0)</f>
        <v>0</v>
      </c>
    </row>
    <row r="63" spans="2:82" x14ac:dyDescent="0.2">
      <c r="B63" t="s">
        <v>477</v>
      </c>
      <c r="C63">
        <v>510</v>
      </c>
      <c r="D63" t="s">
        <v>248</v>
      </c>
    </row>
    <row r="64" spans="2:82" x14ac:dyDescent="0.2">
      <c r="B64" t="s">
        <v>478</v>
      </c>
      <c r="C64">
        <v>520</v>
      </c>
      <c r="D64" t="s">
        <v>251</v>
      </c>
      <c r="H64">
        <f>G64-F64</f>
        <v>0</v>
      </c>
      <c r="K64">
        <f>J64-I64</f>
        <v>0</v>
      </c>
    </row>
    <row r="65" spans="2:83" x14ac:dyDescent="0.2">
      <c r="C65">
        <v>530</v>
      </c>
      <c r="D65" t="s">
        <v>245</v>
      </c>
    </row>
    <row r="66" spans="2:83" x14ac:dyDescent="0.2">
      <c r="B66" t="s">
        <v>2299</v>
      </c>
      <c r="C66">
        <v>560</v>
      </c>
      <c r="D66" t="s">
        <v>248</v>
      </c>
      <c r="H66">
        <f>G66-F66</f>
        <v>0</v>
      </c>
      <c r="K66">
        <f>J66-I66</f>
        <v>0</v>
      </c>
      <c r="CB66">
        <f>IF(OR(E66&lt;0,G66&lt;0,J66&lt;0),1,0)</f>
        <v>0</v>
      </c>
      <c r="CC66">
        <f>IF(G66&gt;J66,1,0)</f>
        <v>0</v>
      </c>
    </row>
    <row r="67" spans="2:83" x14ac:dyDescent="0.2">
      <c r="B67" t="s">
        <v>483</v>
      </c>
      <c r="C67">
        <v>570</v>
      </c>
      <c r="D67" t="s">
        <v>251</v>
      </c>
    </row>
    <row r="68" spans="2:83" x14ac:dyDescent="0.2">
      <c r="B68" t="s">
        <v>484</v>
      </c>
      <c r="C68">
        <v>580</v>
      </c>
      <c r="D68" t="s">
        <v>251</v>
      </c>
      <c r="E68">
        <f t="shared" ref="E68:K68" si="12">SUM(E47:E67)</f>
        <v>0</v>
      </c>
      <c r="F68">
        <f t="shared" si="12"/>
        <v>0</v>
      </c>
      <c r="G68">
        <f t="shared" si="12"/>
        <v>0</v>
      </c>
      <c r="H68">
        <f t="shared" si="12"/>
        <v>0</v>
      </c>
      <c r="I68">
        <f t="shared" si="12"/>
        <v>0</v>
      </c>
      <c r="J68">
        <f t="shared" si="12"/>
        <v>0</v>
      </c>
      <c r="K68">
        <f t="shared" si="12"/>
        <v>0</v>
      </c>
    </row>
    <row r="69" spans="2:83" x14ac:dyDescent="0.2">
      <c r="B69" t="s">
        <v>485</v>
      </c>
      <c r="C69">
        <v>590</v>
      </c>
      <c r="D69" t="s">
        <v>251</v>
      </c>
      <c r="E69">
        <f t="shared" ref="E69:K69" si="13">SUM(E68+E44+E28)</f>
        <v>0</v>
      </c>
      <c r="F69">
        <f t="shared" si="13"/>
        <v>0</v>
      </c>
      <c r="G69">
        <f t="shared" si="13"/>
        <v>0</v>
      </c>
      <c r="H69">
        <f t="shared" si="13"/>
        <v>0</v>
      </c>
      <c r="I69">
        <f t="shared" si="13"/>
        <v>0</v>
      </c>
      <c r="J69">
        <f t="shared" si="13"/>
        <v>0</v>
      </c>
      <c r="K69">
        <f t="shared" si="13"/>
        <v>0</v>
      </c>
    </row>
    <row r="70" spans="2:83" x14ac:dyDescent="0.2">
      <c r="B70" t="s">
        <v>2001</v>
      </c>
      <c r="C70">
        <v>600</v>
      </c>
      <c r="D70" t="s">
        <v>251</v>
      </c>
      <c r="G70">
        <f>E74</f>
        <v>0</v>
      </c>
      <c r="H70">
        <f>G70-F70</f>
        <v>0</v>
      </c>
      <c r="J70">
        <f>E74</f>
        <v>0</v>
      </c>
      <c r="K70">
        <f>J70-I70</f>
        <v>0</v>
      </c>
    </row>
    <row r="71" spans="2:83" x14ac:dyDescent="0.2">
      <c r="B71" t="s">
        <v>487</v>
      </c>
      <c r="C71">
        <v>610</v>
      </c>
      <c r="D71" t="s">
        <v>251</v>
      </c>
      <c r="H71">
        <f>G71-F71</f>
        <v>0</v>
      </c>
      <c r="K71">
        <f>J71-I71</f>
        <v>0</v>
      </c>
    </row>
    <row r="72" spans="2:83" x14ac:dyDescent="0.2">
      <c r="B72" t="s">
        <v>488</v>
      </c>
      <c r="C72">
        <v>620</v>
      </c>
      <c r="D72" t="s">
        <v>251</v>
      </c>
      <c r="E72">
        <f t="shared" ref="E72:K72" si="14">E71+E70</f>
        <v>0</v>
      </c>
      <c r="F72">
        <f t="shared" si="14"/>
        <v>0</v>
      </c>
      <c r="G72">
        <f t="shared" si="14"/>
        <v>0</v>
      </c>
      <c r="H72">
        <f t="shared" si="14"/>
        <v>0</v>
      </c>
      <c r="I72">
        <f t="shared" si="14"/>
        <v>0</v>
      </c>
      <c r="J72">
        <f t="shared" si="14"/>
        <v>0</v>
      </c>
      <c r="K72">
        <f t="shared" si="14"/>
        <v>0</v>
      </c>
    </row>
    <row r="73" spans="2:83" x14ac:dyDescent="0.2">
      <c r="B73" t="s">
        <v>489</v>
      </c>
      <c r="C73">
        <v>630</v>
      </c>
      <c r="D73" t="s">
        <v>251</v>
      </c>
      <c r="H73">
        <f>G73-F73</f>
        <v>0</v>
      </c>
      <c r="K73">
        <f>J73-I73</f>
        <v>0</v>
      </c>
    </row>
    <row r="74" spans="2:83" x14ac:dyDescent="0.2">
      <c r="B74" t="s">
        <v>490</v>
      </c>
      <c r="C74">
        <v>640</v>
      </c>
      <c r="D74" t="s">
        <v>251</v>
      </c>
      <c r="E74">
        <f t="shared" ref="E74:K74" si="15">SUM(E69+E72+E73)</f>
        <v>0</v>
      </c>
      <c r="F74">
        <f t="shared" si="15"/>
        <v>0</v>
      </c>
      <c r="G74">
        <f t="shared" si="15"/>
        <v>0</v>
      </c>
      <c r="H74">
        <f t="shared" si="15"/>
        <v>0</v>
      </c>
      <c r="I74">
        <f t="shared" si="15"/>
        <v>0</v>
      </c>
      <c r="J74">
        <f t="shared" si="15"/>
        <v>0</v>
      </c>
      <c r="K74">
        <f t="shared" si="15"/>
        <v>0</v>
      </c>
    </row>
    <row r="76" spans="2:83" x14ac:dyDescent="0.2">
      <c r="B76" t="s">
        <v>2300</v>
      </c>
      <c r="C76">
        <v>645</v>
      </c>
      <c r="CE76">
        <f>IF(AND(G48&lt;&gt;0,ISBLANK(E76)),1,IF(AND(J48&lt;&gt;0,ISBLANK(E76)),1,0))</f>
        <v>0</v>
      </c>
    </row>
    <row r="78" spans="2:83" x14ac:dyDescent="0.2">
      <c r="B78" t="s">
        <v>2258</v>
      </c>
      <c r="C78" t="s">
        <v>238</v>
      </c>
      <c r="D78" t="s">
        <v>25</v>
      </c>
      <c r="E78" t="s">
        <v>2301</v>
      </c>
      <c r="F78" t="s">
        <v>2021</v>
      </c>
      <c r="G78" t="s">
        <v>2092</v>
      </c>
      <c r="H78" t="s">
        <v>2023</v>
      </c>
      <c r="I78" t="s">
        <v>2021</v>
      </c>
      <c r="J78" t="s">
        <v>1048</v>
      </c>
      <c r="K78" t="s">
        <v>2023</v>
      </c>
    </row>
    <row r="79" spans="2:83" x14ac:dyDescent="0.2">
      <c r="C79" t="s">
        <v>242</v>
      </c>
      <c r="E79" t="s">
        <v>2036</v>
      </c>
      <c r="F79" t="s">
        <v>2037</v>
      </c>
      <c r="G79" t="s">
        <v>2038</v>
      </c>
      <c r="H79" t="s">
        <v>2039</v>
      </c>
      <c r="I79" t="s">
        <v>2040</v>
      </c>
      <c r="J79" t="s">
        <v>2041</v>
      </c>
      <c r="K79" t="s">
        <v>2042</v>
      </c>
    </row>
    <row r="80" spans="2:83" x14ac:dyDescent="0.2">
      <c r="B80" t="s">
        <v>473</v>
      </c>
      <c r="E80" t="s">
        <v>243</v>
      </c>
      <c r="F80" t="s">
        <v>243</v>
      </c>
      <c r="G80" t="s">
        <v>243</v>
      </c>
      <c r="H80" t="s">
        <v>243</v>
      </c>
      <c r="I80" t="s">
        <v>243</v>
      </c>
      <c r="J80" t="s">
        <v>243</v>
      </c>
      <c r="K80" t="s">
        <v>243</v>
      </c>
    </row>
    <row r="81" spans="2:87" x14ac:dyDescent="0.2">
      <c r="C81">
        <v>650</v>
      </c>
      <c r="D81" t="s">
        <v>248</v>
      </c>
      <c r="H81">
        <f>G81-F81</f>
        <v>0</v>
      </c>
      <c r="K81">
        <f>J81-I81</f>
        <v>0</v>
      </c>
      <c r="CB81">
        <f>IF(OR(E81&lt;0,G81&lt;0,J81&lt;0),1,0)</f>
        <v>0</v>
      </c>
      <c r="CC81">
        <f>IF(G81&gt;J81,1,0)</f>
        <v>0</v>
      </c>
      <c r="CI81">
        <f>IF(AND(G81&lt;&gt;0,ISBLANK(B81)),1,IF(AND(J81&lt;&gt;0,ISBLANK(B81)),1,0))</f>
        <v>0</v>
      </c>
    </row>
    <row r="82" spans="2:87" x14ac:dyDescent="0.2">
      <c r="C82">
        <v>660</v>
      </c>
      <c r="D82" t="s">
        <v>248</v>
      </c>
      <c r="H82">
        <f>G82-F82</f>
        <v>0</v>
      </c>
      <c r="K82">
        <f>J82-I82</f>
        <v>0</v>
      </c>
      <c r="CB82">
        <f>IF(OR(E82&lt;0,G82&lt;0,J82&lt;0),1,0)</f>
        <v>0</v>
      </c>
      <c r="CC82">
        <f>IF(G82&gt;J82,1,0)</f>
        <v>0</v>
      </c>
      <c r="CI82">
        <f>IF(AND(G82&lt;&gt;0,ISBLANK(B82)),1,IF(AND(J82&lt;&gt;0,ISBLANK(B82)),1,0))</f>
        <v>0</v>
      </c>
    </row>
    <row r="83" spans="2:87" x14ac:dyDescent="0.2">
      <c r="C83">
        <v>665</v>
      </c>
      <c r="D83" t="s">
        <v>248</v>
      </c>
      <c r="H83">
        <f>G83-F83</f>
        <v>0</v>
      </c>
      <c r="K83">
        <f>J83-I83</f>
        <v>0</v>
      </c>
      <c r="CB83">
        <f>IF(OR(E83&lt;0,G83&lt;0,J83&lt;0),1,0)</f>
        <v>0</v>
      </c>
      <c r="CC83">
        <f>IF(G83&gt;J83,1,0)</f>
        <v>0</v>
      </c>
      <c r="CI83">
        <f>IF(AND(G83&lt;&gt;0,ISBLANK(B83)),1,IF(AND(J83&lt;&gt;0,ISBLANK(B83)),1,0))</f>
        <v>0</v>
      </c>
    </row>
    <row r="84" spans="2:87" x14ac:dyDescent="0.2">
      <c r="B84" t="s">
        <v>2302</v>
      </c>
      <c r="C84">
        <v>680</v>
      </c>
      <c r="D84" t="s">
        <v>248</v>
      </c>
      <c r="E84">
        <f t="shared" ref="E84:K84" si="16">SUM(E81:E83)</f>
        <v>0</v>
      </c>
      <c r="F84">
        <f t="shared" si="16"/>
        <v>0</v>
      </c>
      <c r="G84">
        <f t="shared" si="16"/>
        <v>0</v>
      </c>
      <c r="H84">
        <f t="shared" si="16"/>
        <v>0</v>
      </c>
      <c r="I84">
        <f t="shared" si="16"/>
        <v>0</v>
      </c>
      <c r="J84">
        <f t="shared" si="16"/>
        <v>0</v>
      </c>
      <c r="K84">
        <f t="shared" si="16"/>
        <v>0</v>
      </c>
      <c r="CF84">
        <f>IF(OR(E84&lt;&gt;E57,G84&lt;&gt;G57,J84&lt;&gt;J57),1,0)</f>
        <v>0</v>
      </c>
    </row>
    <row r="85" spans="2:87" x14ac:dyDescent="0.2">
      <c r="B85" t="s">
        <v>476</v>
      </c>
      <c r="C85" t="s">
        <v>1560</v>
      </c>
      <c r="D85" t="s">
        <v>25</v>
      </c>
      <c r="E85" t="s">
        <v>243</v>
      </c>
      <c r="F85" t="s">
        <v>243</v>
      </c>
      <c r="G85" t="s">
        <v>243</v>
      </c>
      <c r="H85" t="s">
        <v>243</v>
      </c>
      <c r="I85" t="s">
        <v>243</v>
      </c>
      <c r="J85" t="s">
        <v>243</v>
      </c>
      <c r="K85" t="s">
        <v>243</v>
      </c>
    </row>
    <row r="86" spans="2:87" x14ac:dyDescent="0.2">
      <c r="C86">
        <v>690</v>
      </c>
      <c r="D86" t="s">
        <v>245</v>
      </c>
      <c r="H86">
        <f>G86-F86</f>
        <v>0</v>
      </c>
      <c r="K86">
        <f>J86-I86</f>
        <v>0</v>
      </c>
      <c r="CA86">
        <f>IF(OR(E86&gt;0,G86&gt;0,J86&gt;0),1,0)</f>
        <v>0</v>
      </c>
      <c r="CD86">
        <f>IF(J86&gt;G86,1,0)</f>
        <v>0</v>
      </c>
      <c r="CI86">
        <f>IF(AND(G86&lt;&gt;0,ISBLANK(B86)),1,IF(AND(J86&lt;&gt;0,ISBLANK(B86)),1,0))</f>
        <v>0</v>
      </c>
    </row>
    <row r="87" spans="2:87" x14ac:dyDescent="0.2">
      <c r="C87">
        <v>700</v>
      </c>
      <c r="D87" t="s">
        <v>245</v>
      </c>
      <c r="H87">
        <f>G87-F87</f>
        <v>0</v>
      </c>
      <c r="K87">
        <f>J87-I87</f>
        <v>0</v>
      </c>
      <c r="CA87">
        <f>IF(OR(E87&gt;0,G87&gt;0,J87&gt;0),1,0)</f>
        <v>0</v>
      </c>
      <c r="CD87">
        <f>IF(J87&gt;G87,1,0)</f>
        <v>0</v>
      </c>
      <c r="CI87">
        <f>IF(AND(G87&lt;&gt;0,ISBLANK(B87)),1,IF(AND(J87&lt;&gt;0,ISBLANK(B87)),1,0))</f>
        <v>0</v>
      </c>
    </row>
    <row r="88" spans="2:87" x14ac:dyDescent="0.2">
      <c r="C88">
        <v>710</v>
      </c>
      <c r="D88" t="s">
        <v>245</v>
      </c>
      <c r="H88">
        <f>G88-F88</f>
        <v>0</v>
      </c>
      <c r="K88">
        <f>J88-I88</f>
        <v>0</v>
      </c>
      <c r="CA88">
        <f>IF(OR(E88&gt;0,G88&gt;0,J88&gt;0),1,0)</f>
        <v>0</v>
      </c>
      <c r="CD88">
        <f>IF(J88&gt;G88,1,0)</f>
        <v>0</v>
      </c>
      <c r="CI88">
        <f>IF(AND(G88&lt;&gt;0,ISBLANK(B88)),1,IF(AND(J88&lt;&gt;0,ISBLANK(B88)),1,0))</f>
        <v>0</v>
      </c>
    </row>
    <row r="89" spans="2:87" x14ac:dyDescent="0.2">
      <c r="B89" t="s">
        <v>2303</v>
      </c>
      <c r="C89">
        <v>720</v>
      </c>
      <c r="D89" t="s">
        <v>245</v>
      </c>
      <c r="E89">
        <f t="shared" ref="E89:K89" si="17">SUM(E86:E88)</f>
        <v>0</v>
      </c>
      <c r="F89">
        <f t="shared" si="17"/>
        <v>0</v>
      </c>
      <c r="G89">
        <f t="shared" si="17"/>
        <v>0</v>
      </c>
      <c r="H89">
        <f t="shared" si="17"/>
        <v>0</v>
      </c>
      <c r="I89">
        <f t="shared" si="17"/>
        <v>0</v>
      </c>
      <c r="J89">
        <f t="shared" si="17"/>
        <v>0</v>
      </c>
      <c r="K89">
        <f t="shared" si="17"/>
        <v>0</v>
      </c>
      <c r="CD89">
        <f>IF(I89&gt;F89,1,0)</f>
        <v>0</v>
      </c>
      <c r="CF89">
        <f>IF(OR(E89&lt;&gt;E62,G89&lt;&gt;G62,J89&lt;&gt;J62),1,0)</f>
        <v>0</v>
      </c>
    </row>
    <row r="92" spans="2:87" x14ac:dyDescent="0.2">
      <c r="B92" t="s">
        <v>2304</v>
      </c>
      <c r="CG92" t="s">
        <v>2305</v>
      </c>
    </row>
    <row r="93" spans="2:87" x14ac:dyDescent="0.2">
      <c r="CG93" t="s">
        <v>2306</v>
      </c>
      <c r="CH93" t="s">
        <v>2307</v>
      </c>
    </row>
    <row r="94" spans="2:87" x14ac:dyDescent="0.2">
      <c r="B94" t="s">
        <v>2308</v>
      </c>
      <c r="CG94" t="s">
        <v>2309</v>
      </c>
    </row>
    <row r="95" spans="2:87" x14ac:dyDescent="0.2">
      <c r="B95" t="s">
        <v>2310</v>
      </c>
      <c r="E95">
        <f>E74-E94</f>
        <v>0</v>
      </c>
      <c r="G95">
        <f>G74-G94</f>
        <v>0</v>
      </c>
      <c r="J95">
        <f>J74-J94</f>
        <v>0</v>
      </c>
      <c r="CG95">
        <f>IF(OR(G95&lt;&gt;0,J95&lt;&gt;0),1,0)</f>
        <v>0</v>
      </c>
    </row>
    <row r="97" spans="2:86" x14ac:dyDescent="0.2">
      <c r="B97" t="s">
        <v>2311</v>
      </c>
      <c r="J97">
        <f>G97</f>
        <v>0</v>
      </c>
    </row>
    <row r="98" spans="2:86" x14ac:dyDescent="0.2">
      <c r="B98" t="s">
        <v>2312</v>
      </c>
      <c r="G98">
        <f>(G53+G58)*-1</f>
        <v>0</v>
      </c>
      <c r="J98">
        <f>(J53+J58)*-1</f>
        <v>0</v>
      </c>
    </row>
    <row r="99" spans="2:86" x14ac:dyDescent="0.2">
      <c r="B99" t="s">
        <v>2313</v>
      </c>
      <c r="G99">
        <f>SUM(G97:G98)</f>
        <v>0</v>
      </c>
      <c r="J99">
        <f>SUM(J97:J98)</f>
        <v>0</v>
      </c>
      <c r="CH99" t="s">
        <v>2314</v>
      </c>
    </row>
    <row r="100" spans="2:86" x14ac:dyDescent="0.2">
      <c r="B100" t="s">
        <v>2315</v>
      </c>
      <c r="CH100">
        <f>IF(OR(G99&lt;&gt;G100,J99&lt;&gt;J100),1,0)</f>
        <v>0</v>
      </c>
    </row>
    <row r="102" spans="2:86" x14ac:dyDescent="0.2">
      <c r="B102" t="s">
        <v>2316</v>
      </c>
      <c r="J102">
        <f>G102</f>
        <v>0</v>
      </c>
    </row>
    <row r="103" spans="2:86" x14ac:dyDescent="0.2">
      <c r="B103" t="s">
        <v>2312</v>
      </c>
      <c r="G103">
        <f>(G55+G60)*-1</f>
        <v>0</v>
      </c>
      <c r="J103">
        <f>(J55+J60)*-1</f>
        <v>0</v>
      </c>
    </row>
    <row r="104" spans="2:86" x14ac:dyDescent="0.2">
      <c r="B104" t="s">
        <v>2317</v>
      </c>
      <c r="G104">
        <f>SUM(G102:G103)</f>
        <v>0</v>
      </c>
      <c r="J104">
        <f>SUM(J102:J103)</f>
        <v>0</v>
      </c>
      <c r="CH104" t="s">
        <v>2318</v>
      </c>
    </row>
    <row r="105" spans="2:86" x14ac:dyDescent="0.2">
      <c r="B105" t="s">
        <v>2315</v>
      </c>
      <c r="CH105">
        <f>IF(OR(G104&lt;&gt;G105,J104&lt;&gt;J105),1,0)</f>
        <v>0</v>
      </c>
    </row>
    <row r="107" spans="2:86" x14ac:dyDescent="0.2">
      <c r="B107" t="s">
        <v>2319</v>
      </c>
      <c r="J107">
        <f>G107</f>
        <v>0</v>
      </c>
    </row>
    <row r="108" spans="2:86" x14ac:dyDescent="0.2">
      <c r="B108" t="s">
        <v>2312</v>
      </c>
      <c r="G108">
        <f>(G54+G59)*-1</f>
        <v>0</v>
      </c>
      <c r="J108">
        <f>(J54+J59)*-1</f>
        <v>0</v>
      </c>
    </row>
    <row r="109" spans="2:86" x14ac:dyDescent="0.2">
      <c r="B109" t="s">
        <v>2320</v>
      </c>
      <c r="G109">
        <f>SUM(G107:G108)</f>
        <v>0</v>
      </c>
      <c r="J109">
        <f>SUM(J107:J108)</f>
        <v>0</v>
      </c>
      <c r="CH109" t="s">
        <v>2321</v>
      </c>
    </row>
    <row r="110" spans="2:86" x14ac:dyDescent="0.2">
      <c r="B110" t="s">
        <v>2315</v>
      </c>
      <c r="CH110">
        <f>IF(OR(G109&lt;&gt;G110,J109&lt;&gt;J110),1,0)</f>
        <v>0</v>
      </c>
    </row>
    <row r="112" spans="2:86" x14ac:dyDescent="0.2">
      <c r="B112" t="s">
        <v>2322</v>
      </c>
      <c r="J112">
        <f>G112</f>
        <v>0</v>
      </c>
    </row>
    <row r="113" spans="2:86" x14ac:dyDescent="0.2">
      <c r="B113" t="s">
        <v>2312</v>
      </c>
      <c r="G113">
        <f>(G56+G57+G62)*-1</f>
        <v>0</v>
      </c>
      <c r="J113">
        <f>(J56+J57+J62)*-1</f>
        <v>0</v>
      </c>
    </row>
    <row r="114" spans="2:86" x14ac:dyDescent="0.2">
      <c r="B114" t="s">
        <v>2323</v>
      </c>
      <c r="G114">
        <f>SUM(G112:G113)</f>
        <v>0</v>
      </c>
      <c r="J114">
        <f>SUM(J112:J113)</f>
        <v>0</v>
      </c>
      <c r="CH114" t="s">
        <v>2324</v>
      </c>
    </row>
    <row r="115" spans="2:86" x14ac:dyDescent="0.2">
      <c r="B115" t="s">
        <v>2315</v>
      </c>
      <c r="CH115">
        <f>IF(OR(G114&lt;&gt;G115,J114&lt;&gt;J115),1,0)</f>
        <v>0</v>
      </c>
    </row>
    <row r="117" spans="2:86" x14ac:dyDescent="0.2">
      <c r="B117" t="s">
        <v>2325</v>
      </c>
    </row>
    <row r="118" spans="2:86" x14ac:dyDescent="0.2">
      <c r="B118" t="s">
        <v>2312</v>
      </c>
      <c r="G118">
        <f>SUM(G47:G52)</f>
        <v>0</v>
      </c>
      <c r="J118">
        <f>SUM(J47:J52)</f>
        <v>0</v>
      </c>
      <c r="CH118" t="s">
        <v>2326</v>
      </c>
    </row>
    <row r="119" spans="2:86" x14ac:dyDescent="0.2">
      <c r="B119" t="s">
        <v>2327</v>
      </c>
      <c r="G119">
        <f>SUM(G117:G118)</f>
        <v>0</v>
      </c>
      <c r="J119">
        <f>SUM(J117:J118)</f>
        <v>0</v>
      </c>
      <c r="CH119">
        <f>IF(OR(G120&lt;&gt;G119,J120&lt;&gt;J119),1,0)</f>
        <v>0</v>
      </c>
    </row>
    <row r="120" spans="2:86" x14ac:dyDescent="0.2">
      <c r="B120" t="s">
        <v>2328</v>
      </c>
    </row>
  </sheetData>
  <sheetProtection sheet="1" objects="1" scenarios="1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CK100"/>
  <sheetViews>
    <sheetView zoomScale="70" zoomScaleNormal="70" workbookViewId="0"/>
  </sheetViews>
  <sheetFormatPr defaultRowHeight="12.75" x14ac:dyDescent="0.2"/>
  <sheetData>
    <row r="1" spans="1:81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81" x14ac:dyDescent="0.2">
      <c r="A2" t="s">
        <v>3727</v>
      </c>
    </row>
    <row r="3" spans="1:81" x14ac:dyDescent="0.2">
      <c r="A3" t="s">
        <v>3790</v>
      </c>
    </row>
    <row r="5" spans="1:81" x14ac:dyDescent="0.2">
      <c r="B5" t="s">
        <v>3313</v>
      </c>
      <c r="CA5" t="s">
        <v>230</v>
      </c>
      <c r="CB5">
        <f>0</f>
        <v>0</v>
      </c>
    </row>
    <row r="6" spans="1:81" x14ac:dyDescent="0.2">
      <c r="CA6" t="s">
        <v>231</v>
      </c>
      <c r="CB6" t="s">
        <v>232</v>
      </c>
      <c r="CC6" t="s">
        <v>3314</v>
      </c>
    </row>
    <row r="7" spans="1:81" x14ac:dyDescent="0.2">
      <c r="B7" t="s">
        <v>433</v>
      </c>
      <c r="C7" t="s">
        <v>238</v>
      </c>
      <c r="D7" t="s">
        <v>25</v>
      </c>
      <c r="E7" t="s">
        <v>3278</v>
      </c>
      <c r="F7" t="s">
        <v>3279</v>
      </c>
      <c r="G7" t="s">
        <v>3280</v>
      </c>
      <c r="H7" t="s">
        <v>2025</v>
      </c>
      <c r="I7" t="s">
        <v>2026</v>
      </c>
      <c r="J7" t="s">
        <v>2027</v>
      </c>
      <c r="K7" t="s">
        <v>2028</v>
      </c>
      <c r="L7" t="s">
        <v>2029</v>
      </c>
      <c r="M7" t="s">
        <v>2030</v>
      </c>
      <c r="N7" t="s">
        <v>2031</v>
      </c>
      <c r="O7" t="s">
        <v>2032</v>
      </c>
      <c r="P7" t="s">
        <v>2033</v>
      </c>
      <c r="Q7" t="s">
        <v>2034</v>
      </c>
      <c r="R7" t="s">
        <v>2035</v>
      </c>
      <c r="S7" t="s">
        <v>3281</v>
      </c>
      <c r="CA7">
        <f>SUM(CA11:CA85)</f>
        <v>0</v>
      </c>
      <c r="CB7">
        <f>SUM(CB11:CB85)</f>
        <v>0</v>
      </c>
      <c r="CC7">
        <f>SUM(CC11:CC85)</f>
        <v>0</v>
      </c>
    </row>
    <row r="8" spans="1:81" x14ac:dyDescent="0.2">
      <c r="C8" t="s">
        <v>242</v>
      </c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L8" t="s">
        <v>2043</v>
      </c>
      <c r="M8" t="s">
        <v>2044</v>
      </c>
      <c r="N8" t="s">
        <v>2045</v>
      </c>
      <c r="O8" t="s">
        <v>2046</v>
      </c>
      <c r="P8" t="s">
        <v>2047</v>
      </c>
      <c r="Q8" t="s">
        <v>2048</v>
      </c>
      <c r="R8" t="s">
        <v>2049</v>
      </c>
      <c r="S8" t="s">
        <v>2050</v>
      </c>
    </row>
    <row r="9" spans="1:81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N9" t="s">
        <v>243</v>
      </c>
      <c r="O9" t="s">
        <v>243</v>
      </c>
      <c r="P9" t="s">
        <v>243</v>
      </c>
      <c r="Q9" t="s">
        <v>243</v>
      </c>
      <c r="R9" t="s">
        <v>243</v>
      </c>
      <c r="S9" t="s">
        <v>243</v>
      </c>
    </row>
    <row r="10" spans="1:81" x14ac:dyDescent="0.2">
      <c r="B10" t="s">
        <v>434</v>
      </c>
    </row>
    <row r="11" spans="1:81" x14ac:dyDescent="0.2">
      <c r="B11" t="s">
        <v>2281</v>
      </c>
      <c r="C11">
        <v>100</v>
      </c>
      <c r="D11" t="s">
        <v>251</v>
      </c>
      <c r="F11">
        <f t="shared" ref="F11:F16" si="0">SUM(G11:R11)</f>
        <v>0</v>
      </c>
      <c r="BA11">
        <f t="shared" ref="BA11:BA16" ca="1" si="1">IF(OR($BA$1="13",$BA$1="16"),SUM(OFFSET(F11,0,1,1,12)),SUM(OFFSET(F11,0,1,1,$BA$1)))</f>
        <v>0</v>
      </c>
      <c r="BB11">
        <f t="shared" ref="BB11:BB16" ca="1" si="2">IF(OR($BA$1="13",$BA$1="16"),(OFFSET(F11,0,12,1,1)),(OFFSET(F11,0,$BA$1,1,1)))</f>
        <v>0</v>
      </c>
    </row>
    <row r="12" spans="1:81" x14ac:dyDescent="0.2">
      <c r="B12" t="s">
        <v>436</v>
      </c>
      <c r="C12">
        <v>110</v>
      </c>
      <c r="D12" t="s">
        <v>248</v>
      </c>
      <c r="F12">
        <f t="shared" si="0"/>
        <v>0</v>
      </c>
      <c r="BA12">
        <f t="shared" ca="1" si="1"/>
        <v>0</v>
      </c>
      <c r="BB12">
        <f t="shared" ca="1" si="2"/>
        <v>0</v>
      </c>
      <c r="CB12">
        <f>IF(OR(E12&lt;0,F12&lt;0,G12&lt;0,H12&lt;0,I12&lt;0,J12&lt;0,K12&lt;0,L12&lt;0,M12&lt;0,N12&lt;0,O12&lt;0,P12&lt;0,Q12&lt;0,R12&lt;0,S12&lt;0),1,0)</f>
        <v>0</v>
      </c>
    </row>
    <row r="13" spans="1:81" x14ac:dyDescent="0.2">
      <c r="B13" t="s">
        <v>399</v>
      </c>
      <c r="C13">
        <v>120</v>
      </c>
      <c r="D13" t="s">
        <v>251</v>
      </c>
      <c r="F13">
        <f t="shared" si="0"/>
        <v>0</v>
      </c>
      <c r="BA13">
        <f t="shared" ca="1" si="1"/>
        <v>0</v>
      </c>
      <c r="BB13">
        <f t="shared" ca="1" si="2"/>
        <v>0</v>
      </c>
    </row>
    <row r="14" spans="1:81" x14ac:dyDescent="0.2">
      <c r="B14" t="s">
        <v>437</v>
      </c>
      <c r="C14">
        <v>130</v>
      </c>
      <c r="D14" t="s">
        <v>251</v>
      </c>
      <c r="F14">
        <f t="shared" si="0"/>
        <v>0</v>
      </c>
      <c r="BA14">
        <f t="shared" ca="1" si="1"/>
        <v>0</v>
      </c>
      <c r="BB14">
        <f t="shared" ca="1" si="2"/>
        <v>0</v>
      </c>
    </row>
    <row r="15" spans="1:81" x14ac:dyDescent="0.2">
      <c r="B15" t="s">
        <v>438</v>
      </c>
      <c r="C15">
        <v>140</v>
      </c>
      <c r="D15" t="s">
        <v>245</v>
      </c>
      <c r="F15">
        <f t="shared" si="0"/>
        <v>0</v>
      </c>
      <c r="BA15">
        <f t="shared" ca="1" si="1"/>
        <v>0</v>
      </c>
      <c r="BB15">
        <f t="shared" ca="1" si="2"/>
        <v>0</v>
      </c>
      <c r="CA15">
        <f>IF(OR(E15&gt;0,F15&gt;0,G15&gt;0,H15&gt;0,I15&gt;0,J15&gt;0,K15&gt;0,L15&gt;0,M15&gt;0,N15&gt;0,O15&gt;0,P15&gt;0,Q15&gt;0,R15&gt;0,S15&gt;0),1,0)</f>
        <v>0</v>
      </c>
    </row>
    <row r="16" spans="1:81" x14ac:dyDescent="0.2">
      <c r="B16" t="s">
        <v>439</v>
      </c>
      <c r="C16">
        <v>150</v>
      </c>
      <c r="D16" t="s">
        <v>245</v>
      </c>
      <c r="F16">
        <f t="shared" si="0"/>
        <v>0</v>
      </c>
      <c r="BA16">
        <f t="shared" ca="1" si="1"/>
        <v>0</v>
      </c>
      <c r="BB16">
        <f t="shared" ca="1" si="2"/>
        <v>0</v>
      </c>
      <c r="CA16">
        <f>IF(OR(E16&gt;0,F16&gt;0,G16&gt;0,H16&gt;0,I16&gt;0,J16&gt;0,K16&gt;0,L16&gt;0,M16&gt;0,N16&gt;0,O16&gt;0,P16&gt;0,Q16&gt;0,R16&gt;0,S16&gt;0),1,0)</f>
        <v>0</v>
      </c>
    </row>
    <row r="17" spans="2:80" x14ac:dyDescent="0.2">
      <c r="B17" t="s">
        <v>3315</v>
      </c>
      <c r="C17">
        <v>155</v>
      </c>
      <c r="D17" t="s">
        <v>245</v>
      </c>
    </row>
    <row r="18" spans="2:80" x14ac:dyDescent="0.2">
      <c r="B18" t="s">
        <v>440</v>
      </c>
      <c r="C18">
        <v>160</v>
      </c>
      <c r="D18" t="s">
        <v>245</v>
      </c>
      <c r="F18">
        <f t="shared" ref="F18:F25" si="3">SUM(G18:R18)</f>
        <v>0</v>
      </c>
      <c r="BA18">
        <f t="shared" ref="BA18:BA28" ca="1" si="4">IF(OR($BA$1="13",$BA$1="16"),SUM(OFFSET(F18,0,1,1,12)),SUM(OFFSET(F18,0,1,1,$BA$1)))</f>
        <v>0</v>
      </c>
      <c r="BB18">
        <f t="shared" ref="BB18:BB28" ca="1" si="5">IF(OR($BA$1="13",$BA$1="16"),(OFFSET(F18,0,12,1,1)),(OFFSET(F18,0,$BA$1,1,1)))</f>
        <v>0</v>
      </c>
      <c r="CA18">
        <f>IF(OR(E18&gt;0,F18&gt;0,G18&gt;0,H18&gt;0,I18&gt;0,J18&gt;0,K18&gt;0,L18&gt;0,M18&gt;0,N18&gt;0,O18&gt;0,P18&gt;0,Q18&gt;0,R18&gt;0,S18&gt;0),1,0)</f>
        <v>0</v>
      </c>
    </row>
    <row r="19" spans="2:80" x14ac:dyDescent="0.2">
      <c r="B19" t="s">
        <v>441</v>
      </c>
      <c r="C19">
        <v>170</v>
      </c>
      <c r="D19" t="s">
        <v>251</v>
      </c>
      <c r="F19">
        <f t="shared" si="3"/>
        <v>0</v>
      </c>
      <c r="BA19">
        <f t="shared" ca="1" si="4"/>
        <v>0</v>
      </c>
      <c r="BB19">
        <f t="shared" ca="1" si="5"/>
        <v>0</v>
      </c>
    </row>
    <row r="20" spans="2:80" x14ac:dyDescent="0.2">
      <c r="B20" t="s">
        <v>442</v>
      </c>
      <c r="C20">
        <v>180</v>
      </c>
      <c r="D20" t="s">
        <v>251</v>
      </c>
      <c r="F20">
        <f t="shared" si="3"/>
        <v>0</v>
      </c>
      <c r="BA20">
        <f t="shared" ca="1" si="4"/>
        <v>0</v>
      </c>
      <c r="BB20">
        <f t="shared" ca="1" si="5"/>
        <v>0</v>
      </c>
    </row>
    <row r="21" spans="2:80" x14ac:dyDescent="0.2">
      <c r="B21" t="s">
        <v>443</v>
      </c>
      <c r="C21">
        <v>190</v>
      </c>
      <c r="D21" t="s">
        <v>251</v>
      </c>
      <c r="F21">
        <f t="shared" si="3"/>
        <v>0</v>
      </c>
      <c r="BA21">
        <f t="shared" ca="1" si="4"/>
        <v>0</v>
      </c>
      <c r="BB21">
        <f t="shared" ca="1" si="5"/>
        <v>0</v>
      </c>
    </row>
    <row r="22" spans="2:80" x14ac:dyDescent="0.2">
      <c r="B22" t="s">
        <v>444</v>
      </c>
      <c r="C22">
        <v>200</v>
      </c>
      <c r="D22" t="s">
        <v>251</v>
      </c>
      <c r="F22">
        <f t="shared" si="3"/>
        <v>0</v>
      </c>
      <c r="BA22">
        <f t="shared" ca="1" si="4"/>
        <v>0</v>
      </c>
      <c r="BB22">
        <f t="shared" ca="1" si="5"/>
        <v>0</v>
      </c>
    </row>
    <row r="23" spans="2:80" x14ac:dyDescent="0.2">
      <c r="B23" t="s">
        <v>445</v>
      </c>
      <c r="C23">
        <v>210</v>
      </c>
      <c r="D23" t="s">
        <v>251</v>
      </c>
      <c r="F23">
        <f t="shared" si="3"/>
        <v>0</v>
      </c>
      <c r="BA23">
        <f t="shared" ca="1" si="4"/>
        <v>0</v>
      </c>
      <c r="BB23">
        <f t="shared" ca="1" si="5"/>
        <v>0</v>
      </c>
    </row>
    <row r="24" spans="2:80" x14ac:dyDescent="0.2">
      <c r="B24" t="s">
        <v>446</v>
      </c>
      <c r="C24">
        <v>220</v>
      </c>
      <c r="D24" t="s">
        <v>251</v>
      </c>
      <c r="F24">
        <f t="shared" si="3"/>
        <v>0</v>
      </c>
      <c r="BA24">
        <f t="shared" ca="1" si="4"/>
        <v>0</v>
      </c>
      <c r="BB24">
        <f t="shared" ca="1" si="5"/>
        <v>0</v>
      </c>
    </row>
    <row r="25" spans="2:80" x14ac:dyDescent="0.2">
      <c r="B25" t="s">
        <v>447</v>
      </c>
      <c r="C25">
        <v>230</v>
      </c>
      <c r="D25" t="s">
        <v>251</v>
      </c>
      <c r="F25">
        <f t="shared" si="3"/>
        <v>0</v>
      </c>
      <c r="BA25">
        <f t="shared" ca="1" si="4"/>
        <v>0</v>
      </c>
      <c r="BB25">
        <f t="shared" ca="1" si="5"/>
        <v>0</v>
      </c>
    </row>
    <row r="26" spans="2:80" x14ac:dyDescent="0.2">
      <c r="B26" t="s">
        <v>448</v>
      </c>
      <c r="C26">
        <v>240</v>
      </c>
      <c r="D26" t="s">
        <v>245</v>
      </c>
      <c r="R26">
        <f>F26-SUM(G26:Q26)</f>
        <v>0</v>
      </c>
      <c r="BA26">
        <f t="shared" ca="1" si="4"/>
        <v>0</v>
      </c>
      <c r="BB26">
        <f t="shared" ca="1" si="5"/>
        <v>0</v>
      </c>
      <c r="CA26">
        <f>IF(OR(E26&gt;0,F26&gt;0,G26&gt;0,H26&gt;0,I26&gt;0,J26&gt;0,K26&gt;0,L26&gt;0,M26&gt;0,N26&gt;0,O26&gt;0,P26&gt;0,Q26&gt;0,R26&gt;0,S26&gt;0),1,0)</f>
        <v>0</v>
      </c>
    </row>
    <row r="27" spans="2:80" x14ac:dyDescent="0.2">
      <c r="B27" t="s">
        <v>449</v>
      </c>
      <c r="C27">
        <v>250</v>
      </c>
      <c r="D27" t="s">
        <v>251</v>
      </c>
      <c r="F27">
        <f>SUM(G27:R27)</f>
        <v>0</v>
      </c>
      <c r="BA27">
        <f t="shared" ca="1" si="4"/>
        <v>0</v>
      </c>
      <c r="BB27">
        <f t="shared" ca="1" si="5"/>
        <v>0</v>
      </c>
    </row>
    <row r="28" spans="2:80" x14ac:dyDescent="0.2">
      <c r="B28" t="s">
        <v>450</v>
      </c>
      <c r="C28">
        <v>260</v>
      </c>
      <c r="D28" t="s">
        <v>251</v>
      </c>
      <c r="E28">
        <f t="shared" ref="E28:S28" si="6">SUM(E11:E27)</f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0</v>
      </c>
      <c r="K28">
        <f t="shared" si="6"/>
        <v>0</v>
      </c>
      <c r="L28">
        <f t="shared" si="6"/>
        <v>0</v>
      </c>
      <c r="M28">
        <f t="shared" si="6"/>
        <v>0</v>
      </c>
      <c r="N28">
        <f t="shared" si="6"/>
        <v>0</v>
      </c>
      <c r="O28">
        <f t="shared" si="6"/>
        <v>0</v>
      </c>
      <c r="P28">
        <f t="shared" si="6"/>
        <v>0</v>
      </c>
      <c r="Q28">
        <f t="shared" si="6"/>
        <v>0</v>
      </c>
      <c r="R28">
        <f t="shared" si="6"/>
        <v>0</v>
      </c>
      <c r="S28">
        <f t="shared" si="6"/>
        <v>0</v>
      </c>
      <c r="BA28">
        <f t="shared" ca="1" si="4"/>
        <v>0</v>
      </c>
      <c r="BB28">
        <f t="shared" ca="1" si="5"/>
        <v>0</v>
      </c>
    </row>
    <row r="29" spans="2:80" x14ac:dyDescent="0.2">
      <c r="B29" t="s">
        <v>451</v>
      </c>
    </row>
    <row r="30" spans="2:80" x14ac:dyDescent="0.2">
      <c r="B30" t="s">
        <v>452</v>
      </c>
      <c r="C30">
        <v>270</v>
      </c>
      <c r="D30" t="s">
        <v>248</v>
      </c>
      <c r="F30">
        <f t="shared" ref="F30:F40" si="7">SUM(G30:R30)</f>
        <v>0</v>
      </c>
      <c r="BA30">
        <f t="shared" ref="BA30:BA40" ca="1" si="8">IF(OR($BA$1="13",$BA$1="16"),SUM(OFFSET(F30,0,1,1,12)),SUM(OFFSET(F30,0,1,1,$BA$1)))</f>
        <v>0</v>
      </c>
      <c r="BB30">
        <f t="shared" ref="BB30:BB40" ca="1" si="9">IF(OR($BA$1="13",$BA$1="16"),(OFFSET(F30,0,12,1,1)),(OFFSET(F30,0,$BA$1,1,1)))</f>
        <v>0</v>
      </c>
      <c r="CB30">
        <f>IF(OR(E30&lt;0,F30&lt;0,G30&lt;0,H30&lt;0,I30&lt;0,J30&lt;0,K30&lt;0,L30&lt;0,M30&lt;0,N30&lt;0,O30&lt;0,P30&lt;0,Q30&lt;0,R30&lt;0,S30&lt;0),1,0)</f>
        <v>0</v>
      </c>
    </row>
    <row r="31" spans="2:80" x14ac:dyDescent="0.2">
      <c r="B31" t="s">
        <v>453</v>
      </c>
      <c r="C31">
        <v>280</v>
      </c>
      <c r="D31" t="s">
        <v>245</v>
      </c>
      <c r="F31">
        <f t="shared" si="7"/>
        <v>0</v>
      </c>
      <c r="BA31">
        <f t="shared" ca="1" si="8"/>
        <v>0</v>
      </c>
      <c r="BB31">
        <f t="shared" ca="1" si="9"/>
        <v>0</v>
      </c>
      <c r="CA31">
        <f>IF(OR(E31&gt;0,F31&gt;0,G31&gt;0,H31&gt;0,I31&gt;0,J31&gt;0,K31&gt;0,L31&gt;0,M31&gt;0,N31&gt;0,O31&gt;0,P31&gt;0,Q31&gt;0,R31&gt;0,S31&gt;0),1,0)</f>
        <v>0</v>
      </c>
    </row>
    <row r="32" spans="2:80" x14ac:dyDescent="0.2">
      <c r="B32" t="s">
        <v>454</v>
      </c>
      <c r="C32">
        <v>290</v>
      </c>
      <c r="D32" t="s">
        <v>245</v>
      </c>
      <c r="F32">
        <f t="shared" si="7"/>
        <v>0</v>
      </c>
      <c r="BA32">
        <f t="shared" ca="1" si="8"/>
        <v>0</v>
      </c>
      <c r="BB32">
        <f t="shared" ca="1" si="9"/>
        <v>0</v>
      </c>
      <c r="CA32">
        <f>IF(OR(E32&gt;0,F32&gt;0,G32&gt;0,H32&gt;0,I32&gt;0,J32&gt;0,K32&gt;0,L32&gt;0,M32&gt;0,N32&gt;0,O32&gt;0,P32&gt;0,Q32&gt;0,R32&gt;0,S32&gt;0),1,0)</f>
        <v>0</v>
      </c>
    </row>
    <row r="33" spans="2:89" x14ac:dyDescent="0.2">
      <c r="B33" t="s">
        <v>455</v>
      </c>
      <c r="C33">
        <v>300</v>
      </c>
      <c r="D33" t="s">
        <v>245</v>
      </c>
      <c r="F33">
        <f t="shared" si="7"/>
        <v>0</v>
      </c>
      <c r="BA33">
        <f t="shared" ca="1" si="8"/>
        <v>0</v>
      </c>
      <c r="BB33">
        <f t="shared" ca="1" si="9"/>
        <v>0</v>
      </c>
      <c r="CA33">
        <f>IF(OR(E33&gt;0,F33&gt;0,G33&gt;0,H33&gt;0,I33&gt;0,J33&gt;0,K33&gt;0,L33&gt;0,M33&gt;0,N33&gt;0,O33&gt;0,P33&gt;0,Q33&gt;0,R33&gt;0,S33&gt;0),1,0)</f>
        <v>0</v>
      </c>
    </row>
    <row r="34" spans="2:89" x14ac:dyDescent="0.2">
      <c r="B34" t="s">
        <v>456</v>
      </c>
      <c r="C34">
        <v>310</v>
      </c>
      <c r="D34" t="s">
        <v>245</v>
      </c>
      <c r="F34">
        <f t="shared" si="7"/>
        <v>0</v>
      </c>
      <c r="BA34">
        <f t="shared" ca="1" si="8"/>
        <v>0</v>
      </c>
      <c r="BB34">
        <f t="shared" ca="1" si="9"/>
        <v>0</v>
      </c>
      <c r="CA34">
        <f>IF(OR(E34&gt;0,F34&gt;0,G34&gt;0,H34&gt;0,I34&gt;0,J34&gt;0,K34&gt;0,L34&gt;0,M34&gt;0,N34&gt;0,O34&gt;0,P34&gt;0,Q34&gt;0,R34&gt;0,S34&gt;0),1,0)</f>
        <v>0</v>
      </c>
    </row>
    <row r="35" spans="2:89" x14ac:dyDescent="0.2">
      <c r="B35" t="s">
        <v>457</v>
      </c>
      <c r="C35">
        <v>320</v>
      </c>
      <c r="D35" t="s">
        <v>245</v>
      </c>
      <c r="F35">
        <f t="shared" si="7"/>
        <v>0</v>
      </c>
      <c r="BA35">
        <f t="shared" ca="1" si="8"/>
        <v>0</v>
      </c>
      <c r="BB35">
        <f t="shared" ca="1" si="9"/>
        <v>0</v>
      </c>
      <c r="CA35">
        <f>IF(OR(E35&gt;0,F35&gt;0,G35&gt;0,H35&gt;0,I35&gt;0,J35&gt;0,K35&gt;0,L35&gt;0,M35&gt;0,N35&gt;0,O35&gt;0,P35&gt;0,Q35&gt;0,R35&gt;0,S35&gt;0),1,0)</f>
        <v>0</v>
      </c>
    </row>
    <row r="36" spans="2:89" x14ac:dyDescent="0.2">
      <c r="B36" t="s">
        <v>458</v>
      </c>
      <c r="C36">
        <v>330</v>
      </c>
      <c r="D36" t="s">
        <v>248</v>
      </c>
      <c r="F36">
        <f t="shared" si="7"/>
        <v>0</v>
      </c>
      <c r="BA36">
        <f t="shared" ca="1" si="8"/>
        <v>0</v>
      </c>
      <c r="BB36">
        <f t="shared" ca="1" si="9"/>
        <v>0</v>
      </c>
      <c r="CB36">
        <f>IF(OR(E36&lt;0,F36&lt;0,G36&lt;0,H36&lt;0,I36&lt;0,J36&lt;0,K36&lt;0,L36&lt;0,M36&lt;0,N36&lt;0,O36&lt;0,P36&lt;0,Q36&lt;0,R36&lt;0,S36&lt;0),1,0)</f>
        <v>0</v>
      </c>
    </row>
    <row r="37" spans="2:89" x14ac:dyDescent="0.2">
      <c r="B37" t="s">
        <v>459</v>
      </c>
      <c r="C37">
        <v>340</v>
      </c>
      <c r="D37" t="s">
        <v>248</v>
      </c>
      <c r="F37">
        <f t="shared" si="7"/>
        <v>0</v>
      </c>
      <c r="BA37">
        <f t="shared" ca="1" si="8"/>
        <v>0</v>
      </c>
      <c r="BB37">
        <f t="shared" ca="1" si="9"/>
        <v>0</v>
      </c>
      <c r="CB37">
        <f>IF(OR(E37&lt;0,F37&lt;0,G37&lt;0,H37&lt;0,I37&lt;0,J37&lt;0,K37&lt;0,L37&lt;0,M37&lt;0,N37&lt;0,O37&lt;0,P37&lt;0,Q37&lt;0,R37&lt;0,S37&lt;0),1,0)</f>
        <v>0</v>
      </c>
    </row>
    <row r="38" spans="2:89" x14ac:dyDescent="0.2">
      <c r="B38" t="s">
        <v>460</v>
      </c>
      <c r="C38">
        <v>350</v>
      </c>
      <c r="D38" t="s">
        <v>248</v>
      </c>
      <c r="F38">
        <f t="shared" si="7"/>
        <v>0</v>
      </c>
      <c r="BA38">
        <f t="shared" ca="1" si="8"/>
        <v>0</v>
      </c>
      <c r="BB38">
        <f t="shared" ca="1" si="9"/>
        <v>0</v>
      </c>
      <c r="CB38">
        <f>IF(OR(E38&lt;0,F38&lt;0,G38&lt;0,H38&lt;0,I38&lt;0,J38&lt;0,K38&lt;0,L38&lt;0,M38&lt;0,N38&lt;0,O38&lt;0,P38&lt;0,Q38&lt;0,R38&lt;0,S38&lt;0),1,0)</f>
        <v>0</v>
      </c>
    </row>
    <row r="39" spans="2:89" x14ac:dyDescent="0.2">
      <c r="B39" t="s">
        <v>461</v>
      </c>
      <c r="C39">
        <v>360</v>
      </c>
      <c r="D39" t="s">
        <v>248</v>
      </c>
      <c r="F39">
        <f t="shared" si="7"/>
        <v>0</v>
      </c>
      <c r="BA39">
        <f t="shared" ca="1" si="8"/>
        <v>0</v>
      </c>
      <c r="BB39">
        <f t="shared" ca="1" si="9"/>
        <v>0</v>
      </c>
      <c r="CB39">
        <f>IF(OR(E39&lt;0,F39&lt;0,G39&lt;0,H39&lt;0,I39&lt;0,J39&lt;0,K39&lt;0,L39&lt;0,M39&lt;0,N39&lt;0,O39&lt;0,P39&lt;0,Q39&lt;0,R39&lt;0,S39&lt;0),1,0)</f>
        <v>0</v>
      </c>
      <c r="CF39" t="s">
        <v>3316</v>
      </c>
    </row>
    <row r="40" spans="2:89" x14ac:dyDescent="0.2">
      <c r="B40" t="s">
        <v>462</v>
      </c>
      <c r="C40">
        <v>370</v>
      </c>
      <c r="D40" t="s">
        <v>248</v>
      </c>
      <c r="F40">
        <f t="shared" si="7"/>
        <v>0</v>
      </c>
      <c r="BA40">
        <f t="shared" ca="1" si="8"/>
        <v>0</v>
      </c>
      <c r="BB40">
        <f t="shared" ca="1" si="9"/>
        <v>0</v>
      </c>
      <c r="CB40">
        <f>IF(OR(E40&lt;0,F40&lt;0,G40&lt;0,H40&lt;0,I40&lt;0,J40&lt;0,K40&lt;0,L40&lt;0,M40&lt;0,N40&lt;0,O40&lt;0,P40&lt;0,Q40&lt;0,R40&lt;0,S40&lt;0),1,0)</f>
        <v>0</v>
      </c>
      <c r="CF40">
        <f>(E49+E50+SUM(E56:E60)+E63)*-1</f>
        <v>0</v>
      </c>
      <c r="CG40">
        <f>(SUM(G49:I50)+SUM(G56:I60)+SUM(G63:I63))*-1</f>
        <v>0</v>
      </c>
      <c r="CH40">
        <f>(SUM(J49:L50)+SUM(J56:L60)+SUM(J63:L63))*-1</f>
        <v>0</v>
      </c>
      <c r="CI40">
        <f>(SUM(M49:O50)+SUM(M56:O60)+SUM(M63:O63))*-1</f>
        <v>0</v>
      </c>
      <c r="CJ40">
        <f>(SUM(P49:R50)+SUM(P56:R60)+SUM(P63:R63))*-1</f>
        <v>0</v>
      </c>
      <c r="CK40">
        <f>(S49+S50+SUM(S56:S60)+S63)*-1</f>
        <v>0</v>
      </c>
    </row>
    <row r="41" spans="2:89" x14ac:dyDescent="0.2">
      <c r="B41" t="s">
        <v>463</v>
      </c>
      <c r="C41">
        <v>380</v>
      </c>
      <c r="D41" t="s">
        <v>245</v>
      </c>
    </row>
    <row r="42" spans="2:89" x14ac:dyDescent="0.2">
      <c r="B42" t="s">
        <v>464</v>
      </c>
      <c r="C42">
        <v>390</v>
      </c>
      <c r="D42" t="s">
        <v>248</v>
      </c>
    </row>
    <row r="43" spans="2:89" x14ac:dyDescent="0.2">
      <c r="B43" t="s">
        <v>165</v>
      </c>
      <c r="C43">
        <v>400</v>
      </c>
      <c r="D43" t="s">
        <v>248</v>
      </c>
      <c r="F43">
        <f>SUM(G43:R43)</f>
        <v>0</v>
      </c>
      <c r="BA43">
        <f ca="1">IF(OR($BA$1="13",$BA$1="16"),SUM(OFFSET(F43,0,1,1,12)),SUM(OFFSET(F43,0,1,1,$BA$1)))</f>
        <v>0</v>
      </c>
      <c r="BB43">
        <f ca="1">IF(OR($BA$1="13",$BA$1="16"),(OFFSET(F43,0,12,1,1)),(OFFSET(F43,0,$BA$1,1,1)))</f>
        <v>0</v>
      </c>
      <c r="CB43">
        <f>IF(OR(E43&lt;0,F43&lt;0,G43&lt;0,H43&lt;0,I43&lt;0,J43&lt;0,K43&lt;0,L43&lt;0,M43&lt;0,N43&lt;0,O43&lt;0,P43&lt;0,Q43&lt;0,R43&lt;0,S43&lt;0),1,0)</f>
        <v>0</v>
      </c>
    </row>
    <row r="44" spans="2:89" x14ac:dyDescent="0.2">
      <c r="B44" t="s">
        <v>466</v>
      </c>
      <c r="C44">
        <v>410</v>
      </c>
      <c r="D44" t="s">
        <v>251</v>
      </c>
      <c r="E44">
        <f t="shared" ref="E44:S44" si="10">SUM(E30:E43)</f>
        <v>0</v>
      </c>
      <c r="F44">
        <f t="shared" si="10"/>
        <v>0</v>
      </c>
      <c r="G44">
        <f t="shared" si="10"/>
        <v>0</v>
      </c>
      <c r="H44">
        <f t="shared" si="10"/>
        <v>0</v>
      </c>
      <c r="I44">
        <f t="shared" si="10"/>
        <v>0</v>
      </c>
      <c r="J44">
        <f t="shared" si="10"/>
        <v>0</v>
      </c>
      <c r="K44">
        <f t="shared" si="10"/>
        <v>0</v>
      </c>
      <c r="L44">
        <f t="shared" si="10"/>
        <v>0</v>
      </c>
      <c r="M44">
        <f t="shared" si="10"/>
        <v>0</v>
      </c>
      <c r="N44">
        <f t="shared" si="10"/>
        <v>0</v>
      </c>
      <c r="O44">
        <f t="shared" si="10"/>
        <v>0</v>
      </c>
      <c r="P44">
        <f t="shared" si="10"/>
        <v>0</v>
      </c>
      <c r="Q44">
        <f t="shared" si="10"/>
        <v>0</v>
      </c>
      <c r="R44">
        <f t="shared" si="10"/>
        <v>0</v>
      </c>
      <c r="S44">
        <f t="shared" si="10"/>
        <v>0</v>
      </c>
      <c r="BA44">
        <f ca="1">IF(OR($BA$1="13",$BA$1="16"),SUM(OFFSET(F44,0,1,1,12)),SUM(OFFSET(F44,0,1,1,$BA$1)))</f>
        <v>0</v>
      </c>
      <c r="BB44">
        <f ca="1">IF(OR($BA$1="13",$BA$1="16"),(OFFSET(F44,0,12,1,1)),(OFFSET(F44,0,$BA$1,1,1)))</f>
        <v>0</v>
      </c>
      <c r="CF44" t="s">
        <v>3317</v>
      </c>
    </row>
    <row r="45" spans="2:89" x14ac:dyDescent="0.2">
      <c r="B45" t="s">
        <v>467</v>
      </c>
      <c r="C45">
        <v>420</v>
      </c>
      <c r="D45" t="s">
        <v>251</v>
      </c>
      <c r="E45">
        <f t="shared" ref="E45:S45" si="11">E44+E28</f>
        <v>0</v>
      </c>
      <c r="F45">
        <f t="shared" si="11"/>
        <v>0</v>
      </c>
      <c r="G45">
        <f t="shared" si="11"/>
        <v>0</v>
      </c>
      <c r="H45">
        <f t="shared" si="11"/>
        <v>0</v>
      </c>
      <c r="I45">
        <f t="shared" si="11"/>
        <v>0</v>
      </c>
      <c r="J45">
        <f t="shared" si="11"/>
        <v>0</v>
      </c>
      <c r="K45">
        <f t="shared" si="11"/>
        <v>0</v>
      </c>
      <c r="L45">
        <f t="shared" si="11"/>
        <v>0</v>
      </c>
      <c r="M45">
        <f t="shared" si="11"/>
        <v>0</v>
      </c>
      <c r="N45">
        <f t="shared" si="11"/>
        <v>0</v>
      </c>
      <c r="O45">
        <f t="shared" si="11"/>
        <v>0</v>
      </c>
      <c r="P45">
        <f t="shared" si="11"/>
        <v>0</v>
      </c>
      <c r="Q45">
        <f t="shared" si="11"/>
        <v>0</v>
      </c>
      <c r="R45">
        <f t="shared" si="11"/>
        <v>0</v>
      </c>
      <c r="S45">
        <f t="shared" si="11"/>
        <v>0</v>
      </c>
      <c r="BA45">
        <f ca="1">IF(OR($BA$1="13",$BA$1="16"),SUM(OFFSET(F45,0,1,1,12)),SUM(OFFSET(F45,0,1,1,$BA$1)))</f>
        <v>0</v>
      </c>
      <c r="BB45">
        <f ca="1">IF(OR($BA$1="13",$BA$1="16"),(OFFSET(F45,0,12,1,1)),(OFFSET(F45,0,$BA$1,1,1)))</f>
        <v>0</v>
      </c>
      <c r="CF45">
        <f>SUM(F47:F58)</f>
        <v>0</v>
      </c>
    </row>
    <row r="46" spans="2:89" x14ac:dyDescent="0.2">
      <c r="B46" t="s">
        <v>468</v>
      </c>
      <c r="CF46" t="s">
        <v>3318</v>
      </c>
    </row>
    <row r="47" spans="2:89" x14ac:dyDescent="0.2">
      <c r="B47" t="s">
        <v>2292</v>
      </c>
      <c r="C47">
        <v>430</v>
      </c>
      <c r="D47" t="s">
        <v>248</v>
      </c>
      <c r="F47">
        <f t="shared" ref="F47:F60" si="12">SUM(G47:R47)</f>
        <v>0</v>
      </c>
      <c r="BA47">
        <f t="shared" ref="BA47:BA60" ca="1" si="13">IF(OR($BA$1="13",$BA$1="16"),SUM(OFFSET(F47,0,1,1,12)),SUM(OFFSET(F47,0,1,1,$BA$1)))</f>
        <v>0</v>
      </c>
      <c r="BB47">
        <f t="shared" ref="BB47:BB60" ca="1" si="14">IF(OR($BA$1="13",$BA$1="16"),(OFFSET(F47,0,12,1,1)),(OFFSET(F47,0,$BA$1,1,1)))</f>
        <v>0</v>
      </c>
      <c r="CB47">
        <f>IF(OR(E47&lt;0,F47&lt;0,G47&lt;0,H47&lt;0,I47&lt;0,J47&lt;0,K47&lt;0,L47&lt;0,M47&lt;0,N47&lt;0,O47&lt;0,P47&lt;0,Q47&lt;0,R47&lt;0,S47&lt;0),1,0)</f>
        <v>0</v>
      </c>
      <c r="CF47">
        <f>SUM(G47:I47)+SUM(G49:I49)</f>
        <v>0</v>
      </c>
      <c r="CG47">
        <f>SUM(J47:L47)+SUM(J49:L49)</f>
        <v>0</v>
      </c>
      <c r="CH47">
        <f>SUM(M47:O47)+SUM(M49:O49)</f>
        <v>0</v>
      </c>
      <c r="CI47">
        <f>SUM(P47:R47)+SUM(P49:R49)</f>
        <v>0</v>
      </c>
    </row>
    <row r="48" spans="2:89" x14ac:dyDescent="0.2">
      <c r="B48" t="s">
        <v>2293</v>
      </c>
      <c r="C48">
        <v>440</v>
      </c>
      <c r="D48" t="s">
        <v>248</v>
      </c>
      <c r="F48">
        <f t="shared" si="12"/>
        <v>0</v>
      </c>
      <c r="BA48">
        <f t="shared" ca="1" si="13"/>
        <v>0</v>
      </c>
      <c r="BB48">
        <f t="shared" ca="1" si="14"/>
        <v>0</v>
      </c>
      <c r="CB48">
        <f>IF(OR(E48&lt;0,F48&lt;0,G48&lt;0,H48&lt;0,I48&lt;0,J48&lt;0,K48&lt;0,L48&lt;0,M48&lt;0,N48&lt;0,O48&lt;0,P48&lt;0,Q48&lt;0,R48&lt;0,S48&lt;0),1,0)</f>
        <v>0</v>
      </c>
    </row>
    <row r="49" spans="2:87" x14ac:dyDescent="0.2">
      <c r="B49" t="s">
        <v>2294</v>
      </c>
      <c r="C49">
        <v>441</v>
      </c>
      <c r="D49" t="s">
        <v>245</v>
      </c>
      <c r="F49">
        <f t="shared" si="12"/>
        <v>0</v>
      </c>
      <c r="BA49">
        <f t="shared" ca="1" si="13"/>
        <v>0</v>
      </c>
      <c r="BB49">
        <f t="shared" ca="1" si="14"/>
        <v>0</v>
      </c>
      <c r="CA49">
        <f>IF(OR(E49&gt;0,F49&gt;0,G49&gt;0,H49&gt;0,I49&gt;0,J49&gt;0,K49&gt;0,L49&gt;0,M49&gt;0,N49&gt;0,O49&gt;0,P49&gt;0,Q49&gt;0,R49&gt;0,S49&gt;0),1,0)</f>
        <v>0</v>
      </c>
    </row>
    <row r="50" spans="2:87" x14ac:dyDescent="0.2">
      <c r="B50" t="s">
        <v>2295</v>
      </c>
      <c r="C50">
        <v>442</v>
      </c>
      <c r="D50" t="s">
        <v>245</v>
      </c>
      <c r="F50">
        <f t="shared" si="12"/>
        <v>0</v>
      </c>
      <c r="BA50">
        <f t="shared" ca="1" si="13"/>
        <v>0</v>
      </c>
      <c r="BB50">
        <f t="shared" ca="1" si="14"/>
        <v>0</v>
      </c>
      <c r="CA50">
        <f>IF(OR(E50&gt;0,F50&gt;0,G50&gt;0,H50&gt;0,I50&gt;0,J50&gt;0,K50&gt;0,L50&gt;0,M50&gt;0,N50&gt;0,O50&gt;0,P50&gt;0,Q50&gt;0,R50&gt;0,S50&gt;0),1,0)</f>
        <v>0</v>
      </c>
      <c r="CF50">
        <f>SUM(G50:I50)+SUM(G48:I48)</f>
        <v>0</v>
      </c>
      <c r="CG50">
        <f>SUM(J50:L50)+SUM(J48:L48)</f>
        <v>0</v>
      </c>
      <c r="CH50">
        <f>SUM(M50:O50)+SUM(M48:O48)</f>
        <v>0</v>
      </c>
      <c r="CI50">
        <f>SUM(P50:R50)+SUM(P48:R48)</f>
        <v>0</v>
      </c>
    </row>
    <row r="51" spans="2:87" x14ac:dyDescent="0.2">
      <c r="B51" t="s">
        <v>471</v>
      </c>
      <c r="C51">
        <v>450</v>
      </c>
      <c r="D51" t="s">
        <v>248</v>
      </c>
      <c r="F51">
        <f t="shared" si="12"/>
        <v>0</v>
      </c>
      <c r="BA51">
        <f t="shared" ca="1" si="13"/>
        <v>0</v>
      </c>
      <c r="BB51">
        <f t="shared" ca="1" si="14"/>
        <v>0</v>
      </c>
      <c r="CB51">
        <f>IF(OR(E51&lt;0,F51&lt;0,G51&lt;0,H51&lt;0,I51&lt;0,J51&lt;0,K51&lt;0,L51&lt;0,M51&lt;0,N51&lt;0,O51&lt;0,P51&lt;0,Q51&lt;0,R51&lt;0,S51&lt;0),1,0)</f>
        <v>0</v>
      </c>
    </row>
    <row r="52" spans="2:87" x14ac:dyDescent="0.2">
      <c r="B52" t="s">
        <v>562</v>
      </c>
      <c r="C52">
        <v>460</v>
      </c>
      <c r="D52" t="s">
        <v>248</v>
      </c>
      <c r="F52">
        <f t="shared" si="12"/>
        <v>0</v>
      </c>
      <c r="BA52">
        <f t="shared" ca="1" si="13"/>
        <v>0</v>
      </c>
      <c r="BB52">
        <f t="shared" ca="1" si="14"/>
        <v>0</v>
      </c>
      <c r="CB52">
        <f>IF(OR(E52&lt;0,F52&lt;0,G52&lt;0,H52&lt;0,I52&lt;0,J52&lt;0,K52&lt;0,L52&lt;0,M52&lt;0,N52&lt;0,O52&lt;0,P52&lt;0,Q52&lt;0,R52&lt;0,S52&lt;0),1,0)</f>
        <v>0</v>
      </c>
    </row>
    <row r="53" spans="2:87" x14ac:dyDescent="0.2">
      <c r="B53" t="s">
        <v>2137</v>
      </c>
      <c r="C53">
        <v>465</v>
      </c>
      <c r="D53" t="s">
        <v>248</v>
      </c>
      <c r="F53">
        <f t="shared" si="12"/>
        <v>0</v>
      </c>
      <c r="BA53">
        <f t="shared" ca="1" si="13"/>
        <v>0</v>
      </c>
      <c r="BB53">
        <f t="shared" ca="1" si="14"/>
        <v>0</v>
      </c>
      <c r="CB53">
        <f>IF(OR(E53&lt;0,F53&lt;0,G53&lt;0,H53&lt;0,I53&lt;0,J53&lt;0,K53&lt;0,L53&lt;0,M53&lt;0,N53&lt;0,O53&lt;0,P53&lt;0,Q53&lt;0,R53&lt;0,S53&lt;0),1,0)</f>
        <v>0</v>
      </c>
    </row>
    <row r="54" spans="2:87" x14ac:dyDescent="0.2">
      <c r="B54" t="s">
        <v>3319</v>
      </c>
      <c r="C54">
        <v>468</v>
      </c>
      <c r="D54" t="s">
        <v>248</v>
      </c>
      <c r="F54">
        <f t="shared" si="12"/>
        <v>0</v>
      </c>
      <c r="BA54">
        <f t="shared" ca="1" si="13"/>
        <v>0</v>
      </c>
      <c r="BB54">
        <f t="shared" ca="1" si="14"/>
        <v>0</v>
      </c>
      <c r="CB54">
        <f>IF(OR(E54&lt;0,F54&lt;0,G54&lt;0,H54&lt;0,I54&lt;0,J54&lt;0,K54&lt;0,L54&lt;0,M54&lt;0,N54&lt;0,O54&lt;0,P54&lt;0,Q54&lt;0,R54&lt;0,S54&lt;0),1,0)</f>
        <v>0</v>
      </c>
    </row>
    <row r="55" spans="2:87" x14ac:dyDescent="0.2">
      <c r="B55" t="s">
        <v>473</v>
      </c>
      <c r="C55">
        <v>470</v>
      </c>
      <c r="D55" t="s">
        <v>248</v>
      </c>
      <c r="F55">
        <f t="shared" si="12"/>
        <v>0</v>
      </c>
      <c r="BA55">
        <f t="shared" ca="1" si="13"/>
        <v>0</v>
      </c>
      <c r="BB55">
        <f t="shared" ca="1" si="14"/>
        <v>0</v>
      </c>
      <c r="CB55">
        <f>IF(OR(E55&lt;0,F55&lt;0,G55&lt;0,H55&lt;0,I55&lt;0,J55&lt;0,K55&lt;0,L55&lt;0,M55&lt;0,N55&lt;0,O55&lt;0,P55&lt;0,Q55&lt;0,R55&lt;0,S55&lt;0),1,0)</f>
        <v>0</v>
      </c>
    </row>
    <row r="56" spans="2:87" x14ac:dyDescent="0.2">
      <c r="B56" t="s">
        <v>474</v>
      </c>
      <c r="C56">
        <v>480</v>
      </c>
      <c r="D56" t="s">
        <v>245</v>
      </c>
      <c r="F56">
        <f t="shared" si="12"/>
        <v>0</v>
      </c>
      <c r="BA56">
        <f t="shared" ca="1" si="13"/>
        <v>0</v>
      </c>
      <c r="BB56">
        <f t="shared" ca="1" si="14"/>
        <v>0</v>
      </c>
      <c r="CA56">
        <f>IF(OR(E56&gt;0,F56&gt;0,G56&gt;0,H56&gt;0,I56&gt;0,J56&gt;0,K56&gt;0,L56&gt;0,M56&gt;0,N56&gt;0,O56&gt;0,P56&gt;0,Q56&gt;0,R56&gt;0,S56&gt;0),1,0)</f>
        <v>0</v>
      </c>
    </row>
    <row r="57" spans="2:87" x14ac:dyDescent="0.2">
      <c r="B57" t="s">
        <v>2297</v>
      </c>
      <c r="C57">
        <v>490</v>
      </c>
      <c r="D57" t="s">
        <v>245</v>
      </c>
      <c r="F57">
        <f t="shared" si="12"/>
        <v>0</v>
      </c>
      <c r="BA57">
        <f t="shared" ca="1" si="13"/>
        <v>0</v>
      </c>
      <c r="BB57">
        <f t="shared" ca="1" si="14"/>
        <v>0</v>
      </c>
      <c r="CA57">
        <f>IF(OR(E57&gt;0,F57&gt;0,G57&gt;0,H57&gt;0,I57&gt;0,J57&gt;0,K57&gt;0,L57&gt;0,M57&gt;0,N57&gt;0,O57&gt;0,P57&gt;0,Q57&gt;0,R57&gt;0,S57&gt;0),1,0)</f>
        <v>0</v>
      </c>
    </row>
    <row r="58" spans="2:87" x14ac:dyDescent="0.2">
      <c r="B58" t="s">
        <v>2298</v>
      </c>
      <c r="C58">
        <v>492</v>
      </c>
      <c r="D58" t="s">
        <v>245</v>
      </c>
      <c r="F58">
        <f t="shared" si="12"/>
        <v>0</v>
      </c>
      <c r="BA58">
        <f t="shared" ca="1" si="13"/>
        <v>0</v>
      </c>
      <c r="BB58">
        <f t="shared" ca="1" si="14"/>
        <v>0</v>
      </c>
      <c r="CA58">
        <f>IF(OR(E58&gt;0,F58&gt;0,G58&gt;0,H58&gt;0,I58&gt;0,J58&gt;0,K58&gt;0,L58&gt;0,M58&gt;0,N58&gt;0,O58&gt;0,P58&gt;0,Q58&gt;0,R58&gt;0,S58&gt;0),1,0)</f>
        <v>0</v>
      </c>
    </row>
    <row r="59" spans="2:87" x14ac:dyDescent="0.2">
      <c r="B59" t="s">
        <v>3320</v>
      </c>
      <c r="C59">
        <v>495</v>
      </c>
      <c r="D59" t="s">
        <v>245</v>
      </c>
      <c r="F59">
        <f t="shared" si="12"/>
        <v>0</v>
      </c>
      <c r="BA59">
        <f t="shared" ca="1" si="13"/>
        <v>0</v>
      </c>
      <c r="BB59">
        <f t="shared" ca="1" si="14"/>
        <v>0</v>
      </c>
      <c r="CA59">
        <f>IF(OR(E59&gt;0,F59&gt;0,G59&gt;0,H59&gt;0,I59&gt;0,J59&gt;0,K59&gt;0,L59&gt;0,M59&gt;0,N59&gt;0,O59&gt;0,P59&gt;0,Q59&gt;0,R59&gt;0,S59&gt;0),1,0)</f>
        <v>0</v>
      </c>
    </row>
    <row r="60" spans="2:87" x14ac:dyDescent="0.2">
      <c r="B60" t="s">
        <v>476</v>
      </c>
      <c r="C60">
        <v>500</v>
      </c>
      <c r="D60" t="s">
        <v>245</v>
      </c>
      <c r="F60">
        <f t="shared" si="12"/>
        <v>0</v>
      </c>
      <c r="BA60">
        <f t="shared" ca="1" si="13"/>
        <v>0</v>
      </c>
      <c r="BB60">
        <f t="shared" ca="1" si="14"/>
        <v>0</v>
      </c>
      <c r="CA60">
        <f>IF(OR(E60&gt;0,F60&gt;0,G60&gt;0,H60&gt;0,I60&gt;0,J60&gt;0,K60&gt;0,L60&gt;0,M60&gt;0,N60&gt;0,O60&gt;0,P60&gt;0,Q60&gt;0,R60&gt;0,S60&gt;0),1,0)</f>
        <v>0</v>
      </c>
    </row>
    <row r="61" spans="2:87" x14ac:dyDescent="0.2">
      <c r="B61" t="s">
        <v>477</v>
      </c>
      <c r="C61">
        <v>510</v>
      </c>
      <c r="D61" t="s">
        <v>248</v>
      </c>
    </row>
    <row r="62" spans="2:87" x14ac:dyDescent="0.2">
      <c r="B62" t="s">
        <v>2922</v>
      </c>
      <c r="C62">
        <v>520</v>
      </c>
      <c r="D62" t="s">
        <v>251</v>
      </c>
      <c r="F62">
        <f>SUM(G62:R62)</f>
        <v>0</v>
      </c>
      <c r="BA62">
        <f ca="1">IF(OR($BA$1="13",$BA$1="16"),SUM(OFFSET(F62,0,1,1,12)),SUM(OFFSET(F62,0,1,1,$BA$1)))</f>
        <v>0</v>
      </c>
      <c r="BB62">
        <f ca="1">IF(OR($BA$1="13",$BA$1="16"),(OFFSET(F62,0,12,1,1)),(OFFSET(F62,0,$BA$1,1,1)))</f>
        <v>0</v>
      </c>
    </row>
    <row r="63" spans="2:87" x14ac:dyDescent="0.2">
      <c r="B63" t="s">
        <v>479</v>
      </c>
      <c r="C63">
        <v>530</v>
      </c>
      <c r="D63" t="s">
        <v>245</v>
      </c>
    </row>
    <row r="64" spans="2:87" x14ac:dyDescent="0.2">
      <c r="B64" t="s">
        <v>3321</v>
      </c>
      <c r="C64">
        <v>560</v>
      </c>
      <c r="D64" t="s">
        <v>248</v>
      </c>
      <c r="F64">
        <f>SUM(G64:R64)</f>
        <v>0</v>
      </c>
      <c r="BA64">
        <f ca="1">IF(OR($BA$1="13",$BA$1="16"),SUM(OFFSET(F64,0,1,1,12)),SUM(OFFSET(F64,0,1,1,$BA$1)))</f>
        <v>0</v>
      </c>
      <c r="BB64">
        <f ca="1">IF(OR($BA$1="13",$BA$1="16"),(OFFSET(F64,0,12,1,1)),(OFFSET(F64,0,$BA$1,1,1)))</f>
        <v>0</v>
      </c>
      <c r="CB64">
        <f>IF(OR(E64&lt;0,F64&lt;0,G64&lt;0,H64&lt;0,I64&lt;0,J64&lt;0,K64&lt;0,L64&lt;0,M64&lt;0,N64&lt;0,O64&lt;0,P64&lt;0,Q64&lt;0,R64&lt;0,S64&lt;0),1,0)</f>
        <v>0</v>
      </c>
    </row>
    <row r="65" spans="2:83" x14ac:dyDescent="0.2">
      <c r="B65" t="s">
        <v>483</v>
      </c>
      <c r="C65">
        <v>570</v>
      </c>
      <c r="D65" t="s">
        <v>251</v>
      </c>
    </row>
    <row r="66" spans="2:83" x14ac:dyDescent="0.2">
      <c r="B66" t="s">
        <v>484</v>
      </c>
      <c r="C66">
        <v>580</v>
      </c>
      <c r="D66" t="s">
        <v>251</v>
      </c>
      <c r="E66">
        <f t="shared" ref="E66:S66" si="15">SUM(E47:E65)</f>
        <v>0</v>
      </c>
      <c r="F66">
        <f t="shared" si="15"/>
        <v>0</v>
      </c>
      <c r="G66">
        <f t="shared" si="15"/>
        <v>0</v>
      </c>
      <c r="H66">
        <f t="shared" si="15"/>
        <v>0</v>
      </c>
      <c r="I66">
        <f t="shared" si="15"/>
        <v>0</v>
      </c>
      <c r="J66">
        <f t="shared" si="15"/>
        <v>0</v>
      </c>
      <c r="K66">
        <f t="shared" si="15"/>
        <v>0</v>
      </c>
      <c r="L66">
        <f t="shared" si="15"/>
        <v>0</v>
      </c>
      <c r="M66">
        <f t="shared" si="15"/>
        <v>0</v>
      </c>
      <c r="N66">
        <f t="shared" si="15"/>
        <v>0</v>
      </c>
      <c r="O66">
        <f t="shared" si="15"/>
        <v>0</v>
      </c>
      <c r="P66">
        <f t="shared" si="15"/>
        <v>0</v>
      </c>
      <c r="Q66">
        <f t="shared" si="15"/>
        <v>0</v>
      </c>
      <c r="R66">
        <f t="shared" si="15"/>
        <v>0</v>
      </c>
      <c r="S66">
        <f t="shared" si="15"/>
        <v>0</v>
      </c>
      <c r="BA66">
        <f ca="1">IF(OR($BA$1="13",$BA$1="16"),SUM(OFFSET(F66,0,1,1,12)),SUM(OFFSET(F66,0,1,1,$BA$1)))</f>
        <v>0</v>
      </c>
      <c r="BB66">
        <f ca="1">IF(OR($BA$1="13",$BA$1="16"),(OFFSET(F66,0,12,1,1)),(OFFSET(F66,0,$BA$1,1,1)))</f>
        <v>0</v>
      </c>
    </row>
    <row r="67" spans="2:83" x14ac:dyDescent="0.2">
      <c r="B67" t="s">
        <v>485</v>
      </c>
      <c r="C67">
        <v>590</v>
      </c>
      <c r="D67" t="s">
        <v>251</v>
      </c>
      <c r="E67">
        <f t="shared" ref="E67:S67" si="16">SUM(E66+E44+E28)</f>
        <v>0</v>
      </c>
      <c r="F67">
        <f t="shared" si="16"/>
        <v>0</v>
      </c>
      <c r="G67">
        <f t="shared" si="16"/>
        <v>0</v>
      </c>
      <c r="H67">
        <f t="shared" si="16"/>
        <v>0</v>
      </c>
      <c r="I67">
        <f t="shared" si="16"/>
        <v>0</v>
      </c>
      <c r="J67">
        <f t="shared" si="16"/>
        <v>0</v>
      </c>
      <c r="K67">
        <f t="shared" si="16"/>
        <v>0</v>
      </c>
      <c r="L67">
        <f t="shared" si="16"/>
        <v>0</v>
      </c>
      <c r="M67">
        <f t="shared" si="16"/>
        <v>0</v>
      </c>
      <c r="N67">
        <f t="shared" si="16"/>
        <v>0</v>
      </c>
      <c r="O67">
        <f t="shared" si="16"/>
        <v>0</v>
      </c>
      <c r="P67">
        <f t="shared" si="16"/>
        <v>0</v>
      </c>
      <c r="Q67">
        <f t="shared" si="16"/>
        <v>0</v>
      </c>
      <c r="R67">
        <f t="shared" si="16"/>
        <v>0</v>
      </c>
      <c r="S67">
        <f t="shared" si="16"/>
        <v>0</v>
      </c>
      <c r="BA67">
        <f ca="1">IF(OR($BA$1="13",$BA$1="16"),SUM(OFFSET(F67,0,1,1,12)),SUM(OFFSET(F67,0,1,1,$BA$1)))</f>
        <v>0</v>
      </c>
      <c r="BB67">
        <f ca="1">IF(OR($BA$1="13",$BA$1="16"),(OFFSET(F67,0,12,1,1)),(OFFSET(F67,0,$BA$1,1,1)))</f>
        <v>0</v>
      </c>
    </row>
    <row r="68" spans="2:83" x14ac:dyDescent="0.2">
      <c r="B68" t="s">
        <v>486</v>
      </c>
      <c r="C68">
        <v>600</v>
      </c>
      <c r="D68" t="s">
        <v>251</v>
      </c>
      <c r="F68">
        <f>G68</f>
        <v>0</v>
      </c>
      <c r="G68">
        <f>E72</f>
        <v>0</v>
      </c>
      <c r="H68">
        <f t="shared" ref="H68:S68" si="17">G72</f>
        <v>0</v>
      </c>
      <c r="I68">
        <f t="shared" si="17"/>
        <v>0</v>
      </c>
      <c r="J68">
        <f t="shared" si="17"/>
        <v>0</v>
      </c>
      <c r="K68">
        <f t="shared" si="17"/>
        <v>0</v>
      </c>
      <c r="L68">
        <f t="shared" si="17"/>
        <v>0</v>
      </c>
      <c r="M68">
        <f t="shared" si="17"/>
        <v>0</v>
      </c>
      <c r="N68">
        <f t="shared" si="17"/>
        <v>0</v>
      </c>
      <c r="O68">
        <f t="shared" si="17"/>
        <v>0</v>
      </c>
      <c r="P68">
        <f t="shared" si="17"/>
        <v>0</v>
      </c>
      <c r="Q68">
        <f t="shared" si="17"/>
        <v>0</v>
      </c>
      <c r="R68">
        <f t="shared" si="17"/>
        <v>0</v>
      </c>
      <c r="S68">
        <f t="shared" si="17"/>
        <v>0</v>
      </c>
      <c r="BA68">
        <f ca="1">IF(OR($BA$1="13",$BA$1="16"),SUM(OFFSET(F68,0,1,1,12)),SUM(OFFSET(F68,0,1,1,$BA$1)))</f>
        <v>0</v>
      </c>
      <c r="BB68">
        <f ca="1">IF(OR($BA$1="13",$BA$1="16"),(OFFSET(F68,0,12,1,1)),(OFFSET(F68,0,$BA$1,1,1)))</f>
        <v>0</v>
      </c>
    </row>
    <row r="69" spans="2:83" x14ac:dyDescent="0.2">
      <c r="B69" t="s">
        <v>487</v>
      </c>
      <c r="C69">
        <v>610</v>
      </c>
      <c r="D69" t="s">
        <v>251</v>
      </c>
      <c r="F69">
        <f>G69</f>
        <v>0</v>
      </c>
    </row>
    <row r="70" spans="2:83" x14ac:dyDescent="0.2">
      <c r="B70" t="s">
        <v>2923</v>
      </c>
      <c r="C70">
        <v>620</v>
      </c>
      <c r="D70" t="s">
        <v>251</v>
      </c>
      <c r="E70">
        <f t="shared" ref="E70:S70" si="18">E69+E68</f>
        <v>0</v>
      </c>
      <c r="F70">
        <f t="shared" si="18"/>
        <v>0</v>
      </c>
      <c r="G70">
        <f t="shared" si="18"/>
        <v>0</v>
      </c>
      <c r="H70">
        <f t="shared" si="18"/>
        <v>0</v>
      </c>
      <c r="I70">
        <f t="shared" si="18"/>
        <v>0</v>
      </c>
      <c r="J70">
        <f t="shared" si="18"/>
        <v>0</v>
      </c>
      <c r="K70">
        <f t="shared" si="18"/>
        <v>0</v>
      </c>
      <c r="L70">
        <f t="shared" si="18"/>
        <v>0</v>
      </c>
      <c r="M70">
        <f t="shared" si="18"/>
        <v>0</v>
      </c>
      <c r="N70">
        <f t="shared" si="18"/>
        <v>0</v>
      </c>
      <c r="O70">
        <f t="shared" si="18"/>
        <v>0</v>
      </c>
      <c r="P70">
        <f t="shared" si="18"/>
        <v>0</v>
      </c>
      <c r="Q70">
        <f t="shared" si="18"/>
        <v>0</v>
      </c>
      <c r="R70">
        <f t="shared" si="18"/>
        <v>0</v>
      </c>
      <c r="S70">
        <f t="shared" si="18"/>
        <v>0</v>
      </c>
      <c r="BA70">
        <f ca="1">IF(OR($BA$1="13",$BA$1="16"),SUM(OFFSET(F70,0,1,1,12)),SUM(OFFSET(F70,0,1,1,$BA$1)))</f>
        <v>0</v>
      </c>
      <c r="BB70">
        <f ca="1">IF(OR($BA$1="13",$BA$1="16"),(OFFSET(F70,0,12,1,1)),(OFFSET(F70,0,$BA$1,1,1)))</f>
        <v>0</v>
      </c>
    </row>
    <row r="71" spans="2:83" x14ac:dyDescent="0.2">
      <c r="B71" t="s">
        <v>489</v>
      </c>
      <c r="C71">
        <v>630</v>
      </c>
      <c r="D71" t="s">
        <v>251</v>
      </c>
      <c r="F71">
        <f>SUM(G71:R71)</f>
        <v>0</v>
      </c>
      <c r="BA71">
        <f ca="1">IF(OR($BA$1="13",$BA$1="16"),SUM(OFFSET(F71,0,1,1,12)),SUM(OFFSET(F71,0,1,1,$BA$1)))</f>
        <v>0</v>
      </c>
      <c r="BB71">
        <f ca="1">IF(OR($BA$1="13",$BA$1="16"),(OFFSET(F71,0,12,1,1)),(OFFSET(F71,0,$BA$1,1,1)))</f>
        <v>0</v>
      </c>
    </row>
    <row r="72" spans="2:83" x14ac:dyDescent="0.2">
      <c r="B72" t="s">
        <v>3322</v>
      </c>
      <c r="C72">
        <v>640</v>
      </c>
      <c r="D72" t="s">
        <v>251</v>
      </c>
      <c r="E72">
        <f t="shared" ref="E72:S72" si="19">SUM(E67+E70+E71)</f>
        <v>0</v>
      </c>
      <c r="F72">
        <f t="shared" si="19"/>
        <v>0</v>
      </c>
      <c r="G72">
        <f t="shared" si="19"/>
        <v>0</v>
      </c>
      <c r="H72">
        <f t="shared" si="19"/>
        <v>0</v>
      </c>
      <c r="I72">
        <f t="shared" si="19"/>
        <v>0</v>
      </c>
      <c r="J72">
        <f t="shared" si="19"/>
        <v>0</v>
      </c>
      <c r="K72">
        <f t="shared" si="19"/>
        <v>0</v>
      </c>
      <c r="L72">
        <f t="shared" si="19"/>
        <v>0</v>
      </c>
      <c r="M72">
        <f t="shared" si="19"/>
        <v>0</v>
      </c>
      <c r="N72">
        <f t="shared" si="19"/>
        <v>0</v>
      </c>
      <c r="O72">
        <f t="shared" si="19"/>
        <v>0</v>
      </c>
      <c r="P72">
        <f t="shared" si="19"/>
        <v>0</v>
      </c>
      <c r="Q72">
        <f t="shared" si="19"/>
        <v>0</v>
      </c>
      <c r="R72">
        <f t="shared" si="19"/>
        <v>0</v>
      </c>
      <c r="S72">
        <f t="shared" si="19"/>
        <v>0</v>
      </c>
      <c r="BA72">
        <f ca="1">IF(OR($BA$1="13",$BA$1="16"),SUM(OFFSET(F72,0,1,1,12)),SUM(OFFSET(F72,0,1,1,$BA$1)))</f>
        <v>0</v>
      </c>
      <c r="BB72">
        <f ca="1">IF(OR($BA$1="13",$BA$1="16"),(OFFSET(F72,0,12,1,1)),(OFFSET(F72,0,$BA$1,1,1)))</f>
        <v>0</v>
      </c>
    </row>
    <row r="74" spans="2:83" x14ac:dyDescent="0.2">
      <c r="B74" t="s">
        <v>2258</v>
      </c>
      <c r="C74" t="s">
        <v>238</v>
      </c>
      <c r="D74" t="s">
        <v>25</v>
      </c>
      <c r="E74" t="s">
        <v>3278</v>
      </c>
      <c r="F74" t="s">
        <v>3279</v>
      </c>
      <c r="G74" t="s">
        <v>3280</v>
      </c>
      <c r="H74" t="s">
        <v>2025</v>
      </c>
      <c r="I74" t="s">
        <v>2026</v>
      </c>
      <c r="J74" t="s">
        <v>2027</v>
      </c>
      <c r="K74" t="s">
        <v>2028</v>
      </c>
      <c r="L74" t="s">
        <v>2029</v>
      </c>
      <c r="M74" t="s">
        <v>2030</v>
      </c>
      <c r="N74" t="s">
        <v>2031</v>
      </c>
      <c r="O74" t="s">
        <v>2032</v>
      </c>
      <c r="P74" t="s">
        <v>2033</v>
      </c>
      <c r="Q74" t="s">
        <v>2034</v>
      </c>
      <c r="R74" t="s">
        <v>2035</v>
      </c>
      <c r="S74" t="s">
        <v>3281</v>
      </c>
    </row>
    <row r="75" spans="2:83" x14ac:dyDescent="0.2">
      <c r="C75" t="s">
        <v>242</v>
      </c>
      <c r="E75" t="s">
        <v>2036</v>
      </c>
      <c r="F75" t="s">
        <v>2037</v>
      </c>
      <c r="G75" t="s">
        <v>2038</v>
      </c>
      <c r="H75" t="s">
        <v>2039</v>
      </c>
      <c r="I75" t="s">
        <v>2040</v>
      </c>
      <c r="J75" t="s">
        <v>2041</v>
      </c>
      <c r="K75" t="s">
        <v>2042</v>
      </c>
      <c r="L75" t="s">
        <v>2043</v>
      </c>
      <c r="M75" t="s">
        <v>2044</v>
      </c>
      <c r="N75" t="s">
        <v>2045</v>
      </c>
      <c r="O75" t="s">
        <v>2046</v>
      </c>
      <c r="P75" t="s">
        <v>2047</v>
      </c>
      <c r="Q75" t="s">
        <v>2048</v>
      </c>
      <c r="R75" t="s">
        <v>2049</v>
      </c>
      <c r="S75" t="s">
        <v>2050</v>
      </c>
    </row>
    <row r="76" spans="2:83" x14ac:dyDescent="0.2">
      <c r="B76" t="s">
        <v>473</v>
      </c>
      <c r="E76" t="s">
        <v>243</v>
      </c>
      <c r="F76" t="s">
        <v>243</v>
      </c>
      <c r="G76" t="s">
        <v>243</v>
      </c>
      <c r="H76" t="s">
        <v>243</v>
      </c>
      <c r="I76" t="s">
        <v>243</v>
      </c>
      <c r="J76" t="s">
        <v>243</v>
      </c>
      <c r="K76" t="s">
        <v>243</v>
      </c>
      <c r="L76" t="s">
        <v>243</v>
      </c>
      <c r="M76" t="s">
        <v>243</v>
      </c>
      <c r="N76" t="s">
        <v>243</v>
      </c>
      <c r="O76" t="s">
        <v>243</v>
      </c>
      <c r="P76" t="s">
        <v>243</v>
      </c>
      <c r="Q76" t="s">
        <v>243</v>
      </c>
      <c r="R76" t="s">
        <v>243</v>
      </c>
      <c r="S76" t="s">
        <v>243</v>
      </c>
    </row>
    <row r="77" spans="2:83" x14ac:dyDescent="0.2">
      <c r="C77">
        <v>650</v>
      </c>
      <c r="D77" t="s">
        <v>248</v>
      </c>
      <c r="F77">
        <f>SUM(G77:R77)</f>
        <v>0</v>
      </c>
      <c r="BA77">
        <f ca="1">IF(OR($BA$1="13",$BA$1="16"),SUM(OFFSET(F77,0,1,1,12)),SUM(OFFSET(F77,0,1,1,$BA$1)))</f>
        <v>0</v>
      </c>
      <c r="BB77">
        <f ca="1">IF(OR($BA$1="13",$BA$1="16"),(OFFSET(F77,0,12,1,1)),(OFFSET(F77,0,$BA$1,1,1)))</f>
        <v>0</v>
      </c>
      <c r="CB77">
        <f>IF(OR(E77&lt;0,F77&lt;0,G77&lt;0,H77&lt;0,I77&lt;0,J77&lt;0,K77&lt;0,L77&lt;0,M77&lt;0,N77&lt;0,O77&lt;0,P77&lt;0,Q77&lt;0,R77&lt;0,S77&lt;0),1,0)</f>
        <v>0</v>
      </c>
    </row>
    <row r="78" spans="2:83" x14ac:dyDescent="0.2">
      <c r="C78">
        <v>660</v>
      </c>
      <c r="D78" t="s">
        <v>248</v>
      </c>
      <c r="F78">
        <f>SUM(G78:R78)</f>
        <v>0</v>
      </c>
      <c r="BA78">
        <f ca="1">IF(OR($BA$1="13",$BA$1="16"),SUM(OFFSET(F78,0,1,1,12)),SUM(OFFSET(F78,0,1,1,$BA$1)))</f>
        <v>0</v>
      </c>
      <c r="BB78">
        <f ca="1">IF(OR($BA$1="13",$BA$1="16"),(OFFSET(F78,0,12,1,1)),(OFFSET(F78,0,$BA$1,1,1)))</f>
        <v>0</v>
      </c>
      <c r="CB78">
        <f>IF(OR(E78&lt;0,F78&lt;0,G78&lt;0,H78&lt;0,I78&lt;0,J78&lt;0,K78&lt;0,L78&lt;0,M78&lt;0,N78&lt;0,O78&lt;0,P78&lt;0,Q78&lt;0,R78&lt;0,S78&lt;0),1,0)</f>
        <v>0</v>
      </c>
    </row>
    <row r="79" spans="2:83" x14ac:dyDescent="0.2">
      <c r="C79">
        <v>665</v>
      </c>
      <c r="D79" t="s">
        <v>248</v>
      </c>
      <c r="F79">
        <f>SUM(G79:R79)</f>
        <v>0</v>
      </c>
      <c r="BA79">
        <f ca="1">IF(OR($BA$1="13",$BA$1="16"),SUM(OFFSET(F79,0,1,1,12)),SUM(OFFSET(F79,0,1,1,$BA$1)))</f>
        <v>0</v>
      </c>
      <c r="BB79">
        <f ca="1">IF(OR($BA$1="13",$BA$1="16"),(OFFSET(F79,0,12,1,1)),(OFFSET(F79,0,$BA$1,1,1)))</f>
        <v>0</v>
      </c>
      <c r="CB79">
        <f>IF(OR(E79&lt;0,F79&lt;0,G79&lt;0,H79&lt;0,I79&lt;0,J79&lt;0,K79&lt;0,L79&lt;0,M79&lt;0,N79&lt;0,O79&lt;0,P79&lt;0,Q79&lt;0,R79&lt;0,S79&lt;0),1,0)</f>
        <v>0</v>
      </c>
    </row>
    <row r="80" spans="2:83" x14ac:dyDescent="0.2">
      <c r="B80" t="s">
        <v>2302</v>
      </c>
      <c r="C80">
        <v>680</v>
      </c>
      <c r="D80" t="s">
        <v>248</v>
      </c>
      <c r="E80">
        <f t="shared" ref="E80:S80" si="20">SUM(E77:E79)</f>
        <v>0</v>
      </c>
      <c r="F80">
        <f t="shared" si="20"/>
        <v>0</v>
      </c>
      <c r="G80">
        <f t="shared" si="20"/>
        <v>0</v>
      </c>
      <c r="H80">
        <f t="shared" si="20"/>
        <v>0</v>
      </c>
      <c r="I80">
        <f t="shared" si="20"/>
        <v>0</v>
      </c>
      <c r="J80">
        <f t="shared" si="20"/>
        <v>0</v>
      </c>
      <c r="K80">
        <f t="shared" si="20"/>
        <v>0</v>
      </c>
      <c r="L80">
        <f t="shared" si="20"/>
        <v>0</v>
      </c>
      <c r="M80">
        <f t="shared" si="20"/>
        <v>0</v>
      </c>
      <c r="N80">
        <f t="shared" si="20"/>
        <v>0</v>
      </c>
      <c r="O80">
        <f t="shared" si="20"/>
        <v>0</v>
      </c>
      <c r="P80">
        <f t="shared" si="20"/>
        <v>0</v>
      </c>
      <c r="Q80">
        <f t="shared" si="20"/>
        <v>0</v>
      </c>
      <c r="R80">
        <f t="shared" si="20"/>
        <v>0</v>
      </c>
      <c r="S80">
        <f t="shared" si="20"/>
        <v>0</v>
      </c>
      <c r="BA80">
        <f ca="1">IF(OR($BA$1="13",$BA$1="16"),SUM(OFFSET(F80,0,1,1,12)),SUM(OFFSET(F80,0,1,1,$BA$1)))</f>
        <v>0</v>
      </c>
      <c r="BB80">
        <f ca="1">IF(OR($BA$1="13",$BA$1="16"),(OFFSET(F80,0,12,1,1)),(OFFSET(F80,0,$BA$1,1,1)))</f>
        <v>0</v>
      </c>
      <c r="CC80">
        <f>IF(OR(E80&lt;&gt;E55,F80&lt;&gt;F55,G80&lt;&gt;G55,H80&lt;&gt;H55,I80&lt;&gt;I55,J80&lt;&gt;J55,K80&lt;&gt;K55,L80&lt;&gt;L55,M80&lt;&gt;M55,N80&lt;&gt;N55,O80&lt;&gt;O55,P80&lt;&gt;P55,Q80&lt;&gt;Q55,R80&lt;&gt;R55,S80&lt;&gt;S55),1,0)</f>
        <v>0</v>
      </c>
      <c r="CE80" t="s">
        <v>2305</v>
      </c>
    </row>
    <row r="81" spans="2:83" x14ac:dyDescent="0.2">
      <c r="B81" t="s">
        <v>476</v>
      </c>
      <c r="E81" t="s">
        <v>243</v>
      </c>
      <c r="F81" t="s">
        <v>243</v>
      </c>
      <c r="G81" t="s">
        <v>243</v>
      </c>
      <c r="H81" t="s">
        <v>243</v>
      </c>
      <c r="I81" t="s">
        <v>243</v>
      </c>
      <c r="J81" t="s">
        <v>243</v>
      </c>
      <c r="K81" t="s">
        <v>243</v>
      </c>
      <c r="L81" t="s">
        <v>243</v>
      </c>
      <c r="M81" t="s">
        <v>243</v>
      </c>
      <c r="N81" t="s">
        <v>243</v>
      </c>
      <c r="O81" t="s">
        <v>243</v>
      </c>
      <c r="P81" t="s">
        <v>243</v>
      </c>
      <c r="Q81" t="s">
        <v>243</v>
      </c>
      <c r="R81" t="s">
        <v>243</v>
      </c>
      <c r="S81" t="s">
        <v>243</v>
      </c>
    </row>
    <row r="82" spans="2:83" x14ac:dyDescent="0.2">
      <c r="C82">
        <v>690</v>
      </c>
      <c r="D82" t="s">
        <v>245</v>
      </c>
      <c r="F82">
        <f>SUM(G82:R82)</f>
        <v>0</v>
      </c>
      <c r="BA82">
        <f ca="1">IF(OR($BA$1="13",$BA$1="16"),SUM(OFFSET(F82,0,1,1,12)),SUM(OFFSET(F82,0,1,1,$BA$1)))</f>
        <v>0</v>
      </c>
      <c r="BB82">
        <f ca="1">IF(OR($BA$1="13",$BA$1="16"),(OFFSET(F82,0,12,1,1)),(OFFSET(F82,0,$BA$1,1,1)))</f>
        <v>0</v>
      </c>
      <c r="CA82">
        <f>IF(OR(E82&gt;0,F82&gt;0,G82&gt;0,H82&gt;0,I82&gt;0,J82&gt;0,K82&gt;0,L82&gt;0,M82&gt;0,N82&gt;0,O82&gt;0,P82&gt;0,Q82&gt;0,R82&gt;0,S82&gt;0),1,0)</f>
        <v>0</v>
      </c>
    </row>
    <row r="83" spans="2:83" x14ac:dyDescent="0.2">
      <c r="C83">
        <v>700</v>
      </c>
      <c r="D83" t="s">
        <v>245</v>
      </c>
      <c r="F83">
        <f>SUM(G83:R83)</f>
        <v>0</v>
      </c>
      <c r="BA83">
        <f ca="1">IF(OR($BA$1="13",$BA$1="16"),SUM(OFFSET(F83,0,1,1,12)),SUM(OFFSET(F83,0,1,1,$BA$1)))</f>
        <v>0</v>
      </c>
      <c r="BB83">
        <f ca="1">IF(OR($BA$1="13",$BA$1="16"),(OFFSET(F83,0,12,1,1)),(OFFSET(F83,0,$BA$1,1,1)))</f>
        <v>0</v>
      </c>
      <c r="CA83">
        <f>IF(OR(E83&gt;0,F83&gt;0,G83&gt;0,H83&gt;0,I83&gt;0,J83&gt;0,K83&gt;0,L83&gt;0,M83&gt;0,N83&gt;0,O83&gt;0,P83&gt;0,Q83&gt;0,R83&gt;0,S83&gt;0),1,0)</f>
        <v>0</v>
      </c>
    </row>
    <row r="84" spans="2:83" x14ac:dyDescent="0.2">
      <c r="C84">
        <v>710</v>
      </c>
      <c r="D84" t="s">
        <v>245</v>
      </c>
      <c r="F84">
        <f>SUM(G84:R84)</f>
        <v>0</v>
      </c>
      <c r="BA84">
        <f ca="1">IF(OR($BA$1="13",$BA$1="16"),SUM(OFFSET(F84,0,1,1,12)),SUM(OFFSET(F84,0,1,1,$BA$1)))</f>
        <v>0</v>
      </c>
      <c r="BB84">
        <f ca="1">IF(OR($BA$1="13",$BA$1="16"),(OFFSET(F84,0,12,1,1)),(OFFSET(F84,0,$BA$1,1,1)))</f>
        <v>0</v>
      </c>
      <c r="CA84">
        <f>IF(OR(E84&gt;0,F84&gt;0,G84&gt;0,H84&gt;0,I84&gt;0,J84&gt;0,K84&gt;0,L84&gt;0,M84&gt;0,N84&gt;0,O84&gt;0,P84&gt;0,Q84&gt;0,R84&gt;0,S84&gt;0),1,0)</f>
        <v>0</v>
      </c>
    </row>
    <row r="85" spans="2:83" x14ac:dyDescent="0.2">
      <c r="B85" t="s">
        <v>2303</v>
      </c>
      <c r="C85">
        <v>720</v>
      </c>
      <c r="D85" t="s">
        <v>245</v>
      </c>
      <c r="E85">
        <f t="shared" ref="E85:S85" si="21">SUM(E82:E84)</f>
        <v>0</v>
      </c>
      <c r="F85">
        <f t="shared" si="21"/>
        <v>0</v>
      </c>
      <c r="G85">
        <f t="shared" si="21"/>
        <v>0</v>
      </c>
      <c r="H85">
        <f t="shared" si="21"/>
        <v>0</v>
      </c>
      <c r="I85">
        <f t="shared" si="21"/>
        <v>0</v>
      </c>
      <c r="J85">
        <f t="shared" si="21"/>
        <v>0</v>
      </c>
      <c r="K85">
        <f t="shared" si="21"/>
        <v>0</v>
      </c>
      <c r="L85">
        <f t="shared" si="21"/>
        <v>0</v>
      </c>
      <c r="M85">
        <f t="shared" si="21"/>
        <v>0</v>
      </c>
      <c r="N85">
        <f t="shared" si="21"/>
        <v>0</v>
      </c>
      <c r="O85">
        <f t="shared" si="21"/>
        <v>0</v>
      </c>
      <c r="P85">
        <f t="shared" si="21"/>
        <v>0</v>
      </c>
      <c r="Q85">
        <f t="shared" si="21"/>
        <v>0</v>
      </c>
      <c r="R85">
        <f t="shared" si="21"/>
        <v>0</v>
      </c>
      <c r="S85">
        <f t="shared" si="21"/>
        <v>0</v>
      </c>
      <c r="BA85">
        <f ca="1">IF(OR($BA$1="13",$BA$1="16"),SUM(OFFSET(F85,0,1,1,12)),SUM(OFFSET(F85,0,1,1,$BA$1)))</f>
        <v>0</v>
      </c>
      <c r="BB85">
        <f ca="1">IF(OR($BA$1="13",$BA$1="16"),(OFFSET(F85,0,12,1,1)),(OFFSET(F85,0,$BA$1,1,1)))</f>
        <v>0</v>
      </c>
      <c r="CC85">
        <f>IF(OR(E85&lt;&gt;E60,F85&lt;&gt;F60,G85&lt;&gt;G60,H85&lt;&gt;H60,I85&lt;&gt;I60,J85&lt;&gt;J60,K85&lt;&gt;K60,L85&lt;&gt;L60,M85&lt;&gt;M60,N85&lt;&gt;N60,O85&lt;&gt;O60,P85&lt;&gt;P60,Q85&lt;&gt;Q60,R85&lt;&gt;R60,S85&lt;&gt;S60),1,0)</f>
        <v>0</v>
      </c>
      <c r="CE85" t="s">
        <v>2305</v>
      </c>
    </row>
    <row r="87" spans="2:83" x14ac:dyDescent="0.2">
      <c r="B87" t="s">
        <v>2308</v>
      </c>
      <c r="BA87">
        <f ca="1">IF(OR($BA$1="13",$BA$1="16"),SUM(OFFSET(F87,0,1,1,12)),SUM(OFFSET(F87,0,1,1,$BA$1)))</f>
        <v>0</v>
      </c>
      <c r="BB87">
        <f ca="1">IF(OR($BA$1="13",$BA$1="16"),(OFFSET(F87,0,12,1,1)),(OFFSET(F87,0,$BA$1,1,1)))</f>
        <v>0</v>
      </c>
    </row>
    <row r="88" spans="2:83" x14ac:dyDescent="0.2">
      <c r="B88" t="s">
        <v>2310</v>
      </c>
      <c r="E88">
        <f t="shared" ref="E88:S88" si="22">E72-E87</f>
        <v>0</v>
      </c>
      <c r="F88">
        <f t="shared" si="22"/>
        <v>0</v>
      </c>
      <c r="G88">
        <f t="shared" si="22"/>
        <v>0</v>
      </c>
      <c r="H88">
        <f t="shared" si="22"/>
        <v>0</v>
      </c>
      <c r="I88">
        <f t="shared" si="22"/>
        <v>0</v>
      </c>
      <c r="J88">
        <f t="shared" si="22"/>
        <v>0</v>
      </c>
      <c r="K88">
        <f t="shared" si="22"/>
        <v>0</v>
      </c>
      <c r="L88">
        <f t="shared" si="22"/>
        <v>0</v>
      </c>
      <c r="M88">
        <f t="shared" si="22"/>
        <v>0</v>
      </c>
      <c r="N88">
        <f t="shared" si="22"/>
        <v>0</v>
      </c>
      <c r="O88">
        <f t="shared" si="22"/>
        <v>0</v>
      </c>
      <c r="P88">
        <f t="shared" si="22"/>
        <v>0</v>
      </c>
      <c r="Q88">
        <f t="shared" si="22"/>
        <v>0</v>
      </c>
      <c r="R88">
        <f t="shared" si="22"/>
        <v>0</v>
      </c>
      <c r="S88">
        <f t="shared" si="22"/>
        <v>0</v>
      </c>
      <c r="BA88">
        <f ca="1">IF(OR($BA$1="13",$BA$1="16"),SUM(OFFSET(F88,0,1,1,12)),SUM(OFFSET(F88,0,1,1,$BA$1)))</f>
        <v>0</v>
      </c>
      <c r="BB88">
        <f ca="1">IF(OR($BA$1="13",$BA$1="16"),(OFFSET(F88,0,12,1,1)),(OFFSET(F88,0,$BA$1,1,1)))</f>
        <v>0</v>
      </c>
      <c r="CE88">
        <f>SUM(E88:S88)</f>
        <v>0</v>
      </c>
    </row>
    <row r="90" spans="2:83" x14ac:dyDescent="0.2">
      <c r="B90" t="s">
        <v>3323</v>
      </c>
      <c r="F90">
        <f>E92</f>
        <v>0</v>
      </c>
      <c r="G90">
        <f>E92</f>
        <v>0</v>
      </c>
      <c r="H90">
        <f t="shared" ref="H90:S90" si="23">G92</f>
        <v>0</v>
      </c>
      <c r="I90">
        <f t="shared" si="23"/>
        <v>0</v>
      </c>
      <c r="J90">
        <f t="shared" si="23"/>
        <v>0</v>
      </c>
      <c r="K90">
        <f t="shared" si="23"/>
        <v>0</v>
      </c>
      <c r="L90">
        <f t="shared" si="23"/>
        <v>0</v>
      </c>
      <c r="M90">
        <f t="shared" si="23"/>
        <v>0</v>
      </c>
      <c r="N90">
        <f t="shared" si="23"/>
        <v>0</v>
      </c>
      <c r="O90">
        <f t="shared" si="23"/>
        <v>0</v>
      </c>
      <c r="P90">
        <f t="shared" si="23"/>
        <v>0</v>
      </c>
      <c r="Q90">
        <f t="shared" si="23"/>
        <v>0</v>
      </c>
      <c r="R90">
        <f t="shared" si="23"/>
        <v>0</v>
      </c>
      <c r="S90">
        <f t="shared" si="23"/>
        <v>0</v>
      </c>
      <c r="BA90">
        <f ca="1">IF(OR($BA$1="13",$BA$1="16"),SUM(OFFSET(F90,0,1,1,12)),SUM(OFFSET(F90,0,1,1,$BA$1)))</f>
        <v>0</v>
      </c>
      <c r="BB90">
        <f ca="1">IF(OR($BA$1="13",$BA$1="16"),(OFFSET(F90,0,12,1,1)),(OFFSET(F90,0,$BA$1,1,1)))</f>
        <v>0</v>
      </c>
    </row>
    <row r="91" spans="2:83" x14ac:dyDescent="0.2">
      <c r="B91" t="s">
        <v>2312</v>
      </c>
      <c r="F91">
        <f t="shared" ref="F91:S91" si="24">(F51+F52+F53+F54+F55+F56+F57+F58+F60)*-1</f>
        <v>0</v>
      </c>
      <c r="G91">
        <f t="shared" si="24"/>
        <v>0</v>
      </c>
      <c r="H91">
        <f t="shared" si="24"/>
        <v>0</v>
      </c>
      <c r="I91">
        <f t="shared" si="24"/>
        <v>0</v>
      </c>
      <c r="J91">
        <f t="shared" si="24"/>
        <v>0</v>
      </c>
      <c r="K91">
        <f t="shared" si="24"/>
        <v>0</v>
      </c>
      <c r="L91">
        <f t="shared" si="24"/>
        <v>0</v>
      </c>
      <c r="M91">
        <f t="shared" si="24"/>
        <v>0</v>
      </c>
      <c r="N91">
        <f t="shared" si="24"/>
        <v>0</v>
      </c>
      <c r="O91">
        <f t="shared" si="24"/>
        <v>0</v>
      </c>
      <c r="P91">
        <f t="shared" si="24"/>
        <v>0</v>
      </c>
      <c r="Q91">
        <f t="shared" si="24"/>
        <v>0</v>
      </c>
      <c r="R91">
        <f t="shared" si="24"/>
        <v>0</v>
      </c>
      <c r="S91">
        <f t="shared" si="24"/>
        <v>0</v>
      </c>
      <c r="BA91">
        <f ca="1">IF(OR($BA$1="13",$BA$1="16"),SUM(OFFSET(F91,0,1,1,12)),SUM(OFFSET(F91,0,1,1,$BA$1)))</f>
        <v>0</v>
      </c>
      <c r="BB91">
        <f ca="1">IF(OR($BA$1="13",$BA$1="16"),(OFFSET(F91,0,12,1,1)),(OFFSET(F91,0,$BA$1,1,1)))</f>
        <v>0</v>
      </c>
    </row>
    <row r="92" spans="2:83" x14ac:dyDescent="0.2">
      <c r="B92" t="s">
        <v>3324</v>
      </c>
      <c r="E92">
        <f t="shared" ref="E92:S92" si="25">SUM(E90:E91)</f>
        <v>0</v>
      </c>
      <c r="F92">
        <f t="shared" si="25"/>
        <v>0</v>
      </c>
      <c r="G92">
        <f t="shared" si="25"/>
        <v>0</v>
      </c>
      <c r="H92">
        <f t="shared" si="25"/>
        <v>0</v>
      </c>
      <c r="I92">
        <f t="shared" si="25"/>
        <v>0</v>
      </c>
      <c r="J92">
        <f t="shared" si="25"/>
        <v>0</v>
      </c>
      <c r="K92">
        <f t="shared" si="25"/>
        <v>0</v>
      </c>
      <c r="L92">
        <f t="shared" si="25"/>
        <v>0</v>
      </c>
      <c r="M92">
        <f t="shared" si="25"/>
        <v>0</v>
      </c>
      <c r="N92">
        <f t="shared" si="25"/>
        <v>0</v>
      </c>
      <c r="O92">
        <f t="shared" si="25"/>
        <v>0</v>
      </c>
      <c r="P92">
        <f t="shared" si="25"/>
        <v>0</v>
      </c>
      <c r="Q92">
        <f t="shared" si="25"/>
        <v>0</v>
      </c>
      <c r="R92">
        <f t="shared" si="25"/>
        <v>0</v>
      </c>
      <c r="S92">
        <f t="shared" si="25"/>
        <v>0</v>
      </c>
      <c r="BA92">
        <f ca="1">IF(OR($BA$1="13",$BA$1="16"),SUM(OFFSET(F92,0,1,1,12)),SUM(OFFSET(F92,0,1,1,$BA$1)))</f>
        <v>0</v>
      </c>
      <c r="BB92">
        <f ca="1">IF(OR($BA$1="13",$BA$1="16"),(OFFSET(F92,0,12,1,1)),(OFFSET(F92,0,$BA$1,1,1)))</f>
        <v>0</v>
      </c>
    </row>
    <row r="93" spans="2:83" x14ac:dyDescent="0.2">
      <c r="CE93" t="s">
        <v>3325</v>
      </c>
    </row>
    <row r="94" spans="2:83" x14ac:dyDescent="0.2">
      <c r="B94" t="s">
        <v>2315</v>
      </c>
      <c r="BA94">
        <f ca="1">IF(OR($BA$1="13",$BA$1="16"),SUM(OFFSET(F94,0,1,1,12)),SUM(OFFSET(F94,0,1,1,$BA$1)))</f>
        <v>0</v>
      </c>
      <c r="BB94">
        <f ca="1">IF(OR($BA$1="13",$BA$1="16"),(OFFSET(F94,0,12,1,1)),(OFFSET(F94,0,$BA$1,1,1)))</f>
        <v>0</v>
      </c>
      <c r="CE94">
        <f>IF(OR(F92&lt;&gt;F94,G92&lt;&gt;G94,H92&lt;&gt;H94,I92&lt;&gt;I94,J92&lt;&gt;J94,K92&lt;&gt;K94,L92&lt;&gt;L94,M92&lt;&gt;M94,N92&lt;&gt;N94,O92&lt;&gt;O94,P92&lt;&gt;P94,Q92&lt;&gt;Q94,R92&lt;&gt;R94,S92&lt;&gt;S94),1,0)</f>
        <v>0</v>
      </c>
    </row>
    <row r="96" spans="2:83" x14ac:dyDescent="0.2">
      <c r="B96" t="s">
        <v>2325</v>
      </c>
      <c r="F96">
        <f>E98</f>
        <v>0</v>
      </c>
      <c r="G96">
        <f>E98</f>
        <v>0</v>
      </c>
      <c r="H96">
        <f t="shared" ref="H96:S96" si="26">G98</f>
        <v>0</v>
      </c>
      <c r="I96">
        <f t="shared" si="26"/>
        <v>0</v>
      </c>
      <c r="J96">
        <f t="shared" si="26"/>
        <v>0</v>
      </c>
      <c r="K96">
        <f t="shared" si="26"/>
        <v>0</v>
      </c>
      <c r="L96">
        <f t="shared" si="26"/>
        <v>0</v>
      </c>
      <c r="M96">
        <f t="shared" si="26"/>
        <v>0</v>
      </c>
      <c r="N96">
        <f t="shared" si="26"/>
        <v>0</v>
      </c>
      <c r="O96">
        <f t="shared" si="26"/>
        <v>0</v>
      </c>
      <c r="P96">
        <f t="shared" si="26"/>
        <v>0</v>
      </c>
      <c r="Q96">
        <f t="shared" si="26"/>
        <v>0</v>
      </c>
      <c r="R96">
        <f t="shared" si="26"/>
        <v>0</v>
      </c>
      <c r="S96">
        <f t="shared" si="26"/>
        <v>0</v>
      </c>
      <c r="BA96">
        <f ca="1">IF(OR($BA$1="13",$BA$1="16"),SUM(OFFSET(F96,0,1,1,12)),SUM(OFFSET(F96,0,1,1,$BA$1)))</f>
        <v>0</v>
      </c>
      <c r="BB96">
        <f ca="1">IF(OR($BA$1="13",$BA$1="16"),(OFFSET(F96,0,12,1,1)),(OFFSET(F96,0,$BA$1,1,1)))</f>
        <v>0</v>
      </c>
    </row>
    <row r="97" spans="2:83" x14ac:dyDescent="0.2">
      <c r="B97" t="s">
        <v>2312</v>
      </c>
      <c r="F97">
        <f t="shared" ref="F97:S97" si="27">F47+F48+F49+F50</f>
        <v>0</v>
      </c>
      <c r="G97">
        <f t="shared" si="27"/>
        <v>0</v>
      </c>
      <c r="H97">
        <f t="shared" si="27"/>
        <v>0</v>
      </c>
      <c r="I97">
        <f t="shared" si="27"/>
        <v>0</v>
      </c>
      <c r="J97">
        <f t="shared" si="27"/>
        <v>0</v>
      </c>
      <c r="K97">
        <f t="shared" si="27"/>
        <v>0</v>
      </c>
      <c r="L97">
        <f t="shared" si="27"/>
        <v>0</v>
      </c>
      <c r="M97">
        <f t="shared" si="27"/>
        <v>0</v>
      </c>
      <c r="N97">
        <f t="shared" si="27"/>
        <v>0</v>
      </c>
      <c r="O97">
        <f t="shared" si="27"/>
        <v>0</v>
      </c>
      <c r="P97">
        <f t="shared" si="27"/>
        <v>0</v>
      </c>
      <c r="Q97">
        <f t="shared" si="27"/>
        <v>0</v>
      </c>
      <c r="R97">
        <f t="shared" si="27"/>
        <v>0</v>
      </c>
      <c r="S97">
        <f t="shared" si="27"/>
        <v>0</v>
      </c>
      <c r="BA97">
        <f ca="1">IF(OR($BA$1="13",$BA$1="16"),SUM(OFFSET(F97,0,1,1,12)),SUM(OFFSET(F97,0,1,1,$BA$1)))</f>
        <v>0</v>
      </c>
      <c r="BB97">
        <f ca="1">IF(OR($BA$1="13",$BA$1="16"),(OFFSET(F97,0,12,1,1)),(OFFSET(F97,0,$BA$1,1,1)))</f>
        <v>0</v>
      </c>
    </row>
    <row r="98" spans="2:83" x14ac:dyDescent="0.2">
      <c r="B98" t="s">
        <v>2327</v>
      </c>
      <c r="E98">
        <f t="shared" ref="E98:S98" si="28">SUM(E96:E97)</f>
        <v>0</v>
      </c>
      <c r="F98">
        <f t="shared" si="28"/>
        <v>0</v>
      </c>
      <c r="G98">
        <f t="shared" si="28"/>
        <v>0</v>
      </c>
      <c r="H98">
        <f t="shared" si="28"/>
        <v>0</v>
      </c>
      <c r="I98">
        <f t="shared" si="28"/>
        <v>0</v>
      </c>
      <c r="J98">
        <f t="shared" si="28"/>
        <v>0</v>
      </c>
      <c r="K98">
        <f t="shared" si="28"/>
        <v>0</v>
      </c>
      <c r="L98">
        <f t="shared" si="28"/>
        <v>0</v>
      </c>
      <c r="M98">
        <f t="shared" si="28"/>
        <v>0</v>
      </c>
      <c r="N98">
        <f t="shared" si="28"/>
        <v>0</v>
      </c>
      <c r="O98">
        <f t="shared" si="28"/>
        <v>0</v>
      </c>
      <c r="P98">
        <f t="shared" si="28"/>
        <v>0</v>
      </c>
      <c r="Q98">
        <f t="shared" si="28"/>
        <v>0</v>
      </c>
      <c r="R98">
        <f t="shared" si="28"/>
        <v>0</v>
      </c>
      <c r="S98">
        <f t="shared" si="28"/>
        <v>0</v>
      </c>
      <c r="BA98">
        <f ca="1">IF(OR($BA$1="13",$BA$1="16"),SUM(OFFSET(F98,0,1,1,12)),SUM(OFFSET(F98,0,1,1,$BA$1)))</f>
        <v>0</v>
      </c>
      <c r="BB98">
        <f ca="1">IF(OR($BA$1="13",$BA$1="16"),(OFFSET(F98,0,12,1,1)),(OFFSET(F98,0,$BA$1,1,1)))</f>
        <v>0</v>
      </c>
    </row>
    <row r="99" spans="2:83" x14ac:dyDescent="0.2">
      <c r="CE99" t="s">
        <v>2326</v>
      </c>
    </row>
    <row r="100" spans="2:83" x14ac:dyDescent="0.2">
      <c r="B100" t="s">
        <v>2328</v>
      </c>
      <c r="BA100">
        <f ca="1">IF(OR($BA$1="13",$BA$1="16"),SUM(OFFSET(F100,0,1,1,12)),SUM(OFFSET(F100,0,1,1,$BA$1)))</f>
        <v>0</v>
      </c>
      <c r="BB100">
        <f ca="1">IF(OR($BA$1="13",$BA$1="16"),(OFFSET(F100,0,12,1,1)),(OFFSET(F100,0,$BA$1,1,1)))</f>
        <v>0</v>
      </c>
      <c r="CE100">
        <f>IF(OR(F98&lt;&gt;F100,G98&lt;&gt;G100,H98&lt;&gt;H100,I98&lt;&gt;I100,J98&lt;&gt;J100,K98&lt;&gt;K100,L98&lt;&gt;L100,M98&lt;&gt;M100,N98&lt;&gt;N100,O98&lt;&gt;O100,P98&lt;&gt;P100,Q98&lt;&gt;Q100,R98&lt;&gt;R100,S98&lt;&gt;S100),1,0)</f>
        <v>0</v>
      </c>
    </row>
  </sheetData>
  <sheetProtection sheet="1" objects="1" scenarios="1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CC50"/>
  <sheetViews>
    <sheetView zoomScale="70" zoomScaleNormal="70" workbookViewId="0"/>
  </sheetViews>
  <sheetFormatPr defaultRowHeight="12.75" x14ac:dyDescent="0.2"/>
  <sheetData>
    <row r="1" spans="1:81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81" x14ac:dyDescent="0.2">
      <c r="A2" t="s">
        <v>3727</v>
      </c>
    </row>
    <row r="3" spans="1:81" x14ac:dyDescent="0.2">
      <c r="A3" t="s">
        <v>3791</v>
      </c>
    </row>
    <row r="5" spans="1:81" x14ac:dyDescent="0.2">
      <c r="B5" t="s">
        <v>3326</v>
      </c>
      <c r="CA5" t="s">
        <v>230</v>
      </c>
      <c r="CB5">
        <f>0</f>
        <v>0</v>
      </c>
      <c r="CC5">
        <f>0</f>
        <v>0</v>
      </c>
    </row>
    <row r="6" spans="1:81" x14ac:dyDescent="0.2">
      <c r="CA6" t="s">
        <v>231</v>
      </c>
      <c r="CB6" t="s">
        <v>232</v>
      </c>
      <c r="CC6" t="s">
        <v>3327</v>
      </c>
    </row>
    <row r="7" spans="1:81" x14ac:dyDescent="0.2">
      <c r="B7" t="s">
        <v>91</v>
      </c>
      <c r="C7" t="s">
        <v>238</v>
      </c>
      <c r="D7" t="s">
        <v>25</v>
      </c>
      <c r="E7" t="s">
        <v>3278</v>
      </c>
      <c r="F7" t="s">
        <v>3279</v>
      </c>
      <c r="G7" t="s">
        <v>3280</v>
      </c>
      <c r="H7" t="s">
        <v>2025</v>
      </c>
      <c r="I7" t="s">
        <v>2026</v>
      </c>
      <c r="J7" t="s">
        <v>2027</v>
      </c>
      <c r="K7" t="s">
        <v>2028</v>
      </c>
      <c r="L7" t="s">
        <v>2029</v>
      </c>
      <c r="M7" t="s">
        <v>2030</v>
      </c>
      <c r="N7" t="s">
        <v>2031</v>
      </c>
      <c r="O7" t="s">
        <v>2032</v>
      </c>
      <c r="P7" t="s">
        <v>2033</v>
      </c>
      <c r="Q7" t="s">
        <v>2034</v>
      </c>
      <c r="R7" t="s">
        <v>2035</v>
      </c>
      <c r="S7" t="s">
        <v>3281</v>
      </c>
      <c r="CB7">
        <f>SUM(CB10:CB43)</f>
        <v>0</v>
      </c>
      <c r="CC7">
        <f>SUM(CC11:CC43)</f>
        <v>0</v>
      </c>
    </row>
    <row r="8" spans="1:81" x14ac:dyDescent="0.2">
      <c r="C8" t="s">
        <v>242</v>
      </c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L8" t="s">
        <v>2043</v>
      </c>
      <c r="M8" t="s">
        <v>2044</v>
      </c>
      <c r="N8" t="s">
        <v>2045</v>
      </c>
      <c r="O8" t="s">
        <v>2046</v>
      </c>
      <c r="P8" t="s">
        <v>2047</v>
      </c>
      <c r="Q8" t="s">
        <v>2048</v>
      </c>
      <c r="R8" t="s">
        <v>2049</v>
      </c>
      <c r="S8" t="s">
        <v>2050</v>
      </c>
    </row>
    <row r="9" spans="1:81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N9" t="s">
        <v>243</v>
      </c>
      <c r="O9" t="s">
        <v>243</v>
      </c>
      <c r="P9" t="s">
        <v>243</v>
      </c>
      <c r="Q9" t="s">
        <v>243</v>
      </c>
      <c r="R9" t="s">
        <v>243</v>
      </c>
      <c r="S9" t="s">
        <v>243</v>
      </c>
    </row>
    <row r="10" spans="1:81" x14ac:dyDescent="0.2">
      <c r="B10" t="s">
        <v>3328</v>
      </c>
      <c r="C10">
        <v>100</v>
      </c>
      <c r="D10" t="s">
        <v>248</v>
      </c>
      <c r="CB10">
        <f>IF(OR(E10&lt;0,F10&lt;0,G10&lt;0,H10&lt;0,I10&lt;0,J10&lt;0,K10&lt;0,L10&lt;0,M10&lt;0,N10&lt;0,O10&lt;0,P10&lt;0,Q10&lt;0,R10&lt;0,S10&lt;0),1,0)</f>
        <v>0</v>
      </c>
    </row>
    <row r="11" spans="1:81" x14ac:dyDescent="0.2">
      <c r="B11" t="s">
        <v>218</v>
      </c>
      <c r="C11">
        <v>110</v>
      </c>
      <c r="D11" t="s">
        <v>248</v>
      </c>
      <c r="F11">
        <f>SUM(G11:R11)</f>
        <v>0</v>
      </c>
      <c r="BA11">
        <f ca="1">IF(OR($BA$1="13",$BA$1="16"),SUM(OFFSET(F11,0,1,1,12)),SUM(OFFSET(F11,0,1,1,$BA$1)))</f>
        <v>0</v>
      </c>
      <c r="BB11">
        <f ca="1">IF(OR($BA$1="13",$BA$1="16"),(OFFSET(F11,0,12,1,1)),(OFFSET(F11,0,$BA$1,1,1)))</f>
        <v>0</v>
      </c>
      <c r="CB11">
        <f>IF(OR(E11&lt;0,F11&lt;0,G11&lt;0,H11&lt;0,I11&lt;0,J11&lt;0,K11&lt;0,L11&lt;0,M11&lt;0,N11&lt;0,O11&lt;0,P11&lt;0,Q11&lt;0,R11&lt;0,S11&lt;0),1,0)</f>
        <v>0</v>
      </c>
    </row>
    <row r="12" spans="1:81" x14ac:dyDescent="0.2">
      <c r="B12" t="s">
        <v>606</v>
      </c>
      <c r="C12">
        <v>115</v>
      </c>
      <c r="D12" t="s">
        <v>248</v>
      </c>
      <c r="BA12">
        <f ca="1">IF(OR($BA$1="13",$BA$1="16"),SUM(OFFSET(F12,0,1,1,12)),SUM(OFFSET(F12,0,1,1,$BA$1)))</f>
        <v>0</v>
      </c>
      <c r="BB12">
        <f ca="1">IF(OR($BA$1="13",$BA$1="16"),(OFFSET(F12,0,12,1,1)),(OFFSET(F12,0,$BA$1,1,1)))</f>
        <v>0</v>
      </c>
      <c r="CB12">
        <f>IF(OR(E12&lt;0,F12&lt;0,G12&lt;0,H12&lt;0,I12&lt;0,J12&lt;0,K12&lt;0,L12&lt;0,M12&lt;0,N12&lt;0,O12&lt;0,P12&lt;0,Q12&lt;0,R12&lt;0,S12&lt;0),1,0)</f>
        <v>0</v>
      </c>
      <c r="CC12">
        <f>IF(SUM(G12:R12)=F12,0,1)</f>
        <v>0</v>
      </c>
    </row>
    <row r="13" spans="1:81" x14ac:dyDescent="0.2">
      <c r="B13" t="s">
        <v>217</v>
      </c>
      <c r="C13">
        <v>120</v>
      </c>
      <c r="D13" t="s">
        <v>248</v>
      </c>
      <c r="BA13">
        <f ca="1">IF(OR($BA$1="13",$BA$1="16"),SUM(OFFSET(F13,0,1,1,12)),SUM(OFFSET(F13,0,1,1,$BA$1)))</f>
        <v>0</v>
      </c>
      <c r="BB13">
        <f ca="1">IF(OR($BA$1="13",$BA$1="16"),(OFFSET(F13,0,12,1,1)),(OFFSET(F13,0,$BA$1,1,1)))</f>
        <v>0</v>
      </c>
      <c r="CB13">
        <f>IF(OR(E13&lt;0,F13&lt;0,G13&lt;0,H13&lt;0,I13&lt;0,J13&lt;0,K13&lt;0,L13&lt;0,M13&lt;0,N13&lt;0,O13&lt;0,P13&lt;0,Q13&lt;0,R13&lt;0,S13&lt;0),1,0)</f>
        <v>0</v>
      </c>
      <c r="CC13">
        <f>IF(SUM(G13:R13)=F13,0,1)</f>
        <v>0</v>
      </c>
    </row>
    <row r="14" spans="1:81" x14ac:dyDescent="0.2">
      <c r="B14" t="s">
        <v>3329</v>
      </c>
      <c r="C14">
        <v>125</v>
      </c>
      <c r="D14" t="s">
        <v>248</v>
      </c>
      <c r="CB14">
        <f>IF(OR(E14&lt;0,F14&lt;0,G14&lt;0,H14&lt;0,I14&lt;0,J14&lt;0,K14&lt;0,L14&lt;0,M14&lt;0,N14&lt;0,O14&lt;0,P14&lt;0,Q14&lt;0,R14&lt;0,S14&lt;0),1,0)</f>
        <v>0</v>
      </c>
    </row>
    <row r="15" spans="1:81" x14ac:dyDescent="0.2">
      <c r="B15" t="s">
        <v>3330</v>
      </c>
      <c r="C15">
        <v>140</v>
      </c>
      <c r="D15" t="s">
        <v>248</v>
      </c>
    </row>
    <row r="16" spans="1:81" x14ac:dyDescent="0.2">
      <c r="C16">
        <v>145</v>
      </c>
      <c r="D16" t="s">
        <v>248</v>
      </c>
      <c r="CB16">
        <f t="shared" ref="CB16:CB24" si="0">IF(OR(E16&lt;0,F16&lt;0,G16&lt;0,H16&lt;0,I16&lt;0,J16&lt;0,K16&lt;0,L16&lt;0,M16&lt;0,N16&lt;0,O16&lt;0,P16&lt;0,Q16&lt;0,R16&lt;0,S16&lt;0),1,0)</f>
        <v>0</v>
      </c>
    </row>
    <row r="17" spans="2:80" x14ac:dyDescent="0.2">
      <c r="B17" t="s">
        <v>612</v>
      </c>
      <c r="C17">
        <v>150</v>
      </c>
      <c r="D17" t="s">
        <v>248</v>
      </c>
      <c r="F17">
        <f t="shared" ref="F17:F24" si="1">SUM(G17:R17)</f>
        <v>0</v>
      </c>
      <c r="BA17">
        <f t="shared" ref="BA17:BA25" ca="1" si="2">IF(OR($BA$1="13",$BA$1="16"),SUM(OFFSET(F17,0,1,1,12)),SUM(OFFSET(F17,0,1,1,$BA$1)))</f>
        <v>0</v>
      </c>
      <c r="BB17">
        <f t="shared" ref="BB17:BB25" ca="1" si="3">IF(OR($BA$1="13",$BA$1="16"),(OFFSET(F17,0,12,1,1)),(OFFSET(F17,0,$BA$1,1,1)))</f>
        <v>0</v>
      </c>
      <c r="CB17">
        <f t="shared" si="0"/>
        <v>0</v>
      </c>
    </row>
    <row r="18" spans="2:80" x14ac:dyDescent="0.2">
      <c r="B18" t="s">
        <v>618</v>
      </c>
      <c r="C18">
        <v>160</v>
      </c>
      <c r="D18" t="s">
        <v>248</v>
      </c>
      <c r="F18">
        <f t="shared" si="1"/>
        <v>0</v>
      </c>
      <c r="BA18">
        <f t="shared" ca="1" si="2"/>
        <v>0</v>
      </c>
      <c r="BB18">
        <f t="shared" ca="1" si="3"/>
        <v>0</v>
      </c>
      <c r="CB18">
        <f t="shared" si="0"/>
        <v>0</v>
      </c>
    </row>
    <row r="19" spans="2:80" x14ac:dyDescent="0.2">
      <c r="B19" t="s">
        <v>614</v>
      </c>
      <c r="C19">
        <v>170</v>
      </c>
      <c r="D19" t="s">
        <v>248</v>
      </c>
      <c r="F19">
        <f t="shared" si="1"/>
        <v>0</v>
      </c>
      <c r="BA19">
        <f t="shared" ca="1" si="2"/>
        <v>0</v>
      </c>
      <c r="BB19">
        <f t="shared" ca="1" si="3"/>
        <v>0</v>
      </c>
      <c r="CB19">
        <f t="shared" si="0"/>
        <v>0</v>
      </c>
    </row>
    <row r="20" spans="2:80" x14ac:dyDescent="0.2">
      <c r="B20" t="s">
        <v>3331</v>
      </c>
      <c r="C20">
        <v>180</v>
      </c>
      <c r="D20" t="s">
        <v>248</v>
      </c>
      <c r="F20">
        <f t="shared" si="1"/>
        <v>0</v>
      </c>
      <c r="BA20">
        <f t="shared" ca="1" si="2"/>
        <v>0</v>
      </c>
      <c r="BB20">
        <f t="shared" ca="1" si="3"/>
        <v>0</v>
      </c>
      <c r="CB20">
        <f t="shared" si="0"/>
        <v>0</v>
      </c>
    </row>
    <row r="21" spans="2:80" x14ac:dyDescent="0.2">
      <c r="B21" t="s">
        <v>619</v>
      </c>
      <c r="C21">
        <v>190</v>
      </c>
      <c r="D21" t="s">
        <v>248</v>
      </c>
      <c r="F21">
        <f t="shared" si="1"/>
        <v>0</v>
      </c>
      <c r="BA21">
        <f t="shared" ca="1" si="2"/>
        <v>0</v>
      </c>
      <c r="BB21">
        <f t="shared" ca="1" si="3"/>
        <v>0</v>
      </c>
      <c r="CB21">
        <f t="shared" si="0"/>
        <v>0</v>
      </c>
    </row>
    <row r="22" spans="2:80" x14ac:dyDescent="0.2">
      <c r="B22" t="s">
        <v>620</v>
      </c>
      <c r="C22">
        <v>200</v>
      </c>
      <c r="D22" t="s">
        <v>248</v>
      </c>
      <c r="F22">
        <f t="shared" si="1"/>
        <v>0</v>
      </c>
      <c r="BA22">
        <f t="shared" ca="1" si="2"/>
        <v>0</v>
      </c>
      <c r="BB22">
        <f t="shared" ca="1" si="3"/>
        <v>0</v>
      </c>
      <c r="CB22">
        <f t="shared" si="0"/>
        <v>0</v>
      </c>
    </row>
    <row r="23" spans="2:80" x14ac:dyDescent="0.2">
      <c r="B23" t="s">
        <v>621</v>
      </c>
      <c r="C23">
        <v>210</v>
      </c>
      <c r="D23" t="s">
        <v>248</v>
      </c>
      <c r="F23">
        <f t="shared" si="1"/>
        <v>0</v>
      </c>
      <c r="BA23">
        <f t="shared" ca="1" si="2"/>
        <v>0</v>
      </c>
      <c r="BB23">
        <f t="shared" ca="1" si="3"/>
        <v>0</v>
      </c>
      <c r="CB23">
        <f t="shared" si="0"/>
        <v>0</v>
      </c>
    </row>
    <row r="24" spans="2:80" x14ac:dyDescent="0.2">
      <c r="B24" t="s">
        <v>3332</v>
      </c>
      <c r="C24">
        <v>220</v>
      </c>
      <c r="D24" t="s">
        <v>248</v>
      </c>
      <c r="F24">
        <f t="shared" si="1"/>
        <v>0</v>
      </c>
      <c r="BA24">
        <f t="shared" ca="1" si="2"/>
        <v>0</v>
      </c>
      <c r="BB24">
        <f t="shared" ca="1" si="3"/>
        <v>0</v>
      </c>
      <c r="CB24">
        <f t="shared" si="0"/>
        <v>0</v>
      </c>
    </row>
    <row r="25" spans="2:80" x14ac:dyDescent="0.2">
      <c r="B25" t="s">
        <v>623</v>
      </c>
      <c r="C25">
        <v>230</v>
      </c>
      <c r="D25" t="s">
        <v>248</v>
      </c>
      <c r="E25">
        <f t="shared" ref="E25:S25" si="4">SUM(E10:E24)</f>
        <v>0</v>
      </c>
      <c r="F25">
        <f t="shared" si="4"/>
        <v>0</v>
      </c>
      <c r="G25">
        <f t="shared" si="4"/>
        <v>0</v>
      </c>
      <c r="H25">
        <f t="shared" si="4"/>
        <v>0</v>
      </c>
      <c r="I25">
        <f t="shared" si="4"/>
        <v>0</v>
      </c>
      <c r="J25">
        <f t="shared" si="4"/>
        <v>0</v>
      </c>
      <c r="K25">
        <f t="shared" si="4"/>
        <v>0</v>
      </c>
      <c r="L25">
        <f t="shared" si="4"/>
        <v>0</v>
      </c>
      <c r="M25">
        <f t="shared" si="4"/>
        <v>0</v>
      </c>
      <c r="N25">
        <f t="shared" si="4"/>
        <v>0</v>
      </c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0</v>
      </c>
      <c r="S25">
        <f t="shared" si="4"/>
        <v>0</v>
      </c>
      <c r="BA25">
        <f t="shared" ca="1" si="2"/>
        <v>0</v>
      </c>
      <c r="BB25">
        <f t="shared" ca="1" si="3"/>
        <v>0</v>
      </c>
    </row>
    <row r="26" spans="2:80" x14ac:dyDescent="0.2">
      <c r="B26" t="s">
        <v>92</v>
      </c>
    </row>
    <row r="27" spans="2:80" x14ac:dyDescent="0.2">
      <c r="B27" t="s">
        <v>624</v>
      </c>
      <c r="C27">
        <v>250</v>
      </c>
      <c r="D27" t="s">
        <v>248</v>
      </c>
      <c r="F27">
        <f t="shared" ref="F27:F34" si="5">SUM(G27:R27)</f>
        <v>0</v>
      </c>
      <c r="BA27">
        <f t="shared" ref="BA27:BA34" ca="1" si="6">IF(OR($BA$1="13",$BA$1="16"),SUM(OFFSET(F27,0,1,1,12)),SUM(OFFSET(F27,0,1,1,$BA$1)))</f>
        <v>0</v>
      </c>
      <c r="BB27">
        <f t="shared" ref="BB27:BB34" ca="1" si="7">IF(OR($BA$1="13",$BA$1="16"),(OFFSET(F27,0,12,1,1)),(OFFSET(F27,0,$BA$1,1,1)))</f>
        <v>0</v>
      </c>
      <c r="CB27">
        <f t="shared" ref="CB27:CB34" si="8">IF(OR(E27&lt;0,F27&lt;0,G27&lt;0,H27&lt;0,I27&lt;0,J27&lt;0,K27&lt;0,L27&lt;0,M27&lt;0,N27&lt;0,O27&lt;0,P27&lt;0,Q27&lt;0,R27&lt;0,S27&lt;0),1,0)</f>
        <v>0</v>
      </c>
    </row>
    <row r="28" spans="2:80" x14ac:dyDescent="0.2">
      <c r="B28" t="s">
        <v>625</v>
      </c>
      <c r="C28">
        <v>260</v>
      </c>
      <c r="D28" t="s">
        <v>248</v>
      </c>
      <c r="F28">
        <f t="shared" si="5"/>
        <v>0</v>
      </c>
      <c r="BA28">
        <f t="shared" ca="1" si="6"/>
        <v>0</v>
      </c>
      <c r="BB28">
        <f t="shared" ca="1" si="7"/>
        <v>0</v>
      </c>
      <c r="CB28">
        <f t="shared" si="8"/>
        <v>0</v>
      </c>
    </row>
    <row r="29" spans="2:80" x14ac:dyDescent="0.2">
      <c r="B29" t="s">
        <v>731</v>
      </c>
      <c r="C29">
        <v>270</v>
      </c>
      <c r="D29" t="s">
        <v>248</v>
      </c>
      <c r="F29">
        <f t="shared" si="5"/>
        <v>0</v>
      </c>
      <c r="BA29">
        <f t="shared" ca="1" si="6"/>
        <v>0</v>
      </c>
      <c r="BB29">
        <f t="shared" ca="1" si="7"/>
        <v>0</v>
      </c>
      <c r="CB29">
        <f t="shared" si="8"/>
        <v>0</v>
      </c>
    </row>
    <row r="30" spans="2:80" x14ac:dyDescent="0.2">
      <c r="B30" t="s">
        <v>2652</v>
      </c>
      <c r="C30">
        <v>275</v>
      </c>
      <c r="D30" t="s">
        <v>248</v>
      </c>
      <c r="F30">
        <f t="shared" si="5"/>
        <v>0</v>
      </c>
      <c r="BA30">
        <f t="shared" ca="1" si="6"/>
        <v>0</v>
      </c>
      <c r="BB30">
        <f t="shared" ca="1" si="7"/>
        <v>0</v>
      </c>
      <c r="CB30">
        <f t="shared" si="8"/>
        <v>0</v>
      </c>
    </row>
    <row r="31" spans="2:80" x14ac:dyDescent="0.2">
      <c r="B31" t="s">
        <v>627</v>
      </c>
      <c r="C31">
        <v>280</v>
      </c>
      <c r="D31" t="s">
        <v>248</v>
      </c>
      <c r="F31">
        <f t="shared" si="5"/>
        <v>0</v>
      </c>
      <c r="BA31">
        <f t="shared" ca="1" si="6"/>
        <v>0</v>
      </c>
      <c r="BB31">
        <f t="shared" ca="1" si="7"/>
        <v>0</v>
      </c>
      <c r="CB31">
        <f t="shared" si="8"/>
        <v>0</v>
      </c>
    </row>
    <row r="32" spans="2:80" x14ac:dyDescent="0.2">
      <c r="B32" t="s">
        <v>3333</v>
      </c>
      <c r="C32">
        <v>285</v>
      </c>
      <c r="D32" t="s">
        <v>248</v>
      </c>
      <c r="F32">
        <f t="shared" si="5"/>
        <v>0</v>
      </c>
      <c r="BA32">
        <f t="shared" ca="1" si="6"/>
        <v>0</v>
      </c>
      <c r="BB32">
        <f t="shared" ca="1" si="7"/>
        <v>0</v>
      </c>
      <c r="CB32">
        <f t="shared" si="8"/>
        <v>0</v>
      </c>
    </row>
    <row r="33" spans="2:80" x14ac:dyDescent="0.2">
      <c r="B33" t="s">
        <v>3334</v>
      </c>
      <c r="C33">
        <v>290</v>
      </c>
      <c r="D33" t="s">
        <v>248</v>
      </c>
      <c r="F33">
        <f t="shared" si="5"/>
        <v>0</v>
      </c>
      <c r="BA33">
        <f t="shared" ca="1" si="6"/>
        <v>0</v>
      </c>
      <c r="BB33">
        <f t="shared" ca="1" si="7"/>
        <v>0</v>
      </c>
      <c r="CB33">
        <f t="shared" si="8"/>
        <v>0</v>
      </c>
    </row>
    <row r="34" spans="2:80" x14ac:dyDescent="0.2">
      <c r="B34" t="s">
        <v>3335</v>
      </c>
      <c r="C34">
        <v>295</v>
      </c>
      <c r="D34" t="s">
        <v>248</v>
      </c>
      <c r="F34">
        <f t="shared" si="5"/>
        <v>0</v>
      </c>
      <c r="BA34">
        <f t="shared" ca="1" si="6"/>
        <v>0</v>
      </c>
      <c r="BB34">
        <f t="shared" ca="1" si="7"/>
        <v>0</v>
      </c>
      <c r="CB34">
        <f t="shared" si="8"/>
        <v>0</v>
      </c>
    </row>
    <row r="35" spans="2:80" x14ac:dyDescent="0.2">
      <c r="B35" t="s">
        <v>3336</v>
      </c>
      <c r="C35">
        <v>300</v>
      </c>
      <c r="D35" t="s">
        <v>248</v>
      </c>
    </row>
    <row r="36" spans="2:80" x14ac:dyDescent="0.2">
      <c r="B36" t="s">
        <v>635</v>
      </c>
      <c r="C36">
        <v>310</v>
      </c>
      <c r="D36" t="s">
        <v>248</v>
      </c>
      <c r="F36">
        <f>SUM(G36:R36)</f>
        <v>0</v>
      </c>
      <c r="BA36">
        <f t="shared" ref="BA36:BA42" ca="1" si="9">IF(OR($BA$1="13",$BA$1="16"),SUM(OFFSET(F36,0,1,1,12)),SUM(OFFSET(F36,0,1,1,$BA$1)))</f>
        <v>0</v>
      </c>
      <c r="BB36">
        <f t="shared" ref="BB36:BB42" ca="1" si="10">IF(OR($BA$1="13",$BA$1="16"),(OFFSET(F36,0,12,1,1)),(OFFSET(F36,0,$BA$1,1,1)))</f>
        <v>0</v>
      </c>
      <c r="CB36">
        <f>IF(OR(E36&lt;0,F36&lt;0,G36&lt;0,H36&lt;0,I36&lt;0,J36&lt;0,K36&lt;0,L36&lt;0,M36&lt;0,N36&lt;0,O36&lt;0,P36&lt;0,Q36&lt;0,R36&lt;0,S36&lt;0),1,0)</f>
        <v>0</v>
      </c>
    </row>
    <row r="37" spans="2:80" x14ac:dyDescent="0.2">
      <c r="B37" t="s">
        <v>3337</v>
      </c>
      <c r="C37">
        <v>320</v>
      </c>
      <c r="D37" t="s">
        <v>248</v>
      </c>
      <c r="F37">
        <f>SUM(G37:R37)</f>
        <v>0</v>
      </c>
      <c r="BA37">
        <f t="shared" ca="1" si="9"/>
        <v>0</v>
      </c>
      <c r="BB37">
        <f t="shared" ca="1" si="10"/>
        <v>0</v>
      </c>
      <c r="CB37">
        <f>IF(OR(E37&lt;0,F37&lt;0,G37&lt;0,H37&lt;0,I37&lt;0,J37&lt;0,K37&lt;0,L37&lt;0,M37&lt;0,N37&lt;0,O37&lt;0,P37&lt;0,Q37&lt;0,R37&lt;0,S37&lt;0),1,0)</f>
        <v>0</v>
      </c>
    </row>
    <row r="38" spans="2:80" x14ac:dyDescent="0.2">
      <c r="B38" t="s">
        <v>659</v>
      </c>
      <c r="C38">
        <v>330</v>
      </c>
      <c r="D38" t="s">
        <v>248</v>
      </c>
      <c r="F38">
        <f>SUM(G38:R38)</f>
        <v>0</v>
      </c>
      <c r="BA38">
        <f t="shared" ca="1" si="9"/>
        <v>0</v>
      </c>
      <c r="BB38">
        <f t="shared" ca="1" si="10"/>
        <v>0</v>
      </c>
      <c r="CB38">
        <f>IF(OR(E38&lt;0,F38&lt;0,G38&lt;0,H38&lt;0,I38&lt;0,J38&lt;0,K38&lt;0,L38&lt;0,M38&lt;0,N38&lt;0,O38&lt;0,P38&lt;0,Q38&lt;0,R38&lt;0,S38&lt;0),1,0)</f>
        <v>0</v>
      </c>
    </row>
    <row r="39" spans="2:80" x14ac:dyDescent="0.2">
      <c r="B39" t="s">
        <v>662</v>
      </c>
      <c r="C39">
        <v>340</v>
      </c>
      <c r="D39" t="s">
        <v>248</v>
      </c>
      <c r="F39">
        <f>SUM(G39:R39)</f>
        <v>0</v>
      </c>
      <c r="BA39">
        <f t="shared" ca="1" si="9"/>
        <v>0</v>
      </c>
      <c r="BB39">
        <f t="shared" ca="1" si="10"/>
        <v>0</v>
      </c>
      <c r="CB39">
        <f>IF(OR(E39&lt;0,F39&lt;0,G39&lt;0,H39&lt;0,I39&lt;0,J39&lt;0,K39&lt;0,L39&lt;0,M39&lt;0,N39&lt;0,O39&lt;0,P39&lt;0,Q39&lt;0,R39&lt;0,S39&lt;0),1,0)</f>
        <v>0</v>
      </c>
    </row>
    <row r="40" spans="2:80" x14ac:dyDescent="0.2">
      <c r="B40" t="s">
        <v>664</v>
      </c>
      <c r="C40">
        <v>350</v>
      </c>
      <c r="D40" t="s">
        <v>248</v>
      </c>
      <c r="F40">
        <f>SUM(G40:R40)</f>
        <v>0</v>
      </c>
      <c r="BA40">
        <f t="shared" ca="1" si="9"/>
        <v>0</v>
      </c>
      <c r="BB40">
        <f t="shared" ca="1" si="10"/>
        <v>0</v>
      </c>
      <c r="CB40">
        <f>IF(OR(E40&lt;0,F40&lt;0,G40&lt;0,H40&lt;0,I40&lt;0,J40&lt;0,K40&lt;0,L40&lt;0,M40&lt;0,N40&lt;0,O40&lt;0,P40&lt;0,Q40&lt;0,R40&lt;0,S40&lt;0),1,0)</f>
        <v>0</v>
      </c>
    </row>
    <row r="41" spans="2:80" x14ac:dyDescent="0.2">
      <c r="B41" t="s">
        <v>646</v>
      </c>
      <c r="C41">
        <v>360</v>
      </c>
      <c r="D41" t="s">
        <v>248</v>
      </c>
      <c r="E41">
        <f t="shared" ref="E41:S41" si="11">SUM(E27:E40)</f>
        <v>0</v>
      </c>
      <c r="F41">
        <f t="shared" si="11"/>
        <v>0</v>
      </c>
      <c r="G41">
        <f t="shared" si="11"/>
        <v>0</v>
      </c>
      <c r="H41">
        <f t="shared" si="11"/>
        <v>0</v>
      </c>
      <c r="I41">
        <f t="shared" si="11"/>
        <v>0</v>
      </c>
      <c r="J41">
        <f t="shared" si="11"/>
        <v>0</v>
      </c>
      <c r="K41">
        <f t="shared" si="11"/>
        <v>0</v>
      </c>
      <c r="L41">
        <f t="shared" si="11"/>
        <v>0</v>
      </c>
      <c r="M41">
        <f t="shared" si="11"/>
        <v>0</v>
      </c>
      <c r="N41">
        <f t="shared" si="11"/>
        <v>0</v>
      </c>
      <c r="O41">
        <f t="shared" si="11"/>
        <v>0</v>
      </c>
      <c r="P41">
        <f t="shared" si="11"/>
        <v>0</v>
      </c>
      <c r="Q41">
        <f t="shared" si="11"/>
        <v>0</v>
      </c>
      <c r="R41">
        <f t="shared" si="11"/>
        <v>0</v>
      </c>
      <c r="S41">
        <f t="shared" si="11"/>
        <v>0</v>
      </c>
      <c r="BA41">
        <f t="shared" ca="1" si="9"/>
        <v>0</v>
      </c>
      <c r="BB41">
        <f t="shared" ca="1" si="10"/>
        <v>0</v>
      </c>
    </row>
    <row r="42" spans="2:80" x14ac:dyDescent="0.2">
      <c r="B42" t="s">
        <v>647</v>
      </c>
      <c r="C42">
        <v>370</v>
      </c>
      <c r="D42" t="s">
        <v>248</v>
      </c>
      <c r="E42">
        <f t="shared" ref="E42:S42" si="12">E41+E25</f>
        <v>0</v>
      </c>
      <c r="F42">
        <f t="shared" si="12"/>
        <v>0</v>
      </c>
      <c r="G42">
        <f t="shared" si="12"/>
        <v>0</v>
      </c>
      <c r="H42">
        <f t="shared" si="12"/>
        <v>0</v>
      </c>
      <c r="I42">
        <f t="shared" si="12"/>
        <v>0</v>
      </c>
      <c r="J42">
        <f t="shared" si="12"/>
        <v>0</v>
      </c>
      <c r="K42">
        <f t="shared" si="12"/>
        <v>0</v>
      </c>
      <c r="L42">
        <f t="shared" si="12"/>
        <v>0</v>
      </c>
      <c r="M42">
        <f t="shared" si="12"/>
        <v>0</v>
      </c>
      <c r="N42">
        <f t="shared" si="12"/>
        <v>0</v>
      </c>
      <c r="O42">
        <f t="shared" si="12"/>
        <v>0</v>
      </c>
      <c r="P42">
        <f t="shared" si="12"/>
        <v>0</v>
      </c>
      <c r="Q42">
        <f t="shared" si="12"/>
        <v>0</v>
      </c>
      <c r="R42">
        <f t="shared" si="12"/>
        <v>0</v>
      </c>
      <c r="S42">
        <f t="shared" si="12"/>
        <v>0</v>
      </c>
      <c r="BA42">
        <f t="shared" ca="1" si="9"/>
        <v>0</v>
      </c>
      <c r="BB42">
        <f t="shared" ca="1" si="10"/>
        <v>0</v>
      </c>
    </row>
    <row r="44" spans="2:80" x14ac:dyDescent="0.2">
      <c r="B44" t="s">
        <v>111</v>
      </c>
    </row>
    <row r="46" spans="2:80" x14ac:dyDescent="0.2">
      <c r="B46" t="s">
        <v>648</v>
      </c>
    </row>
    <row r="48" spans="2:80" x14ac:dyDescent="0.2">
      <c r="B48" t="s">
        <v>649</v>
      </c>
    </row>
    <row r="50" spans="2:2" x14ac:dyDescent="0.2">
      <c r="B50" t="s">
        <v>650</v>
      </c>
    </row>
  </sheetData>
  <sheetProtection sheet="1" objects="1" scenarios="1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CP51"/>
  <sheetViews>
    <sheetView zoomScale="70" zoomScaleNormal="70" workbookViewId="0"/>
  </sheetViews>
  <sheetFormatPr defaultRowHeight="12.75" x14ac:dyDescent="0.2"/>
  <sheetData>
    <row r="1" spans="1:80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80" x14ac:dyDescent="0.2">
      <c r="A2" t="s">
        <v>3727</v>
      </c>
    </row>
    <row r="3" spans="1:80" x14ac:dyDescent="0.2">
      <c r="A3" t="s">
        <v>3792</v>
      </c>
    </row>
    <row r="5" spans="1:80" x14ac:dyDescent="0.2">
      <c r="B5" t="s">
        <v>3338</v>
      </c>
      <c r="CA5" t="s">
        <v>230</v>
      </c>
      <c r="CB5">
        <f>0</f>
        <v>0</v>
      </c>
    </row>
    <row r="6" spans="1:80" x14ac:dyDescent="0.2">
      <c r="CA6" t="s">
        <v>231</v>
      </c>
      <c r="CB6" t="s">
        <v>232</v>
      </c>
    </row>
    <row r="7" spans="1:80" x14ac:dyDescent="0.2">
      <c r="B7" t="s">
        <v>689</v>
      </c>
      <c r="C7" t="s">
        <v>238</v>
      </c>
      <c r="D7" t="s">
        <v>25</v>
      </c>
      <c r="E7" t="s">
        <v>3278</v>
      </c>
      <c r="F7" t="s">
        <v>3279</v>
      </c>
      <c r="G7" t="s">
        <v>3280</v>
      </c>
      <c r="H7" t="s">
        <v>2025</v>
      </c>
      <c r="I7" t="s">
        <v>2026</v>
      </c>
      <c r="J7" t="s">
        <v>2027</v>
      </c>
      <c r="K7" t="s">
        <v>2028</v>
      </c>
      <c r="L7" t="s">
        <v>2029</v>
      </c>
      <c r="M7" t="s">
        <v>2030</v>
      </c>
      <c r="N7" t="s">
        <v>2031</v>
      </c>
      <c r="O7" t="s">
        <v>2032</v>
      </c>
      <c r="P7" t="s">
        <v>2033</v>
      </c>
      <c r="Q7" t="s">
        <v>2034</v>
      </c>
      <c r="R7" t="s">
        <v>2035</v>
      </c>
      <c r="S7" t="s">
        <v>3281</v>
      </c>
      <c r="CB7">
        <f>SUM(CB10:CB51)</f>
        <v>0</v>
      </c>
    </row>
    <row r="8" spans="1:80" x14ac:dyDescent="0.2">
      <c r="C8" t="s">
        <v>242</v>
      </c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L8" t="s">
        <v>2043</v>
      </c>
      <c r="M8" t="s">
        <v>2044</v>
      </c>
      <c r="N8" t="s">
        <v>2045</v>
      </c>
      <c r="O8" t="s">
        <v>2046</v>
      </c>
      <c r="P8" t="s">
        <v>2047</v>
      </c>
      <c r="Q8" t="s">
        <v>2048</v>
      </c>
      <c r="R8" t="s">
        <v>2049</v>
      </c>
      <c r="S8" t="s">
        <v>2050</v>
      </c>
    </row>
    <row r="9" spans="1:80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N9" t="s">
        <v>243</v>
      </c>
      <c r="O9" t="s">
        <v>243</v>
      </c>
      <c r="P9" t="s">
        <v>243</v>
      </c>
      <c r="Q9" t="s">
        <v>243</v>
      </c>
      <c r="R9" t="s">
        <v>243</v>
      </c>
      <c r="S9" t="s">
        <v>243</v>
      </c>
    </row>
    <row r="10" spans="1:80" x14ac:dyDescent="0.2">
      <c r="B10" t="s">
        <v>690</v>
      </c>
      <c r="C10">
        <v>100</v>
      </c>
      <c r="D10" t="s">
        <v>248</v>
      </c>
      <c r="F10">
        <f t="shared" ref="F10:F39" si="0">SUM(G10:R10)</f>
        <v>0</v>
      </c>
      <c r="BA10">
        <f t="shared" ref="BA10:BA31" ca="1" si="1">IF(OR($BA$1="13",$BA$1="16"),SUM(OFFSET(F10,0,1,1,12)),SUM(OFFSET(F10,0,1,1,$BA$1)))</f>
        <v>0</v>
      </c>
      <c r="BB10">
        <f t="shared" ref="BB10:BB31" ca="1" si="2">IF(OR($BA$1="13",$BA$1="16"),(OFFSET(F10,0,12,1,1)),(OFFSET(F10,0,$BA$1,1,1)))</f>
        <v>0</v>
      </c>
      <c r="CB10">
        <f t="shared" ref="CB10:CB21" si="3">IF(OR(E10&lt;0,F10&lt;0,G10&lt;0,H10&lt;0,I10&lt;0,J10&lt;0,K10&lt;0,L10&lt;0,M10&lt;0,N10&lt;0,O10&lt;0,P10&lt;0,Q10&lt;0,R10&lt;0,S10&lt;0),1,0)</f>
        <v>0</v>
      </c>
    </row>
    <row r="11" spans="1:80" x14ac:dyDescent="0.2">
      <c r="B11" t="s">
        <v>691</v>
      </c>
      <c r="C11">
        <v>110</v>
      </c>
      <c r="D11" t="s">
        <v>248</v>
      </c>
      <c r="F11">
        <f t="shared" si="0"/>
        <v>0</v>
      </c>
      <c r="BA11">
        <f t="shared" ca="1" si="1"/>
        <v>0</v>
      </c>
      <c r="BB11">
        <f t="shared" ca="1" si="2"/>
        <v>0</v>
      </c>
      <c r="CB11">
        <f t="shared" si="3"/>
        <v>0</v>
      </c>
    </row>
    <row r="12" spans="1:80" x14ac:dyDescent="0.2">
      <c r="B12" t="s">
        <v>692</v>
      </c>
      <c r="C12">
        <v>120</v>
      </c>
      <c r="D12" t="s">
        <v>248</v>
      </c>
      <c r="F12">
        <f t="shared" si="0"/>
        <v>0</v>
      </c>
      <c r="BA12">
        <f t="shared" ca="1" si="1"/>
        <v>0</v>
      </c>
      <c r="BB12">
        <f t="shared" ca="1" si="2"/>
        <v>0</v>
      </c>
      <c r="CB12">
        <f t="shared" si="3"/>
        <v>0</v>
      </c>
    </row>
    <row r="13" spans="1:80" x14ac:dyDescent="0.2">
      <c r="B13" t="s">
        <v>693</v>
      </c>
      <c r="C13">
        <v>130</v>
      </c>
      <c r="D13" t="s">
        <v>248</v>
      </c>
      <c r="F13">
        <f t="shared" si="0"/>
        <v>0</v>
      </c>
      <c r="BA13">
        <f t="shared" ca="1" si="1"/>
        <v>0</v>
      </c>
      <c r="BB13">
        <f t="shared" ca="1" si="2"/>
        <v>0</v>
      </c>
      <c r="CB13">
        <f t="shared" si="3"/>
        <v>0</v>
      </c>
    </row>
    <row r="14" spans="1:80" x14ac:dyDescent="0.2">
      <c r="B14" t="s">
        <v>696</v>
      </c>
      <c r="C14">
        <v>140</v>
      </c>
      <c r="D14" t="s">
        <v>248</v>
      </c>
      <c r="F14">
        <f t="shared" si="0"/>
        <v>0</v>
      </c>
      <c r="BA14">
        <f t="shared" ca="1" si="1"/>
        <v>0</v>
      </c>
      <c r="BB14">
        <f t="shared" ca="1" si="2"/>
        <v>0</v>
      </c>
      <c r="CB14">
        <f t="shared" si="3"/>
        <v>0</v>
      </c>
    </row>
    <row r="15" spans="1:80" x14ac:dyDescent="0.2">
      <c r="B15" t="s">
        <v>698</v>
      </c>
      <c r="C15">
        <v>150</v>
      </c>
      <c r="D15" t="s">
        <v>248</v>
      </c>
      <c r="F15">
        <f t="shared" si="0"/>
        <v>0</v>
      </c>
      <c r="BA15">
        <f t="shared" ca="1" si="1"/>
        <v>0</v>
      </c>
      <c r="BB15">
        <f t="shared" ca="1" si="2"/>
        <v>0</v>
      </c>
      <c r="CB15">
        <f t="shared" si="3"/>
        <v>0</v>
      </c>
    </row>
    <row r="16" spans="1:80" x14ac:dyDescent="0.2">
      <c r="B16" t="s">
        <v>2940</v>
      </c>
      <c r="C16">
        <v>160</v>
      </c>
      <c r="D16" t="s">
        <v>248</v>
      </c>
      <c r="F16">
        <f t="shared" si="0"/>
        <v>0</v>
      </c>
      <c r="BA16">
        <f t="shared" ca="1" si="1"/>
        <v>0</v>
      </c>
      <c r="BB16">
        <f t="shared" ca="1" si="2"/>
        <v>0</v>
      </c>
      <c r="CB16">
        <f t="shared" si="3"/>
        <v>0</v>
      </c>
    </row>
    <row r="17" spans="2:94" x14ac:dyDescent="0.2">
      <c r="B17" t="s">
        <v>2941</v>
      </c>
      <c r="C17">
        <v>170</v>
      </c>
      <c r="D17" t="s">
        <v>248</v>
      </c>
      <c r="F17">
        <f t="shared" si="0"/>
        <v>0</v>
      </c>
      <c r="BA17">
        <f t="shared" ca="1" si="1"/>
        <v>0</v>
      </c>
      <c r="BB17">
        <f t="shared" ca="1" si="2"/>
        <v>0</v>
      </c>
      <c r="CB17">
        <f t="shared" si="3"/>
        <v>0</v>
      </c>
    </row>
    <row r="18" spans="2:94" x14ac:dyDescent="0.2">
      <c r="B18" t="s">
        <v>701</v>
      </c>
      <c r="C18">
        <v>180</v>
      </c>
      <c r="D18" t="s">
        <v>248</v>
      </c>
      <c r="F18">
        <f t="shared" si="0"/>
        <v>0</v>
      </c>
      <c r="BA18">
        <f t="shared" ca="1" si="1"/>
        <v>0</v>
      </c>
      <c r="BB18">
        <f t="shared" ca="1" si="2"/>
        <v>0</v>
      </c>
      <c r="CB18">
        <f t="shared" si="3"/>
        <v>0</v>
      </c>
    </row>
    <row r="19" spans="2:94" x14ac:dyDescent="0.2">
      <c r="B19" t="s">
        <v>1747</v>
      </c>
      <c r="C19">
        <v>190</v>
      </c>
      <c r="D19" t="s">
        <v>248</v>
      </c>
      <c r="F19">
        <f t="shared" si="0"/>
        <v>0</v>
      </c>
      <c r="BA19">
        <f t="shared" ca="1" si="1"/>
        <v>0</v>
      </c>
      <c r="BB19">
        <f t="shared" ca="1" si="2"/>
        <v>0</v>
      </c>
      <c r="CB19">
        <f t="shared" si="3"/>
        <v>0</v>
      </c>
      <c r="CC19" t="s">
        <v>3339</v>
      </c>
    </row>
    <row r="20" spans="2:94" x14ac:dyDescent="0.2">
      <c r="B20" t="s">
        <v>2942</v>
      </c>
      <c r="C20">
        <v>200</v>
      </c>
      <c r="D20" t="s">
        <v>248</v>
      </c>
      <c r="F20">
        <f t="shared" si="0"/>
        <v>0</v>
      </c>
      <c r="BA20">
        <f t="shared" ca="1" si="1"/>
        <v>0</v>
      </c>
      <c r="BB20">
        <f t="shared" ca="1" si="2"/>
        <v>0</v>
      </c>
      <c r="CB20">
        <f t="shared" si="3"/>
        <v>0</v>
      </c>
      <c r="CC20">
        <f>SUM(E28:E32)</f>
        <v>0</v>
      </c>
      <c r="CD20">
        <f t="shared" ref="CD20:CP20" si="4">SUM(G28:G32)</f>
        <v>0</v>
      </c>
      <c r="CE20">
        <f t="shared" si="4"/>
        <v>0</v>
      </c>
      <c r="CF20">
        <f t="shared" si="4"/>
        <v>0</v>
      </c>
      <c r="CG20">
        <f t="shared" si="4"/>
        <v>0</v>
      </c>
      <c r="CH20">
        <f t="shared" si="4"/>
        <v>0</v>
      </c>
      <c r="CI20">
        <f t="shared" si="4"/>
        <v>0</v>
      </c>
      <c r="CJ20">
        <f t="shared" si="4"/>
        <v>0</v>
      </c>
      <c r="CK20">
        <f t="shared" si="4"/>
        <v>0</v>
      </c>
      <c r="CL20">
        <f t="shared" si="4"/>
        <v>0</v>
      </c>
      <c r="CM20">
        <f t="shared" si="4"/>
        <v>0</v>
      </c>
      <c r="CN20">
        <f t="shared" si="4"/>
        <v>0</v>
      </c>
      <c r="CO20">
        <f t="shared" si="4"/>
        <v>0</v>
      </c>
      <c r="CP20">
        <f t="shared" si="4"/>
        <v>0</v>
      </c>
    </row>
    <row r="21" spans="2:94" x14ac:dyDescent="0.2">
      <c r="B21" t="s">
        <v>1748</v>
      </c>
      <c r="C21">
        <v>210</v>
      </c>
      <c r="D21" t="s">
        <v>248</v>
      </c>
      <c r="F21">
        <f t="shared" si="0"/>
        <v>0</v>
      </c>
      <c r="BA21">
        <f t="shared" ca="1" si="1"/>
        <v>0</v>
      </c>
      <c r="BB21">
        <f t="shared" ca="1" si="2"/>
        <v>0</v>
      </c>
      <c r="CB21">
        <f t="shared" si="3"/>
        <v>0</v>
      </c>
      <c r="CC21" t="s">
        <v>3340</v>
      </c>
    </row>
    <row r="22" spans="2:94" x14ac:dyDescent="0.2">
      <c r="B22" t="s">
        <v>713</v>
      </c>
      <c r="C22">
        <v>220</v>
      </c>
      <c r="D22" t="s">
        <v>251</v>
      </c>
      <c r="F22">
        <f t="shared" si="0"/>
        <v>0</v>
      </c>
      <c r="BA22">
        <f t="shared" ca="1" si="1"/>
        <v>0</v>
      </c>
      <c r="BB22">
        <f t="shared" ca="1" si="2"/>
        <v>0</v>
      </c>
      <c r="CC22">
        <f>E51+SUM(E22:E32)*-1</f>
        <v>0</v>
      </c>
      <c r="CD22">
        <f>SUM(G51:I51)+SUM(G22:I32)*-1</f>
        <v>0</v>
      </c>
      <c r="CE22">
        <f>SUM(J51:L51)+SUM(J22:L32)*-1</f>
        <v>0</v>
      </c>
      <c r="CF22">
        <f>SUM(M51:O51)+SUM(M22:O32)*-1</f>
        <v>0</v>
      </c>
      <c r="CG22">
        <f>SUM(P51:R51)+SUM(P22:R32)*-1</f>
        <v>0</v>
      </c>
      <c r="CH22">
        <f>S51+SUM(S22:S32)*-1</f>
        <v>0</v>
      </c>
      <c r="CI22" t="s">
        <v>3341</v>
      </c>
      <c r="CJ22" t="s">
        <v>3341</v>
      </c>
    </row>
    <row r="23" spans="2:94" x14ac:dyDescent="0.2">
      <c r="B23" t="s">
        <v>714</v>
      </c>
      <c r="C23">
        <v>230</v>
      </c>
      <c r="D23" t="s">
        <v>248</v>
      </c>
      <c r="F23">
        <f t="shared" si="0"/>
        <v>0</v>
      </c>
      <c r="BA23">
        <f t="shared" ca="1" si="1"/>
        <v>0</v>
      </c>
      <c r="BB23">
        <f t="shared" ca="1" si="2"/>
        <v>0</v>
      </c>
      <c r="CB23">
        <f>IF(OR(E23&lt;0,F23&lt;0,G23&lt;0,H23&lt;0,I23&lt;0,J23&lt;0,K23&lt;0,L23&lt;0,M23&lt;0,N23&lt;0,O23&lt;0,P23&lt;0,Q23&lt;0,R23&lt;0,S23&lt;0),1,0)</f>
        <v>0</v>
      </c>
      <c r="CC23" t="s">
        <v>3290</v>
      </c>
      <c r="CI23" t="s">
        <v>1830</v>
      </c>
      <c r="CJ23" t="s">
        <v>3342</v>
      </c>
    </row>
    <row r="24" spans="2:94" x14ac:dyDescent="0.2">
      <c r="B24" t="s">
        <v>3343</v>
      </c>
      <c r="C24">
        <v>240</v>
      </c>
      <c r="D24" t="s">
        <v>248</v>
      </c>
      <c r="F24">
        <f t="shared" si="0"/>
        <v>0</v>
      </c>
      <c r="BA24">
        <f t="shared" ca="1" si="1"/>
        <v>0</v>
      </c>
      <c r="BB24">
        <f t="shared" ca="1" si="2"/>
        <v>0</v>
      </c>
      <c r="CB24">
        <f>IF(OR(E24&lt;0,F24&lt;0,G24&lt;0,H24&lt;0,I24&lt;0,J24&lt;0,K24&lt;0,L24&lt;0,M24&lt;0,N24&lt;0,O24&lt;0,P24&lt;0,Q24&lt;0,R24&lt;0,S24&lt;0),1,0)</f>
        <v>0</v>
      </c>
      <c r="CC24">
        <f>SUM(E24:E32)</f>
        <v>0</v>
      </c>
      <c r="CD24">
        <f>SUM(G24:I32)</f>
        <v>0</v>
      </c>
      <c r="CE24">
        <f>SUM(J24:L32)</f>
        <v>0</v>
      </c>
      <c r="CF24">
        <f>SUM(M24:O32)</f>
        <v>0</v>
      </c>
      <c r="CG24">
        <f>SUM(P24:R32)</f>
        <v>0</v>
      </c>
      <c r="CH24">
        <f>SUM(S24:S32)</f>
        <v>0</v>
      </c>
      <c r="CI24">
        <f>F24+F25+F26+F27</f>
        <v>0</v>
      </c>
      <c r="CJ24">
        <f>S24+S25+S26+S27</f>
        <v>0</v>
      </c>
    </row>
    <row r="25" spans="2:94" x14ac:dyDescent="0.2">
      <c r="B25" t="s">
        <v>715</v>
      </c>
      <c r="C25">
        <v>245</v>
      </c>
      <c r="D25" t="s">
        <v>248</v>
      </c>
      <c r="F25">
        <f t="shared" si="0"/>
        <v>0</v>
      </c>
      <c r="BA25">
        <f t="shared" ca="1" si="1"/>
        <v>0</v>
      </c>
      <c r="BB25">
        <f t="shared" ca="1" si="2"/>
        <v>0</v>
      </c>
      <c r="CB25">
        <f>IF(OR(E25&lt;0,F25&lt;0,G25&lt;0,H25&lt;0,I25&lt;0,J25&lt;0,K25&lt;0,L25&lt;0,M25&lt;0,N25&lt;0,O25&lt;0,P25&lt;0,Q25&lt;0,R25&lt;0,S25&lt;0),1,0)</f>
        <v>0</v>
      </c>
    </row>
    <row r="26" spans="2:94" x14ac:dyDescent="0.2">
      <c r="B26" t="s">
        <v>3344</v>
      </c>
      <c r="C26">
        <v>250</v>
      </c>
      <c r="D26" t="s">
        <v>248</v>
      </c>
      <c r="F26">
        <f t="shared" si="0"/>
        <v>0</v>
      </c>
      <c r="BA26">
        <f t="shared" ca="1" si="1"/>
        <v>0</v>
      </c>
      <c r="BB26">
        <f t="shared" ca="1" si="2"/>
        <v>0</v>
      </c>
      <c r="CB26">
        <f>IF(OR(E26&lt;0,F26&lt;0,G26&lt;0,H26&lt;0,I26&lt;0,J26&lt;0,K26&lt;0,L26&lt;0,M26&lt;0,N26&lt;0,O26&lt;0,P26&lt;0,Q26&lt;0,R26&lt;0,S26&lt;0),1,0)</f>
        <v>0</v>
      </c>
    </row>
    <row r="27" spans="2:94" x14ac:dyDescent="0.2">
      <c r="B27" t="s">
        <v>718</v>
      </c>
      <c r="C27">
        <v>255</v>
      </c>
      <c r="D27" t="s">
        <v>248</v>
      </c>
      <c r="F27">
        <f t="shared" si="0"/>
        <v>0</v>
      </c>
      <c r="BA27">
        <f t="shared" ca="1" si="1"/>
        <v>0</v>
      </c>
      <c r="BB27">
        <f t="shared" ca="1" si="2"/>
        <v>0</v>
      </c>
      <c r="CB27">
        <f>IF(OR(E27&lt;0,F27&lt;0,G27&lt;0,H27&lt;0,I27&lt;0,J27&lt;0,K27&lt;0,L27&lt;0,M27&lt;0,N27&lt;0,O27&lt;0,P27&lt;0,Q27&lt;0,R27&lt;0,S27&lt;0),1,0)</f>
        <v>0</v>
      </c>
      <c r="CC27" t="s">
        <v>3290</v>
      </c>
    </row>
    <row r="28" spans="2:94" x14ac:dyDescent="0.2">
      <c r="B28" t="s">
        <v>721</v>
      </c>
      <c r="C28">
        <v>260</v>
      </c>
      <c r="D28" t="s">
        <v>251</v>
      </c>
      <c r="F28">
        <f t="shared" si="0"/>
        <v>0</v>
      </c>
      <c r="BA28">
        <f t="shared" ca="1" si="1"/>
        <v>0</v>
      </c>
      <c r="BB28">
        <f t="shared" ca="1" si="2"/>
        <v>0</v>
      </c>
      <c r="CC28">
        <f>SUM(E28:E32)*-1+SUM(E23)*-1</f>
        <v>0</v>
      </c>
      <c r="CD28">
        <f>SUM(G28:I32)*-1+SUM(G23:I23)*-1</f>
        <v>0</v>
      </c>
      <c r="CE28">
        <f>SUM(G28:L32)*-1+SUM(G23:L23)*-1</f>
        <v>0</v>
      </c>
      <c r="CF28">
        <f>SUM(G28:O32)*-1+SUM(G23:O23)*-1</f>
        <v>0</v>
      </c>
      <c r="CG28">
        <f>SUM(G28:R32)*-1+SUM(G23:R23)*-1</f>
        <v>0</v>
      </c>
      <c r="CH28">
        <f>SUM(S28:S32)*-1+SUM(S23)*-1</f>
        <v>0</v>
      </c>
    </row>
    <row r="29" spans="2:94" x14ac:dyDescent="0.2">
      <c r="B29" t="s">
        <v>722</v>
      </c>
      <c r="C29">
        <v>270</v>
      </c>
      <c r="D29" t="s">
        <v>251</v>
      </c>
      <c r="F29">
        <f t="shared" si="0"/>
        <v>0</v>
      </c>
      <c r="BA29">
        <f t="shared" ca="1" si="1"/>
        <v>0</v>
      </c>
      <c r="BB29">
        <f t="shared" ca="1" si="2"/>
        <v>0</v>
      </c>
    </row>
    <row r="30" spans="2:94" x14ac:dyDescent="0.2">
      <c r="B30" t="s">
        <v>723</v>
      </c>
      <c r="C30">
        <v>280</v>
      </c>
      <c r="D30" t="s">
        <v>251</v>
      </c>
      <c r="F30">
        <f t="shared" si="0"/>
        <v>0</v>
      </c>
      <c r="BA30">
        <f t="shared" ca="1" si="1"/>
        <v>0</v>
      </c>
      <c r="BB30">
        <f t="shared" ca="1" si="2"/>
        <v>0</v>
      </c>
    </row>
    <row r="31" spans="2:94" x14ac:dyDescent="0.2">
      <c r="B31" t="s">
        <v>724</v>
      </c>
      <c r="C31">
        <v>290</v>
      </c>
      <c r="D31" t="s">
        <v>251</v>
      </c>
      <c r="F31">
        <f t="shared" si="0"/>
        <v>0</v>
      </c>
      <c r="BA31">
        <f t="shared" ca="1" si="1"/>
        <v>0</v>
      </c>
      <c r="BB31">
        <f t="shared" ca="1" si="2"/>
        <v>0</v>
      </c>
    </row>
    <row r="32" spans="2:94" x14ac:dyDescent="0.2">
      <c r="B32" t="s">
        <v>726</v>
      </c>
      <c r="C32">
        <v>300</v>
      </c>
      <c r="D32" t="s">
        <v>251</v>
      </c>
      <c r="F32">
        <f t="shared" si="0"/>
        <v>0</v>
      </c>
    </row>
    <row r="33" spans="2:80" x14ac:dyDescent="0.2">
      <c r="B33" t="s">
        <v>727</v>
      </c>
      <c r="C33">
        <v>310</v>
      </c>
      <c r="D33" t="s">
        <v>248</v>
      </c>
      <c r="F33">
        <f t="shared" si="0"/>
        <v>0</v>
      </c>
      <c r="BA33">
        <f t="shared" ref="BA33:BA41" ca="1" si="5">IF(OR($BA$1="13",$BA$1="16"),SUM(OFFSET(F33,0,1,1,12)),SUM(OFFSET(F33,0,1,1,$BA$1)))</f>
        <v>0</v>
      </c>
      <c r="BB33">
        <f t="shared" ref="BB33:BB41" ca="1" si="6">IF(OR($BA$1="13",$BA$1="16"),(OFFSET(F33,0,12,1,1)),(OFFSET(F33,0,$BA$1,1,1)))</f>
        <v>0</v>
      </c>
      <c r="CB33">
        <f t="shared" ref="CB33:CB39" si="7">IF(OR(E33&lt;0,F33&lt;0,G33&lt;0,H33&lt;0,I33&lt;0,J33&lt;0,K33&lt;0,L33&lt;0,M33&lt;0,N33&lt;0,O33&lt;0,P33&lt;0,Q33&lt;0,R33&lt;0,S33&lt;0),1,0)</f>
        <v>0</v>
      </c>
    </row>
    <row r="34" spans="2:80" x14ac:dyDescent="0.2">
      <c r="B34" t="s">
        <v>2009</v>
      </c>
      <c r="C34">
        <v>320</v>
      </c>
      <c r="D34" t="s">
        <v>248</v>
      </c>
      <c r="F34">
        <f t="shared" si="0"/>
        <v>0</v>
      </c>
      <c r="BA34">
        <f t="shared" ca="1" si="5"/>
        <v>0</v>
      </c>
      <c r="BB34">
        <f t="shared" ca="1" si="6"/>
        <v>0</v>
      </c>
      <c r="CB34">
        <f t="shared" si="7"/>
        <v>0</v>
      </c>
    </row>
    <row r="35" spans="2:80" x14ac:dyDescent="0.2">
      <c r="B35" t="s">
        <v>729</v>
      </c>
      <c r="C35">
        <v>330</v>
      </c>
      <c r="D35" t="s">
        <v>248</v>
      </c>
      <c r="F35">
        <f t="shared" si="0"/>
        <v>0</v>
      </c>
      <c r="BA35">
        <f t="shared" ca="1" si="5"/>
        <v>0</v>
      </c>
      <c r="BB35">
        <f t="shared" ca="1" si="6"/>
        <v>0</v>
      </c>
      <c r="CB35">
        <f t="shared" si="7"/>
        <v>0</v>
      </c>
    </row>
    <row r="36" spans="2:80" x14ac:dyDescent="0.2">
      <c r="B36" t="s">
        <v>3345</v>
      </c>
      <c r="C36">
        <v>340</v>
      </c>
      <c r="D36" t="s">
        <v>248</v>
      </c>
      <c r="F36">
        <f t="shared" si="0"/>
        <v>0</v>
      </c>
      <c r="BA36">
        <f t="shared" ca="1" si="5"/>
        <v>0</v>
      </c>
      <c r="BB36">
        <f t="shared" ca="1" si="6"/>
        <v>0</v>
      </c>
      <c r="CB36">
        <f t="shared" si="7"/>
        <v>0</v>
      </c>
    </row>
    <row r="37" spans="2:80" x14ac:dyDescent="0.2">
      <c r="B37" t="s">
        <v>3346</v>
      </c>
      <c r="C37">
        <v>350</v>
      </c>
      <c r="D37" t="s">
        <v>248</v>
      </c>
      <c r="F37">
        <f t="shared" si="0"/>
        <v>0</v>
      </c>
      <c r="BA37">
        <f t="shared" ca="1" si="5"/>
        <v>0</v>
      </c>
      <c r="BB37">
        <f t="shared" ca="1" si="6"/>
        <v>0</v>
      </c>
      <c r="CB37">
        <f t="shared" si="7"/>
        <v>0</v>
      </c>
    </row>
    <row r="38" spans="2:80" x14ac:dyDescent="0.2">
      <c r="B38" t="s">
        <v>3347</v>
      </c>
      <c r="C38">
        <v>355</v>
      </c>
      <c r="D38" t="s">
        <v>248</v>
      </c>
      <c r="F38">
        <f t="shared" si="0"/>
        <v>0</v>
      </c>
      <c r="BA38">
        <f t="shared" ca="1" si="5"/>
        <v>0</v>
      </c>
      <c r="BB38">
        <f t="shared" ca="1" si="6"/>
        <v>0</v>
      </c>
      <c r="CB38">
        <f t="shared" si="7"/>
        <v>0</v>
      </c>
    </row>
    <row r="39" spans="2:80" x14ac:dyDescent="0.2">
      <c r="B39" t="s">
        <v>352</v>
      </c>
      <c r="C39">
        <v>360</v>
      </c>
      <c r="D39" t="s">
        <v>248</v>
      </c>
      <c r="F39">
        <f t="shared" si="0"/>
        <v>0</v>
      </c>
      <c r="BA39">
        <f t="shared" ca="1" si="5"/>
        <v>0</v>
      </c>
      <c r="BB39">
        <f t="shared" ca="1" si="6"/>
        <v>0</v>
      </c>
      <c r="CB39">
        <f t="shared" si="7"/>
        <v>0</v>
      </c>
    </row>
    <row r="40" spans="2:80" x14ac:dyDescent="0.2">
      <c r="B40" t="s">
        <v>3348</v>
      </c>
      <c r="C40">
        <v>370</v>
      </c>
      <c r="D40" t="s">
        <v>248</v>
      </c>
      <c r="E40">
        <f t="shared" ref="E40:S40" si="8">SUM(E10:E39)</f>
        <v>0</v>
      </c>
      <c r="F40">
        <f t="shared" si="8"/>
        <v>0</v>
      </c>
      <c r="G40">
        <f t="shared" si="8"/>
        <v>0</v>
      </c>
      <c r="H40">
        <f t="shared" si="8"/>
        <v>0</v>
      </c>
      <c r="I40">
        <f t="shared" si="8"/>
        <v>0</v>
      </c>
      <c r="J40">
        <f t="shared" si="8"/>
        <v>0</v>
      </c>
      <c r="K40">
        <f t="shared" si="8"/>
        <v>0</v>
      </c>
      <c r="L40">
        <f t="shared" si="8"/>
        <v>0</v>
      </c>
      <c r="M40">
        <f t="shared" si="8"/>
        <v>0</v>
      </c>
      <c r="N40">
        <f t="shared" si="8"/>
        <v>0</v>
      </c>
      <c r="O40">
        <f t="shared" si="8"/>
        <v>0</v>
      </c>
      <c r="P40">
        <f t="shared" si="8"/>
        <v>0</v>
      </c>
      <c r="Q40">
        <f t="shared" si="8"/>
        <v>0</v>
      </c>
      <c r="R40">
        <f t="shared" si="8"/>
        <v>0</v>
      </c>
      <c r="S40">
        <f t="shared" si="8"/>
        <v>0</v>
      </c>
      <c r="BA40">
        <f t="shared" ca="1" si="5"/>
        <v>0</v>
      </c>
      <c r="BB40">
        <f t="shared" ca="1" si="6"/>
        <v>0</v>
      </c>
    </row>
    <row r="41" spans="2:80" x14ac:dyDescent="0.2">
      <c r="B41" t="s">
        <v>746</v>
      </c>
      <c r="C41">
        <v>380</v>
      </c>
      <c r="D41" t="s">
        <v>248</v>
      </c>
      <c r="F41">
        <f>SUM(G41:R41)</f>
        <v>0</v>
      </c>
      <c r="BA41">
        <f t="shared" ca="1" si="5"/>
        <v>0</v>
      </c>
      <c r="BB41">
        <f t="shared" ca="1" si="6"/>
        <v>0</v>
      </c>
      <c r="CB41">
        <f>IF(OR(E41&lt;0,F41&lt;0,G41&lt;0,H41&lt;0,I41&lt;0,J41&lt;0,K41&lt;0,L41&lt;0,M41&lt;0,N41&lt;0,O41&lt;0,P41&lt;0,Q41&lt;0,R41&lt;0,S41&lt;0),1,0)</f>
        <v>0</v>
      </c>
    </row>
    <row r="47" spans="2:80" x14ac:dyDescent="0.2">
      <c r="B47" t="s">
        <v>2946</v>
      </c>
    </row>
    <row r="48" spans="2:80" x14ac:dyDescent="0.2">
      <c r="B48" t="s">
        <v>749</v>
      </c>
      <c r="C48">
        <v>400</v>
      </c>
      <c r="D48" t="s">
        <v>248</v>
      </c>
      <c r="F48">
        <f>SUM(G48:R48)</f>
        <v>0</v>
      </c>
      <c r="BA48">
        <f ca="1">IF(OR($BA$1="13",$BA$1="16"),SUM(OFFSET(F48,0,1,1,12)),SUM(OFFSET(F48,0,1,1,$BA$1)))</f>
        <v>0</v>
      </c>
      <c r="BB48">
        <f ca="1">IF(OR($BA$1="13",$BA$1="16"),(OFFSET(F48,0,12,1,1)),(OFFSET(F48,0,$BA$1,1,1)))</f>
        <v>0</v>
      </c>
      <c r="CB48">
        <f>IF(OR(E48&lt;0,F48&lt;0,G48&lt;0,H48&lt;0,I48&lt;0,J48&lt;0,K48&lt;0,L48&lt;0,M48&lt;0,N48&lt;0,O48&lt;0,P48&lt;0,Q48&lt;0,R48&lt;0,S48&lt;0),1,0)</f>
        <v>0</v>
      </c>
    </row>
    <row r="49" spans="2:80" x14ac:dyDescent="0.2">
      <c r="B49" t="s">
        <v>3349</v>
      </c>
      <c r="C49">
        <v>410</v>
      </c>
      <c r="D49" t="s">
        <v>248</v>
      </c>
      <c r="F49">
        <f>SUM(G49:R49)</f>
        <v>0</v>
      </c>
      <c r="BA49">
        <f ca="1">IF(OR($BA$1="13",$BA$1="16"),SUM(OFFSET(F49,0,1,1,12)),SUM(OFFSET(F49,0,1,1,$BA$1)))</f>
        <v>0</v>
      </c>
      <c r="BB49">
        <f ca="1">IF(OR($BA$1="13",$BA$1="16"),(OFFSET(F49,0,12,1,1)),(OFFSET(F49,0,$BA$1,1,1)))</f>
        <v>0</v>
      </c>
      <c r="CB49">
        <f>IF(OR(E49&lt;0,F49&lt;0,G49&lt;0,H49&lt;0,I49&lt;0,J49&lt;0,K49&lt;0,L49&lt;0,M49&lt;0,N49&lt;0,O49&lt;0,P49&lt;0,Q49&lt;0,R49&lt;0,S49&lt;0),1,0)</f>
        <v>0</v>
      </c>
    </row>
    <row r="50" spans="2:80" x14ac:dyDescent="0.2">
      <c r="B50" t="s">
        <v>751</v>
      </c>
      <c r="C50">
        <v>420</v>
      </c>
      <c r="D50" t="s">
        <v>248</v>
      </c>
      <c r="E50">
        <f t="shared" ref="E50:S50" si="9">SUM(E48:E49)</f>
        <v>0</v>
      </c>
      <c r="F50">
        <f t="shared" si="9"/>
        <v>0</v>
      </c>
      <c r="G50">
        <f t="shared" si="9"/>
        <v>0</v>
      </c>
      <c r="H50">
        <f t="shared" si="9"/>
        <v>0</v>
      </c>
      <c r="I50">
        <f t="shared" si="9"/>
        <v>0</v>
      </c>
      <c r="J50">
        <f t="shared" si="9"/>
        <v>0</v>
      </c>
      <c r="K50">
        <f t="shared" si="9"/>
        <v>0</v>
      </c>
      <c r="L50">
        <f t="shared" si="9"/>
        <v>0</v>
      </c>
      <c r="M50">
        <f t="shared" si="9"/>
        <v>0</v>
      </c>
      <c r="N50">
        <f t="shared" si="9"/>
        <v>0</v>
      </c>
      <c r="O50">
        <f t="shared" si="9"/>
        <v>0</v>
      </c>
      <c r="P50">
        <f t="shared" si="9"/>
        <v>0</v>
      </c>
      <c r="Q50">
        <f t="shared" si="9"/>
        <v>0</v>
      </c>
      <c r="R50">
        <f t="shared" si="9"/>
        <v>0</v>
      </c>
      <c r="S50">
        <f t="shared" si="9"/>
        <v>0</v>
      </c>
      <c r="BA50">
        <f ca="1">IF(OR($BA$1="13",$BA$1="16"),SUM(OFFSET(F50,0,1,1,12)),SUM(OFFSET(F50,0,1,1,$BA$1)))</f>
        <v>0</v>
      </c>
      <c r="BB50">
        <f ca="1">IF(OR($BA$1="13",$BA$1="16"),(OFFSET(F50,0,12,1,1)),(OFFSET(F50,0,$BA$1,1,1)))</f>
        <v>0</v>
      </c>
    </row>
    <row r="51" spans="2:80" x14ac:dyDescent="0.2">
      <c r="B51" t="s">
        <v>752</v>
      </c>
      <c r="C51">
        <v>430</v>
      </c>
      <c r="D51" t="s">
        <v>248</v>
      </c>
      <c r="E51">
        <f t="shared" ref="E51:S51" si="10">E40+E50</f>
        <v>0</v>
      </c>
      <c r="F51">
        <f t="shared" si="10"/>
        <v>0</v>
      </c>
      <c r="G51">
        <f t="shared" si="10"/>
        <v>0</v>
      </c>
      <c r="H51">
        <f t="shared" si="10"/>
        <v>0</v>
      </c>
      <c r="I51">
        <f t="shared" si="10"/>
        <v>0</v>
      </c>
      <c r="J51">
        <f t="shared" si="10"/>
        <v>0</v>
      </c>
      <c r="K51">
        <f t="shared" si="10"/>
        <v>0</v>
      </c>
      <c r="L51">
        <f t="shared" si="10"/>
        <v>0</v>
      </c>
      <c r="M51">
        <f t="shared" si="10"/>
        <v>0</v>
      </c>
      <c r="N51">
        <f t="shared" si="10"/>
        <v>0</v>
      </c>
      <c r="O51">
        <f t="shared" si="10"/>
        <v>0</v>
      </c>
      <c r="P51">
        <f t="shared" si="10"/>
        <v>0</v>
      </c>
      <c r="Q51">
        <f t="shared" si="10"/>
        <v>0</v>
      </c>
      <c r="R51">
        <f t="shared" si="10"/>
        <v>0</v>
      </c>
      <c r="S51">
        <f t="shared" si="10"/>
        <v>0</v>
      </c>
      <c r="BA51">
        <f ca="1">IF(OR($BA$1="13",$BA$1="16"),SUM(OFFSET(F51,0,1,1,12)),SUM(OFFSET(F51,0,1,1,$BA$1)))</f>
        <v>0</v>
      </c>
      <c r="BB51">
        <f ca="1">IF(OR($BA$1="13",$BA$1="16"),(OFFSET(F51,0,12,1,1)),(OFFSET(F51,0,$BA$1,1,1)))</f>
        <v>0</v>
      </c>
    </row>
  </sheetData>
  <sheetProtection sheet="1" objects="1" scenarios="1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/>
  <dimension ref="A1:BB106"/>
  <sheetViews>
    <sheetView zoomScale="70" zoomScaleNormal="70" workbookViewId="0"/>
  </sheetViews>
  <sheetFormatPr defaultRowHeight="12.75" x14ac:dyDescent="0.2"/>
  <sheetData>
    <row r="1" spans="1:54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54" x14ac:dyDescent="0.2">
      <c r="A2" t="s">
        <v>3727</v>
      </c>
    </row>
    <row r="3" spans="1:54" x14ac:dyDescent="0.2">
      <c r="A3" t="s">
        <v>3793</v>
      </c>
    </row>
    <row r="5" spans="1:54" x14ac:dyDescent="0.2">
      <c r="B5" t="s">
        <v>3350</v>
      </c>
    </row>
    <row r="7" spans="1:54" x14ac:dyDescent="0.2">
      <c r="B7" t="s">
        <v>2329</v>
      </c>
      <c r="C7" t="s">
        <v>238</v>
      </c>
      <c r="D7" t="s">
        <v>25</v>
      </c>
      <c r="E7" t="s">
        <v>3279</v>
      </c>
      <c r="F7" t="s">
        <v>3280</v>
      </c>
      <c r="G7" t="s">
        <v>2025</v>
      </c>
      <c r="H7" t="s">
        <v>2026</v>
      </c>
      <c r="I7" t="s">
        <v>2027</v>
      </c>
      <c r="J7" t="s">
        <v>2028</v>
      </c>
      <c r="K7" t="s">
        <v>2029</v>
      </c>
      <c r="L7" t="s">
        <v>2030</v>
      </c>
      <c r="M7" t="s">
        <v>2031</v>
      </c>
      <c r="N7" t="s">
        <v>2032</v>
      </c>
      <c r="O7" t="s">
        <v>2033</v>
      </c>
      <c r="P7" t="s">
        <v>2034</v>
      </c>
      <c r="Q7" t="s">
        <v>2035</v>
      </c>
      <c r="R7" t="s">
        <v>3281</v>
      </c>
    </row>
    <row r="8" spans="1:54" x14ac:dyDescent="0.2">
      <c r="C8" t="s">
        <v>242</v>
      </c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  <c r="K8" t="s">
        <v>2042</v>
      </c>
      <c r="L8" t="s">
        <v>2043</v>
      </c>
      <c r="M8" t="s">
        <v>2044</v>
      </c>
      <c r="N8" t="s">
        <v>2045</v>
      </c>
      <c r="O8" t="s">
        <v>2046</v>
      </c>
      <c r="P8" t="s">
        <v>2047</v>
      </c>
      <c r="Q8" t="s">
        <v>2048</v>
      </c>
      <c r="R8" t="s">
        <v>2049</v>
      </c>
    </row>
    <row r="9" spans="1:54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  <c r="K9" t="s">
        <v>243</v>
      </c>
      <c r="L9" t="s">
        <v>243</v>
      </c>
      <c r="M9" t="s">
        <v>243</v>
      </c>
      <c r="N9" t="s">
        <v>243</v>
      </c>
      <c r="O9" t="s">
        <v>243</v>
      </c>
      <c r="P9" t="s">
        <v>243</v>
      </c>
      <c r="Q9" t="s">
        <v>243</v>
      </c>
      <c r="R9" t="s">
        <v>243</v>
      </c>
    </row>
    <row r="10" spans="1:54" x14ac:dyDescent="0.2">
      <c r="B10" t="s">
        <v>3351</v>
      </c>
    </row>
    <row r="11" spans="1:54" x14ac:dyDescent="0.2">
      <c r="B11" t="s">
        <v>1187</v>
      </c>
      <c r="C11">
        <v>100</v>
      </c>
      <c r="D11" t="s">
        <v>251</v>
      </c>
      <c r="E11">
        <f>SUM(F11:Q11)</f>
        <v>0</v>
      </c>
      <c r="BA11">
        <f t="shared" ref="BA11:BA19" ca="1" si="0">IF(OR($BA$1="13",$BA$1="16"),SUM(OFFSET(E11,0,1,1,12)),SUM(OFFSET(E11,0,1,1,$BA$1)))</f>
        <v>0</v>
      </c>
      <c r="BB11">
        <f t="shared" ref="BB11:BB19" ca="1" si="1">IF(OR($BA$1="13",$BA$1="16"),(OFFSET(E11,0,12,1,1)),(OFFSET(E11,0,$BA$1,1,1)))</f>
        <v>0</v>
      </c>
    </row>
    <row r="12" spans="1:54" x14ac:dyDescent="0.2">
      <c r="B12" t="s">
        <v>1188</v>
      </c>
      <c r="C12">
        <v>110</v>
      </c>
      <c r="D12" t="s">
        <v>251</v>
      </c>
      <c r="E12">
        <f>SUM(F12:Q12)</f>
        <v>0</v>
      </c>
      <c r="BA12">
        <f t="shared" ca="1" si="0"/>
        <v>0</v>
      </c>
      <c r="BB12">
        <f t="shared" ca="1" si="1"/>
        <v>0</v>
      </c>
    </row>
    <row r="13" spans="1:54" x14ac:dyDescent="0.2">
      <c r="B13" t="s">
        <v>1189</v>
      </c>
      <c r="C13">
        <v>120</v>
      </c>
      <c r="D13" t="s">
        <v>251</v>
      </c>
      <c r="E13">
        <f>SUM(F13:Q13)</f>
        <v>0</v>
      </c>
      <c r="BA13">
        <f t="shared" ca="1" si="0"/>
        <v>0</v>
      </c>
      <c r="BB13">
        <f t="shared" ca="1" si="1"/>
        <v>0</v>
      </c>
    </row>
    <row r="14" spans="1:54" x14ac:dyDescent="0.2">
      <c r="B14" t="s">
        <v>1190</v>
      </c>
      <c r="C14">
        <v>130</v>
      </c>
      <c r="D14" t="s">
        <v>251</v>
      </c>
      <c r="E14">
        <f t="shared" ref="E14:R14" si="2">SUM(E11:E13)</f>
        <v>0</v>
      </c>
      <c r="F14">
        <f t="shared" si="2"/>
        <v>0</v>
      </c>
      <c r="G14">
        <f t="shared" si="2"/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2"/>
        <v>0</v>
      </c>
      <c r="BA14">
        <f t="shared" ca="1" si="0"/>
        <v>0</v>
      </c>
      <c r="BB14">
        <f t="shared" ca="1" si="1"/>
        <v>0</v>
      </c>
    </row>
    <row r="15" spans="1:54" x14ac:dyDescent="0.2">
      <c r="B15" t="s">
        <v>1191</v>
      </c>
      <c r="C15">
        <v>140</v>
      </c>
      <c r="D15" t="s">
        <v>251</v>
      </c>
      <c r="E15">
        <f>SUM(F15:Q15)</f>
        <v>0</v>
      </c>
      <c r="BA15">
        <f t="shared" ca="1" si="0"/>
        <v>0</v>
      </c>
      <c r="BB15">
        <f t="shared" ca="1" si="1"/>
        <v>0</v>
      </c>
    </row>
    <row r="16" spans="1:54" x14ac:dyDescent="0.2">
      <c r="B16" t="s">
        <v>1192</v>
      </c>
      <c r="C16">
        <v>150</v>
      </c>
      <c r="D16" t="s">
        <v>251</v>
      </c>
      <c r="E16">
        <f>SUM(F16:Q16)</f>
        <v>0</v>
      </c>
      <c r="BA16">
        <f t="shared" ca="1" si="0"/>
        <v>0</v>
      </c>
      <c r="BB16">
        <f t="shared" ca="1" si="1"/>
        <v>0</v>
      </c>
    </row>
    <row r="17" spans="2:54" x14ac:dyDescent="0.2">
      <c r="B17" t="s">
        <v>352</v>
      </c>
      <c r="C17">
        <v>160</v>
      </c>
      <c r="D17" t="s">
        <v>251</v>
      </c>
      <c r="E17">
        <f>SUM(F17:Q17)</f>
        <v>0</v>
      </c>
      <c r="BA17">
        <f t="shared" ca="1" si="0"/>
        <v>0</v>
      </c>
      <c r="BB17">
        <f t="shared" ca="1" si="1"/>
        <v>0</v>
      </c>
    </row>
    <row r="18" spans="2:54" x14ac:dyDescent="0.2">
      <c r="B18" t="s">
        <v>1194</v>
      </c>
      <c r="C18">
        <v>170</v>
      </c>
      <c r="D18" t="s">
        <v>251</v>
      </c>
      <c r="E18">
        <f>SUM(F18:Q18)</f>
        <v>0</v>
      </c>
      <c r="BA18">
        <f t="shared" ca="1" si="0"/>
        <v>0</v>
      </c>
      <c r="BB18">
        <f t="shared" ca="1" si="1"/>
        <v>0</v>
      </c>
    </row>
    <row r="19" spans="2:54" x14ac:dyDescent="0.2">
      <c r="B19" t="s">
        <v>1195</v>
      </c>
      <c r="C19">
        <v>180</v>
      </c>
      <c r="D19" t="s">
        <v>251</v>
      </c>
      <c r="E19">
        <f t="shared" ref="E19:R19" si="3">SUM(E15:E18)</f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R19">
        <f t="shared" si="3"/>
        <v>0</v>
      </c>
      <c r="BA19">
        <f t="shared" ca="1" si="0"/>
        <v>0</v>
      </c>
      <c r="BB19">
        <f t="shared" ca="1" si="1"/>
        <v>0</v>
      </c>
    </row>
    <row r="20" spans="2:54" x14ac:dyDescent="0.2">
      <c r="B20" t="s">
        <v>1196</v>
      </c>
    </row>
    <row r="21" spans="2:54" x14ac:dyDescent="0.2">
      <c r="B21" t="s">
        <v>1187</v>
      </c>
      <c r="C21">
        <v>190</v>
      </c>
      <c r="D21" t="s">
        <v>251</v>
      </c>
      <c r="E21">
        <f t="shared" ref="E21:E27" si="4">SUM(F21:Q21)</f>
        <v>0</v>
      </c>
    </row>
    <row r="22" spans="2:54" x14ac:dyDescent="0.2">
      <c r="B22" t="s">
        <v>1188</v>
      </c>
      <c r="C22">
        <v>200</v>
      </c>
      <c r="D22" t="s">
        <v>251</v>
      </c>
      <c r="E22">
        <f t="shared" si="4"/>
        <v>0</v>
      </c>
    </row>
    <row r="23" spans="2:54" x14ac:dyDescent="0.2">
      <c r="B23" t="s">
        <v>1189</v>
      </c>
      <c r="C23">
        <v>210</v>
      </c>
      <c r="D23" t="s">
        <v>251</v>
      </c>
      <c r="E23">
        <f t="shared" si="4"/>
        <v>0</v>
      </c>
    </row>
    <row r="24" spans="2:54" x14ac:dyDescent="0.2">
      <c r="B24" t="s">
        <v>1191</v>
      </c>
      <c r="C24">
        <v>220</v>
      </c>
      <c r="D24" t="s">
        <v>251</v>
      </c>
      <c r="E24">
        <f t="shared" si="4"/>
        <v>0</v>
      </c>
    </row>
    <row r="25" spans="2:54" x14ac:dyDescent="0.2">
      <c r="B25" t="s">
        <v>1192</v>
      </c>
      <c r="C25">
        <v>230</v>
      </c>
      <c r="D25" t="s">
        <v>251</v>
      </c>
      <c r="E25">
        <f t="shared" si="4"/>
        <v>0</v>
      </c>
    </row>
    <row r="26" spans="2:54" x14ac:dyDescent="0.2">
      <c r="B26" t="s">
        <v>352</v>
      </c>
      <c r="C26">
        <v>240</v>
      </c>
      <c r="D26" t="s">
        <v>251</v>
      </c>
      <c r="E26">
        <f t="shared" si="4"/>
        <v>0</v>
      </c>
    </row>
    <row r="27" spans="2:54" x14ac:dyDescent="0.2">
      <c r="B27" t="s">
        <v>1194</v>
      </c>
      <c r="C27">
        <v>250</v>
      </c>
      <c r="D27" t="s">
        <v>251</v>
      </c>
      <c r="E27">
        <f t="shared" si="4"/>
        <v>0</v>
      </c>
    </row>
    <row r="28" spans="2:54" x14ac:dyDescent="0.2">
      <c r="B28" t="s">
        <v>1197</v>
      </c>
      <c r="C28">
        <v>260</v>
      </c>
      <c r="D28" t="s">
        <v>251</v>
      </c>
      <c r="E28">
        <f t="shared" ref="E28:R28" si="5">SUM(E21:E27)</f>
        <v>0</v>
      </c>
      <c r="F28">
        <f t="shared" si="5"/>
        <v>0</v>
      </c>
      <c r="G28">
        <f t="shared" si="5"/>
        <v>0</v>
      </c>
      <c r="H28">
        <f t="shared" si="5"/>
        <v>0</v>
      </c>
      <c r="I28">
        <f t="shared" si="5"/>
        <v>0</v>
      </c>
      <c r="J28">
        <f t="shared" si="5"/>
        <v>0</v>
      </c>
      <c r="K28">
        <f t="shared" si="5"/>
        <v>0</v>
      </c>
      <c r="L28">
        <f t="shared" si="5"/>
        <v>0</v>
      </c>
      <c r="M28">
        <f t="shared" si="5"/>
        <v>0</v>
      </c>
      <c r="N28">
        <f t="shared" si="5"/>
        <v>0</v>
      </c>
      <c r="O28">
        <f t="shared" si="5"/>
        <v>0</v>
      </c>
      <c r="P28">
        <f t="shared" si="5"/>
        <v>0</v>
      </c>
      <c r="Q28">
        <f t="shared" si="5"/>
        <v>0</v>
      </c>
      <c r="R28">
        <f t="shared" si="5"/>
        <v>0</v>
      </c>
    </row>
    <row r="29" spans="2:54" x14ac:dyDescent="0.2">
      <c r="B29" t="s">
        <v>3352</v>
      </c>
      <c r="C29">
        <v>270</v>
      </c>
      <c r="D29" t="s">
        <v>251</v>
      </c>
      <c r="E29">
        <f t="shared" ref="E29:R29" si="6">SUM(E14,E19)</f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6"/>
        <v>0</v>
      </c>
      <c r="O29">
        <f t="shared" si="6"/>
        <v>0</v>
      </c>
      <c r="P29">
        <f t="shared" si="6"/>
        <v>0</v>
      </c>
      <c r="Q29">
        <f t="shared" si="6"/>
        <v>0</v>
      </c>
      <c r="R29">
        <f t="shared" si="6"/>
        <v>0</v>
      </c>
      <c r="BA29">
        <f ca="1">IF(OR($BA$1="13",$BA$1="16"),SUM(OFFSET(E29,0,1,1,12)),SUM(OFFSET(E29,0,1,1,$BA$1)))</f>
        <v>0</v>
      </c>
      <c r="BB29">
        <f ca="1">IF(OR($BA$1="13",$BA$1="16"),(OFFSET(E29,0,12,1,1)),(OFFSET(E29,0,$BA$1,1,1)))</f>
        <v>0</v>
      </c>
    </row>
    <row r="30" spans="2:54" x14ac:dyDescent="0.2">
      <c r="B30" t="s">
        <v>3353</v>
      </c>
    </row>
    <row r="31" spans="2:54" x14ac:dyDescent="0.2">
      <c r="B31" t="s">
        <v>1187</v>
      </c>
      <c r="C31">
        <v>280</v>
      </c>
      <c r="D31" t="s">
        <v>251</v>
      </c>
      <c r="E31">
        <f>SUM(F31:Q31)</f>
        <v>0</v>
      </c>
      <c r="BA31">
        <f t="shared" ref="BA31:BA39" ca="1" si="7">IF(OR($BA$1="13",$BA$1="16"),SUM(OFFSET(E31,0,1,1,12)),SUM(OFFSET(E31,0,1,1,$BA$1)))</f>
        <v>0</v>
      </c>
      <c r="BB31">
        <f t="shared" ref="BB31:BB39" ca="1" si="8">IF(OR($BA$1="13",$BA$1="16"),(OFFSET(E31,0,12,1,1)),(OFFSET(E31,0,$BA$1,1,1)))</f>
        <v>0</v>
      </c>
    </row>
    <row r="32" spans="2:54" x14ac:dyDescent="0.2">
      <c r="B32" t="s">
        <v>1188</v>
      </c>
      <c r="C32">
        <v>290</v>
      </c>
      <c r="D32" t="s">
        <v>251</v>
      </c>
      <c r="E32">
        <f>SUM(F32:Q32)</f>
        <v>0</v>
      </c>
      <c r="BA32">
        <f t="shared" ca="1" si="7"/>
        <v>0</v>
      </c>
      <c r="BB32">
        <f t="shared" ca="1" si="8"/>
        <v>0</v>
      </c>
    </row>
    <row r="33" spans="2:54" x14ac:dyDescent="0.2">
      <c r="B33" t="s">
        <v>1189</v>
      </c>
      <c r="C33">
        <v>300</v>
      </c>
      <c r="D33" t="s">
        <v>251</v>
      </c>
      <c r="E33">
        <f>SUM(F33:Q33)</f>
        <v>0</v>
      </c>
      <c r="BA33">
        <f t="shared" ca="1" si="7"/>
        <v>0</v>
      </c>
      <c r="BB33">
        <f t="shared" ca="1" si="8"/>
        <v>0</v>
      </c>
    </row>
    <row r="34" spans="2:54" x14ac:dyDescent="0.2">
      <c r="B34" t="s">
        <v>1190</v>
      </c>
      <c r="C34">
        <v>310</v>
      </c>
      <c r="D34" t="s">
        <v>251</v>
      </c>
      <c r="E34">
        <f t="shared" ref="E34:R34" si="9">SUM(E31:E33)</f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BA34">
        <f t="shared" ca="1" si="7"/>
        <v>0</v>
      </c>
      <c r="BB34">
        <f t="shared" ca="1" si="8"/>
        <v>0</v>
      </c>
    </row>
    <row r="35" spans="2:54" x14ac:dyDescent="0.2">
      <c r="B35" t="s">
        <v>1191</v>
      </c>
      <c r="C35">
        <v>320</v>
      </c>
      <c r="D35" t="s">
        <v>251</v>
      </c>
      <c r="E35">
        <f>SUM(F35:Q35)</f>
        <v>0</v>
      </c>
      <c r="BA35">
        <f t="shared" ca="1" si="7"/>
        <v>0</v>
      </c>
      <c r="BB35">
        <f t="shared" ca="1" si="8"/>
        <v>0</v>
      </c>
    </row>
    <row r="36" spans="2:54" x14ac:dyDescent="0.2">
      <c r="B36" t="s">
        <v>1192</v>
      </c>
      <c r="C36">
        <v>330</v>
      </c>
      <c r="D36" t="s">
        <v>251</v>
      </c>
      <c r="E36">
        <f>SUM(F36:Q36)</f>
        <v>0</v>
      </c>
      <c r="BA36">
        <f t="shared" ca="1" si="7"/>
        <v>0</v>
      </c>
      <c r="BB36">
        <f t="shared" ca="1" si="8"/>
        <v>0</v>
      </c>
    </row>
    <row r="37" spans="2:54" x14ac:dyDescent="0.2">
      <c r="B37" t="s">
        <v>352</v>
      </c>
      <c r="C37">
        <v>340</v>
      </c>
      <c r="D37" t="s">
        <v>251</v>
      </c>
      <c r="E37">
        <f>SUM(F37:Q37)</f>
        <v>0</v>
      </c>
      <c r="BA37">
        <f t="shared" ca="1" si="7"/>
        <v>0</v>
      </c>
      <c r="BB37">
        <f t="shared" ca="1" si="8"/>
        <v>0</v>
      </c>
    </row>
    <row r="38" spans="2:54" x14ac:dyDescent="0.2">
      <c r="B38" t="s">
        <v>1194</v>
      </c>
      <c r="C38">
        <v>350</v>
      </c>
      <c r="D38" t="s">
        <v>251</v>
      </c>
      <c r="E38">
        <f>SUM(F38:Q38)</f>
        <v>0</v>
      </c>
      <c r="BA38">
        <f t="shared" ca="1" si="7"/>
        <v>0</v>
      </c>
      <c r="BB38">
        <f t="shared" ca="1" si="8"/>
        <v>0</v>
      </c>
    </row>
    <row r="39" spans="2:54" x14ac:dyDescent="0.2">
      <c r="B39" t="s">
        <v>1195</v>
      </c>
      <c r="C39">
        <v>360</v>
      </c>
      <c r="D39" t="s">
        <v>251</v>
      </c>
      <c r="E39">
        <f t="shared" ref="E39:R39" si="10">SUM(E35:E38)</f>
        <v>0</v>
      </c>
      <c r="F39">
        <f t="shared" si="10"/>
        <v>0</v>
      </c>
      <c r="G39">
        <f t="shared" si="10"/>
        <v>0</v>
      </c>
      <c r="H39">
        <f t="shared" si="10"/>
        <v>0</v>
      </c>
      <c r="I39">
        <f t="shared" si="10"/>
        <v>0</v>
      </c>
      <c r="J39">
        <f t="shared" si="10"/>
        <v>0</v>
      </c>
      <c r="K39">
        <f t="shared" si="10"/>
        <v>0</v>
      </c>
      <c r="L39">
        <f t="shared" si="10"/>
        <v>0</v>
      </c>
      <c r="M39">
        <f t="shared" si="10"/>
        <v>0</v>
      </c>
      <c r="N39">
        <f t="shared" si="10"/>
        <v>0</v>
      </c>
      <c r="O39">
        <f t="shared" si="10"/>
        <v>0</v>
      </c>
      <c r="P39">
        <f t="shared" si="10"/>
        <v>0</v>
      </c>
      <c r="Q39">
        <f t="shared" si="10"/>
        <v>0</v>
      </c>
      <c r="R39">
        <f t="shared" si="10"/>
        <v>0</v>
      </c>
      <c r="BA39">
        <f t="shared" ca="1" si="7"/>
        <v>0</v>
      </c>
      <c r="BB39">
        <f t="shared" ca="1" si="8"/>
        <v>0</v>
      </c>
    </row>
    <row r="40" spans="2:54" x14ac:dyDescent="0.2">
      <c r="B40" t="s">
        <v>1200</v>
      </c>
    </row>
    <row r="41" spans="2:54" x14ac:dyDescent="0.2">
      <c r="B41" t="s">
        <v>1187</v>
      </c>
      <c r="C41">
        <v>370</v>
      </c>
      <c r="D41" t="s">
        <v>251</v>
      </c>
      <c r="E41">
        <f t="shared" ref="E41:E47" si="11">SUM(F41:Q41)</f>
        <v>0</v>
      </c>
    </row>
    <row r="42" spans="2:54" x14ac:dyDescent="0.2">
      <c r="B42" t="s">
        <v>1188</v>
      </c>
      <c r="C42">
        <v>380</v>
      </c>
      <c r="D42" t="s">
        <v>251</v>
      </c>
      <c r="E42">
        <f t="shared" si="11"/>
        <v>0</v>
      </c>
    </row>
    <row r="43" spans="2:54" x14ac:dyDescent="0.2">
      <c r="B43" t="s">
        <v>1189</v>
      </c>
      <c r="C43">
        <v>390</v>
      </c>
      <c r="D43" t="s">
        <v>251</v>
      </c>
      <c r="E43">
        <f t="shared" si="11"/>
        <v>0</v>
      </c>
    </row>
    <row r="44" spans="2:54" x14ac:dyDescent="0.2">
      <c r="B44" t="s">
        <v>1191</v>
      </c>
      <c r="C44">
        <v>400</v>
      </c>
      <c r="D44" t="s">
        <v>251</v>
      </c>
      <c r="E44">
        <f t="shared" si="11"/>
        <v>0</v>
      </c>
    </row>
    <row r="45" spans="2:54" x14ac:dyDescent="0.2">
      <c r="B45" t="s">
        <v>1192</v>
      </c>
      <c r="C45">
        <v>410</v>
      </c>
      <c r="D45" t="s">
        <v>251</v>
      </c>
      <c r="E45">
        <f t="shared" si="11"/>
        <v>0</v>
      </c>
    </row>
    <row r="46" spans="2:54" x14ac:dyDescent="0.2">
      <c r="B46" t="s">
        <v>352</v>
      </c>
      <c r="C46">
        <v>420</v>
      </c>
      <c r="D46" t="s">
        <v>251</v>
      </c>
      <c r="E46">
        <f t="shared" si="11"/>
        <v>0</v>
      </c>
    </row>
    <row r="47" spans="2:54" x14ac:dyDescent="0.2">
      <c r="B47" t="s">
        <v>1194</v>
      </c>
      <c r="C47">
        <v>430</v>
      </c>
      <c r="D47" t="s">
        <v>251</v>
      </c>
      <c r="E47">
        <f t="shared" si="11"/>
        <v>0</v>
      </c>
    </row>
    <row r="48" spans="2:54" x14ac:dyDescent="0.2">
      <c r="B48" t="s">
        <v>1201</v>
      </c>
      <c r="C48">
        <v>440</v>
      </c>
      <c r="D48" t="s">
        <v>251</v>
      </c>
      <c r="E48">
        <f t="shared" ref="E48:R48" si="12">SUM(E41:E47)</f>
        <v>0</v>
      </c>
      <c r="F48">
        <f t="shared" si="12"/>
        <v>0</v>
      </c>
      <c r="G48">
        <f t="shared" si="12"/>
        <v>0</v>
      </c>
      <c r="H48">
        <f t="shared" si="12"/>
        <v>0</v>
      </c>
      <c r="I48">
        <f t="shared" si="12"/>
        <v>0</v>
      </c>
      <c r="J48">
        <f t="shared" si="12"/>
        <v>0</v>
      </c>
      <c r="K48">
        <f t="shared" si="12"/>
        <v>0</v>
      </c>
      <c r="L48">
        <f t="shared" si="12"/>
        <v>0</v>
      </c>
      <c r="M48">
        <f t="shared" si="12"/>
        <v>0</v>
      </c>
      <c r="N48">
        <f t="shared" si="12"/>
        <v>0</v>
      </c>
      <c r="O48">
        <f t="shared" si="12"/>
        <v>0</v>
      </c>
      <c r="P48">
        <f t="shared" si="12"/>
        <v>0</v>
      </c>
      <c r="Q48">
        <f t="shared" si="12"/>
        <v>0</v>
      </c>
      <c r="R48">
        <f t="shared" si="12"/>
        <v>0</v>
      </c>
    </row>
    <row r="49" spans="2:54" x14ac:dyDescent="0.2">
      <c r="B49" t="s">
        <v>3354</v>
      </c>
      <c r="C49">
        <v>450</v>
      </c>
      <c r="D49" t="s">
        <v>251</v>
      </c>
      <c r="E49">
        <f t="shared" ref="E49:R49" si="13">SUM(E34+E39)</f>
        <v>0</v>
      </c>
      <c r="F49">
        <f t="shared" si="13"/>
        <v>0</v>
      </c>
      <c r="G49">
        <f t="shared" si="13"/>
        <v>0</v>
      </c>
      <c r="H49">
        <f t="shared" si="13"/>
        <v>0</v>
      </c>
      <c r="I49">
        <f t="shared" si="13"/>
        <v>0</v>
      </c>
      <c r="J49">
        <f t="shared" si="13"/>
        <v>0</v>
      </c>
      <c r="K49">
        <f t="shared" si="13"/>
        <v>0</v>
      </c>
      <c r="L49">
        <f t="shared" si="13"/>
        <v>0</v>
      </c>
      <c r="M49">
        <f t="shared" si="13"/>
        <v>0</v>
      </c>
      <c r="N49">
        <f t="shared" si="13"/>
        <v>0</v>
      </c>
      <c r="O49">
        <f t="shared" si="13"/>
        <v>0</v>
      </c>
      <c r="P49">
        <f t="shared" si="13"/>
        <v>0</v>
      </c>
      <c r="Q49">
        <f t="shared" si="13"/>
        <v>0</v>
      </c>
      <c r="R49">
        <f t="shared" si="13"/>
        <v>0</v>
      </c>
      <c r="BA49">
        <f t="shared" ref="BA49:BA55" ca="1" si="14">IF(OR($BA$1="13",$BA$1="16"),SUM(OFFSET(E49,0,1,1,12)),SUM(OFFSET(E49,0,1,1,$BA$1)))</f>
        <v>0</v>
      </c>
      <c r="BB49">
        <f t="shared" ref="BB49:BB55" ca="1" si="15">IF(OR($BA$1="13",$BA$1="16"),(OFFSET(E49,0,12,1,1)),(OFFSET(E49,0,$BA$1,1,1)))</f>
        <v>0</v>
      </c>
    </row>
    <row r="50" spans="2:54" x14ac:dyDescent="0.2">
      <c r="B50" t="s">
        <v>3355</v>
      </c>
      <c r="BA50">
        <f t="shared" ca="1" si="14"/>
        <v>0</v>
      </c>
      <c r="BB50">
        <f t="shared" ca="1" si="15"/>
        <v>0</v>
      </c>
    </row>
    <row r="51" spans="2:54" x14ac:dyDescent="0.2">
      <c r="B51" t="s">
        <v>1187</v>
      </c>
      <c r="C51">
        <v>460</v>
      </c>
      <c r="D51" t="s">
        <v>251</v>
      </c>
      <c r="E51">
        <f>SUM(F51:Q51)</f>
        <v>0</v>
      </c>
      <c r="BA51">
        <f t="shared" ca="1" si="14"/>
        <v>0</v>
      </c>
      <c r="BB51">
        <f t="shared" ca="1" si="15"/>
        <v>0</v>
      </c>
    </row>
    <row r="52" spans="2:54" x14ac:dyDescent="0.2">
      <c r="B52" t="s">
        <v>1190</v>
      </c>
      <c r="C52">
        <v>470</v>
      </c>
      <c r="D52" t="s">
        <v>251</v>
      </c>
      <c r="E52">
        <f t="shared" ref="E52:R52" si="16">SUM(E51)</f>
        <v>0</v>
      </c>
      <c r="F52">
        <f t="shared" si="16"/>
        <v>0</v>
      </c>
      <c r="G52">
        <f t="shared" si="16"/>
        <v>0</v>
      </c>
      <c r="H52">
        <f t="shared" si="16"/>
        <v>0</v>
      </c>
      <c r="I52">
        <f t="shared" si="16"/>
        <v>0</v>
      </c>
      <c r="J52">
        <f t="shared" si="16"/>
        <v>0</v>
      </c>
      <c r="K52">
        <f t="shared" si="16"/>
        <v>0</v>
      </c>
      <c r="L52">
        <f t="shared" si="16"/>
        <v>0</v>
      </c>
      <c r="M52">
        <f t="shared" si="16"/>
        <v>0</v>
      </c>
      <c r="N52">
        <f t="shared" si="16"/>
        <v>0</v>
      </c>
      <c r="O52">
        <f t="shared" si="16"/>
        <v>0</v>
      </c>
      <c r="P52">
        <f t="shared" si="16"/>
        <v>0</v>
      </c>
      <c r="Q52">
        <f t="shared" si="16"/>
        <v>0</v>
      </c>
      <c r="R52">
        <f t="shared" si="16"/>
        <v>0</v>
      </c>
      <c r="BA52">
        <f t="shared" ca="1" si="14"/>
        <v>0</v>
      </c>
      <c r="BB52">
        <f t="shared" ca="1" si="15"/>
        <v>0</v>
      </c>
    </row>
    <row r="53" spans="2:54" x14ac:dyDescent="0.2">
      <c r="B53" t="s">
        <v>1192</v>
      </c>
      <c r="C53">
        <v>480</v>
      </c>
      <c r="D53" t="s">
        <v>251</v>
      </c>
      <c r="E53">
        <f>SUM(F53:Q53)</f>
        <v>0</v>
      </c>
      <c r="BA53">
        <f t="shared" ca="1" si="14"/>
        <v>0</v>
      </c>
      <c r="BB53">
        <f t="shared" ca="1" si="15"/>
        <v>0</v>
      </c>
    </row>
    <row r="54" spans="2:54" x14ac:dyDescent="0.2">
      <c r="B54" t="s">
        <v>352</v>
      </c>
      <c r="C54">
        <v>490</v>
      </c>
      <c r="D54" t="s">
        <v>251</v>
      </c>
      <c r="E54">
        <f>SUM(F54:Q54)</f>
        <v>0</v>
      </c>
      <c r="BA54">
        <f t="shared" ca="1" si="14"/>
        <v>0</v>
      </c>
      <c r="BB54">
        <f t="shared" ca="1" si="15"/>
        <v>0</v>
      </c>
    </row>
    <row r="55" spans="2:54" x14ac:dyDescent="0.2">
      <c r="B55" t="s">
        <v>1195</v>
      </c>
      <c r="C55">
        <v>500</v>
      </c>
      <c r="D55" t="s">
        <v>251</v>
      </c>
      <c r="E55">
        <f t="shared" ref="E55:R55" si="17">SUM(E53:E54)</f>
        <v>0</v>
      </c>
      <c r="F55">
        <f t="shared" si="17"/>
        <v>0</v>
      </c>
      <c r="G55">
        <f t="shared" si="17"/>
        <v>0</v>
      </c>
      <c r="H55">
        <f t="shared" si="17"/>
        <v>0</v>
      </c>
      <c r="I55">
        <f t="shared" si="17"/>
        <v>0</v>
      </c>
      <c r="J55">
        <f t="shared" si="17"/>
        <v>0</v>
      </c>
      <c r="K55">
        <f t="shared" si="17"/>
        <v>0</v>
      </c>
      <c r="L55">
        <f t="shared" si="17"/>
        <v>0</v>
      </c>
      <c r="M55">
        <f t="shared" si="17"/>
        <v>0</v>
      </c>
      <c r="N55">
        <f t="shared" si="17"/>
        <v>0</v>
      </c>
      <c r="O55">
        <f t="shared" si="17"/>
        <v>0</v>
      </c>
      <c r="P55">
        <f t="shared" si="17"/>
        <v>0</v>
      </c>
      <c r="Q55">
        <f t="shared" si="17"/>
        <v>0</v>
      </c>
      <c r="R55">
        <f t="shared" si="17"/>
        <v>0</v>
      </c>
      <c r="BA55">
        <f t="shared" ca="1" si="14"/>
        <v>0</v>
      </c>
      <c r="BB55">
        <f t="shared" ca="1" si="15"/>
        <v>0</v>
      </c>
    </row>
    <row r="56" spans="2:54" x14ac:dyDescent="0.2">
      <c r="B56" t="s">
        <v>1205</v>
      </c>
    </row>
    <row r="57" spans="2:54" x14ac:dyDescent="0.2">
      <c r="B57" t="s">
        <v>1187</v>
      </c>
      <c r="C57">
        <v>510</v>
      </c>
      <c r="D57" t="s">
        <v>251</v>
      </c>
      <c r="E57">
        <f>SUM(F57:Q57)</f>
        <v>0</v>
      </c>
    </row>
    <row r="58" spans="2:54" x14ac:dyDescent="0.2">
      <c r="B58" t="s">
        <v>1192</v>
      </c>
      <c r="C58">
        <v>520</v>
      </c>
      <c r="D58" t="s">
        <v>251</v>
      </c>
      <c r="E58">
        <f>SUM(F58:Q58)</f>
        <v>0</v>
      </c>
    </row>
    <row r="59" spans="2:54" x14ac:dyDescent="0.2">
      <c r="B59" t="s">
        <v>352</v>
      </c>
      <c r="C59">
        <v>530</v>
      </c>
      <c r="D59" t="s">
        <v>251</v>
      </c>
      <c r="E59">
        <f>SUM(F59:Q59)</f>
        <v>0</v>
      </c>
    </row>
    <row r="60" spans="2:54" x14ac:dyDescent="0.2">
      <c r="B60" t="s">
        <v>1206</v>
      </c>
      <c r="C60">
        <v>540</v>
      </c>
      <c r="D60" t="s">
        <v>251</v>
      </c>
      <c r="E60">
        <f t="shared" ref="E60:R60" si="18">SUM(E57:E59)</f>
        <v>0</v>
      </c>
      <c r="F60">
        <f t="shared" si="18"/>
        <v>0</v>
      </c>
      <c r="G60">
        <f t="shared" si="18"/>
        <v>0</v>
      </c>
      <c r="H60">
        <f t="shared" si="18"/>
        <v>0</v>
      </c>
      <c r="I60">
        <f t="shared" si="18"/>
        <v>0</v>
      </c>
      <c r="J60">
        <f t="shared" si="18"/>
        <v>0</v>
      </c>
      <c r="K60">
        <f t="shared" si="18"/>
        <v>0</v>
      </c>
      <c r="L60">
        <f t="shared" si="18"/>
        <v>0</v>
      </c>
      <c r="M60">
        <f t="shared" si="18"/>
        <v>0</v>
      </c>
      <c r="N60">
        <f t="shared" si="18"/>
        <v>0</v>
      </c>
      <c r="O60">
        <f t="shared" si="18"/>
        <v>0</v>
      </c>
      <c r="P60">
        <f t="shared" si="18"/>
        <v>0</v>
      </c>
      <c r="Q60">
        <f t="shared" si="18"/>
        <v>0</v>
      </c>
      <c r="R60">
        <f t="shared" si="18"/>
        <v>0</v>
      </c>
    </row>
    <row r="61" spans="2:54" x14ac:dyDescent="0.2">
      <c r="B61" t="s">
        <v>3356</v>
      </c>
      <c r="C61">
        <v>550</v>
      </c>
      <c r="D61" t="s">
        <v>251</v>
      </c>
      <c r="E61">
        <f t="shared" ref="E61:R61" si="19">SUM(E52+E55)</f>
        <v>0</v>
      </c>
      <c r="F61">
        <f t="shared" si="19"/>
        <v>0</v>
      </c>
      <c r="G61">
        <f t="shared" si="19"/>
        <v>0</v>
      </c>
      <c r="H61">
        <f t="shared" si="19"/>
        <v>0</v>
      </c>
      <c r="I61">
        <f t="shared" si="19"/>
        <v>0</v>
      </c>
      <c r="J61">
        <f t="shared" si="19"/>
        <v>0</v>
      </c>
      <c r="K61">
        <f t="shared" si="19"/>
        <v>0</v>
      </c>
      <c r="L61">
        <f t="shared" si="19"/>
        <v>0</v>
      </c>
      <c r="M61">
        <f t="shared" si="19"/>
        <v>0</v>
      </c>
      <c r="N61">
        <f t="shared" si="19"/>
        <v>0</v>
      </c>
      <c r="O61">
        <f t="shared" si="19"/>
        <v>0</v>
      </c>
      <c r="P61">
        <f t="shared" si="19"/>
        <v>0</v>
      </c>
      <c r="Q61">
        <f t="shared" si="19"/>
        <v>0</v>
      </c>
      <c r="R61">
        <f t="shared" si="19"/>
        <v>0</v>
      </c>
      <c r="BA61">
        <f ca="1">IF(OR($BA$1="13",$BA$1="16"),SUM(OFFSET(E61,0,1,1,12)),SUM(OFFSET(E61,0,1,1,$BA$1)))</f>
        <v>0</v>
      </c>
      <c r="BB61">
        <f ca="1">IF(OR($BA$1="13",$BA$1="16"),(OFFSET(E61,0,12,1,1)),(OFFSET(E61,0,$BA$1,1,1)))</f>
        <v>0</v>
      </c>
    </row>
    <row r="62" spans="2:54" x14ac:dyDescent="0.2">
      <c r="B62" t="s">
        <v>3357</v>
      </c>
    </row>
    <row r="63" spans="2:54" x14ac:dyDescent="0.2">
      <c r="B63" t="s">
        <v>1187</v>
      </c>
      <c r="C63">
        <v>560</v>
      </c>
      <c r="D63" t="s">
        <v>251</v>
      </c>
      <c r="E63">
        <f>SUM(F63:Q63)</f>
        <v>0</v>
      </c>
      <c r="BA63">
        <f t="shared" ref="BA63:BA71" ca="1" si="20">IF(OR($BA$1="13",$BA$1="16"),SUM(OFFSET(E63,0,1,1,12)),SUM(OFFSET(E63,0,1,1,$BA$1)))</f>
        <v>0</v>
      </c>
      <c r="BB63">
        <f t="shared" ref="BB63:BB71" ca="1" si="21">IF(OR($BA$1="13",$BA$1="16"),(OFFSET(E63,0,12,1,1)),(OFFSET(E63,0,$BA$1,1,1)))</f>
        <v>0</v>
      </c>
    </row>
    <row r="64" spans="2:54" x14ac:dyDescent="0.2">
      <c r="B64" t="s">
        <v>1189</v>
      </c>
      <c r="C64">
        <v>570</v>
      </c>
      <c r="D64" t="s">
        <v>251</v>
      </c>
      <c r="E64">
        <f>SUM(F64:Q64)</f>
        <v>0</v>
      </c>
      <c r="BA64">
        <f t="shared" ca="1" si="20"/>
        <v>0</v>
      </c>
      <c r="BB64">
        <f t="shared" ca="1" si="21"/>
        <v>0</v>
      </c>
    </row>
    <row r="65" spans="2:54" x14ac:dyDescent="0.2">
      <c r="B65" t="s">
        <v>1190</v>
      </c>
      <c r="C65">
        <v>580</v>
      </c>
      <c r="D65" t="s">
        <v>251</v>
      </c>
      <c r="E65">
        <f t="shared" ref="E65:R65" si="22">SUM(E63:E64)</f>
        <v>0</v>
      </c>
      <c r="F65">
        <f t="shared" si="22"/>
        <v>0</v>
      </c>
      <c r="G65">
        <f t="shared" si="22"/>
        <v>0</v>
      </c>
      <c r="H65">
        <f t="shared" si="22"/>
        <v>0</v>
      </c>
      <c r="I65">
        <f t="shared" si="22"/>
        <v>0</v>
      </c>
      <c r="J65">
        <f t="shared" si="22"/>
        <v>0</v>
      </c>
      <c r="K65">
        <f t="shared" si="22"/>
        <v>0</v>
      </c>
      <c r="L65">
        <f t="shared" si="22"/>
        <v>0</v>
      </c>
      <c r="M65">
        <f t="shared" si="22"/>
        <v>0</v>
      </c>
      <c r="N65">
        <f t="shared" si="22"/>
        <v>0</v>
      </c>
      <c r="O65">
        <f t="shared" si="22"/>
        <v>0</v>
      </c>
      <c r="P65">
        <f t="shared" si="22"/>
        <v>0</v>
      </c>
      <c r="Q65">
        <f t="shared" si="22"/>
        <v>0</v>
      </c>
      <c r="R65">
        <f t="shared" si="22"/>
        <v>0</v>
      </c>
      <c r="BA65">
        <f t="shared" ca="1" si="20"/>
        <v>0</v>
      </c>
      <c r="BB65">
        <f t="shared" ca="1" si="21"/>
        <v>0</v>
      </c>
    </row>
    <row r="66" spans="2:54" x14ac:dyDescent="0.2">
      <c r="B66" t="s">
        <v>1191</v>
      </c>
      <c r="C66">
        <v>590</v>
      </c>
      <c r="D66" t="s">
        <v>251</v>
      </c>
      <c r="E66">
        <f>SUM(F66:Q66)</f>
        <v>0</v>
      </c>
      <c r="BA66">
        <f t="shared" ca="1" si="20"/>
        <v>0</v>
      </c>
      <c r="BB66">
        <f t="shared" ca="1" si="21"/>
        <v>0</v>
      </c>
    </row>
    <row r="67" spans="2:54" x14ac:dyDescent="0.2">
      <c r="B67" t="s">
        <v>1192</v>
      </c>
      <c r="C67">
        <v>600</v>
      </c>
      <c r="D67" t="s">
        <v>251</v>
      </c>
      <c r="E67">
        <f>SUM(F67:Q67)</f>
        <v>0</v>
      </c>
      <c r="BA67">
        <f t="shared" ca="1" si="20"/>
        <v>0</v>
      </c>
      <c r="BB67">
        <f t="shared" ca="1" si="21"/>
        <v>0</v>
      </c>
    </row>
    <row r="68" spans="2:54" x14ac:dyDescent="0.2">
      <c r="B68" t="s">
        <v>352</v>
      </c>
      <c r="C68">
        <v>610</v>
      </c>
      <c r="D68" t="s">
        <v>251</v>
      </c>
      <c r="E68">
        <f>SUM(F68:Q68)</f>
        <v>0</v>
      </c>
      <c r="BA68">
        <f t="shared" ca="1" si="20"/>
        <v>0</v>
      </c>
      <c r="BB68">
        <f t="shared" ca="1" si="21"/>
        <v>0</v>
      </c>
    </row>
    <row r="69" spans="2:54" x14ac:dyDescent="0.2">
      <c r="B69" t="s">
        <v>1194</v>
      </c>
      <c r="C69">
        <v>620</v>
      </c>
      <c r="D69" t="s">
        <v>251</v>
      </c>
      <c r="E69">
        <f>SUM(F69:Q69)</f>
        <v>0</v>
      </c>
      <c r="BA69">
        <f t="shared" ca="1" si="20"/>
        <v>0</v>
      </c>
      <c r="BB69">
        <f t="shared" ca="1" si="21"/>
        <v>0</v>
      </c>
    </row>
    <row r="70" spans="2:54" x14ac:dyDescent="0.2">
      <c r="B70" t="s">
        <v>1195</v>
      </c>
      <c r="C70">
        <v>630</v>
      </c>
      <c r="D70" t="s">
        <v>251</v>
      </c>
      <c r="E70">
        <f t="shared" ref="E70:R70" si="23">SUM(E66:E69)</f>
        <v>0</v>
      </c>
      <c r="F70">
        <f t="shared" si="23"/>
        <v>0</v>
      </c>
      <c r="G70">
        <f t="shared" si="23"/>
        <v>0</v>
      </c>
      <c r="H70">
        <f t="shared" si="23"/>
        <v>0</v>
      </c>
      <c r="I70">
        <f t="shared" si="23"/>
        <v>0</v>
      </c>
      <c r="J70">
        <f t="shared" si="23"/>
        <v>0</v>
      </c>
      <c r="K70">
        <f t="shared" si="23"/>
        <v>0</v>
      </c>
      <c r="L70">
        <f t="shared" si="23"/>
        <v>0</v>
      </c>
      <c r="M70">
        <f t="shared" si="23"/>
        <v>0</v>
      </c>
      <c r="N70">
        <f t="shared" si="23"/>
        <v>0</v>
      </c>
      <c r="O70">
        <f t="shared" si="23"/>
        <v>0</v>
      </c>
      <c r="P70">
        <f t="shared" si="23"/>
        <v>0</v>
      </c>
      <c r="Q70">
        <f t="shared" si="23"/>
        <v>0</v>
      </c>
      <c r="R70">
        <f t="shared" si="23"/>
        <v>0</v>
      </c>
      <c r="BA70">
        <f t="shared" ca="1" si="20"/>
        <v>0</v>
      </c>
      <c r="BB70">
        <f t="shared" ca="1" si="21"/>
        <v>0</v>
      </c>
    </row>
    <row r="71" spans="2:54" x14ac:dyDescent="0.2">
      <c r="B71" t="s">
        <v>1209</v>
      </c>
      <c r="C71">
        <v>640</v>
      </c>
      <c r="D71" t="s">
        <v>251</v>
      </c>
      <c r="E71">
        <f t="shared" ref="E71:R71" si="24">SUM(E65+E70)</f>
        <v>0</v>
      </c>
      <c r="F71">
        <f t="shared" si="24"/>
        <v>0</v>
      </c>
      <c r="G71">
        <f t="shared" si="24"/>
        <v>0</v>
      </c>
      <c r="H71">
        <f t="shared" si="24"/>
        <v>0</v>
      </c>
      <c r="I71">
        <f t="shared" si="24"/>
        <v>0</v>
      </c>
      <c r="J71">
        <f t="shared" si="24"/>
        <v>0</v>
      </c>
      <c r="K71">
        <f t="shared" si="24"/>
        <v>0</v>
      </c>
      <c r="L71">
        <f t="shared" si="24"/>
        <v>0</v>
      </c>
      <c r="M71">
        <f t="shared" si="24"/>
        <v>0</v>
      </c>
      <c r="N71">
        <f t="shared" si="24"/>
        <v>0</v>
      </c>
      <c r="O71">
        <f t="shared" si="24"/>
        <v>0</v>
      </c>
      <c r="P71">
        <f t="shared" si="24"/>
        <v>0</v>
      </c>
      <c r="Q71">
        <f t="shared" si="24"/>
        <v>0</v>
      </c>
      <c r="R71">
        <f t="shared" si="24"/>
        <v>0</v>
      </c>
      <c r="BA71">
        <f t="shared" ca="1" si="20"/>
        <v>0</v>
      </c>
      <c r="BB71">
        <f t="shared" ca="1" si="21"/>
        <v>0</v>
      </c>
    </row>
    <row r="72" spans="2:54" x14ac:dyDescent="0.2">
      <c r="B72" t="s">
        <v>3358</v>
      </c>
    </row>
    <row r="73" spans="2:54" x14ac:dyDescent="0.2">
      <c r="B73" t="s">
        <v>1187</v>
      </c>
      <c r="C73">
        <v>650</v>
      </c>
      <c r="D73" t="s">
        <v>251</v>
      </c>
    </row>
    <row r="74" spans="2:54" x14ac:dyDescent="0.2">
      <c r="B74" t="s">
        <v>1190</v>
      </c>
      <c r="C74">
        <v>660</v>
      </c>
      <c r="D74" t="s">
        <v>251</v>
      </c>
    </row>
    <row r="75" spans="2:54" x14ac:dyDescent="0.2">
      <c r="B75" t="s">
        <v>1191</v>
      </c>
      <c r="C75">
        <v>670</v>
      </c>
      <c r="D75" t="s">
        <v>251</v>
      </c>
    </row>
    <row r="76" spans="2:54" x14ac:dyDescent="0.2">
      <c r="B76" t="s">
        <v>1192</v>
      </c>
      <c r="C76">
        <v>680</v>
      </c>
      <c r="D76" t="s">
        <v>251</v>
      </c>
    </row>
    <row r="77" spans="2:54" x14ac:dyDescent="0.2">
      <c r="B77" t="s">
        <v>352</v>
      </c>
      <c r="C77">
        <v>690</v>
      </c>
      <c r="D77" t="s">
        <v>251</v>
      </c>
    </row>
    <row r="78" spans="2:54" x14ac:dyDescent="0.2">
      <c r="B78" t="s">
        <v>1194</v>
      </c>
      <c r="C78">
        <v>700</v>
      </c>
      <c r="D78" t="s">
        <v>251</v>
      </c>
    </row>
    <row r="79" spans="2:54" x14ac:dyDescent="0.2">
      <c r="B79" t="s">
        <v>1195</v>
      </c>
      <c r="C79">
        <v>719</v>
      </c>
      <c r="D79" t="s">
        <v>251</v>
      </c>
    </row>
    <row r="80" spans="2:54" x14ac:dyDescent="0.2">
      <c r="B80" t="s">
        <v>1211</v>
      </c>
      <c r="C80">
        <v>720</v>
      </c>
      <c r="D80" t="s">
        <v>251</v>
      </c>
    </row>
    <row r="81" spans="2:18" x14ac:dyDescent="0.2">
      <c r="B81" t="s">
        <v>3359</v>
      </c>
    </row>
    <row r="82" spans="2:18" x14ac:dyDescent="0.2">
      <c r="B82" t="s">
        <v>1187</v>
      </c>
      <c r="C82">
        <v>730</v>
      </c>
      <c r="D82" t="s">
        <v>251</v>
      </c>
      <c r="E82">
        <f>SUM(F82:Q82)</f>
        <v>0</v>
      </c>
    </row>
    <row r="83" spans="2:18" x14ac:dyDescent="0.2">
      <c r="B83" t="s">
        <v>1190</v>
      </c>
      <c r="C83">
        <v>740</v>
      </c>
      <c r="D83" t="s">
        <v>251</v>
      </c>
      <c r="E83">
        <f>SUM(F83:R83)</f>
        <v>0</v>
      </c>
      <c r="F83">
        <f t="shared" ref="F83:R83" si="25">SUM(F82)</f>
        <v>0</v>
      </c>
      <c r="G83">
        <f t="shared" si="25"/>
        <v>0</v>
      </c>
      <c r="H83">
        <f t="shared" si="25"/>
        <v>0</v>
      </c>
      <c r="I83">
        <f t="shared" si="25"/>
        <v>0</v>
      </c>
      <c r="J83">
        <f t="shared" si="25"/>
        <v>0</v>
      </c>
      <c r="K83">
        <f t="shared" si="25"/>
        <v>0</v>
      </c>
      <c r="L83">
        <f t="shared" si="25"/>
        <v>0</v>
      </c>
      <c r="M83">
        <f t="shared" si="25"/>
        <v>0</v>
      </c>
      <c r="N83">
        <f t="shared" si="25"/>
        <v>0</v>
      </c>
      <c r="O83">
        <f t="shared" si="25"/>
        <v>0</v>
      </c>
      <c r="P83">
        <f t="shared" si="25"/>
        <v>0</v>
      </c>
      <c r="Q83">
        <f t="shared" si="25"/>
        <v>0</v>
      </c>
      <c r="R83">
        <f t="shared" si="25"/>
        <v>0</v>
      </c>
    </row>
    <row r="84" spans="2:18" x14ac:dyDescent="0.2">
      <c r="B84" t="s">
        <v>1191</v>
      </c>
      <c r="C84">
        <v>750</v>
      </c>
      <c r="D84" t="s">
        <v>251</v>
      </c>
      <c r="E84">
        <f>SUM(F84:Q84)</f>
        <v>0</v>
      </c>
    </row>
    <row r="85" spans="2:18" x14ac:dyDescent="0.2">
      <c r="B85" t="s">
        <v>1192</v>
      </c>
      <c r="C85">
        <v>760</v>
      </c>
      <c r="D85" t="s">
        <v>251</v>
      </c>
      <c r="E85">
        <f>SUM(F85:Q85)</f>
        <v>0</v>
      </c>
    </row>
    <row r="86" spans="2:18" x14ac:dyDescent="0.2">
      <c r="B86" t="s">
        <v>352</v>
      </c>
      <c r="C86">
        <v>770</v>
      </c>
      <c r="D86" t="s">
        <v>251</v>
      </c>
      <c r="E86">
        <f>SUM(F86:Q86)</f>
        <v>0</v>
      </c>
    </row>
    <row r="87" spans="2:18" x14ac:dyDescent="0.2">
      <c r="B87" t="s">
        <v>1194</v>
      </c>
      <c r="C87">
        <v>780</v>
      </c>
      <c r="D87" t="s">
        <v>251</v>
      </c>
      <c r="E87">
        <f>SUM(F87:Q87)</f>
        <v>0</v>
      </c>
    </row>
    <row r="88" spans="2:18" x14ac:dyDescent="0.2">
      <c r="B88" t="s">
        <v>1195</v>
      </c>
      <c r="C88">
        <v>790</v>
      </c>
      <c r="D88" t="s">
        <v>251</v>
      </c>
      <c r="E88">
        <f t="shared" ref="E88:R88" si="26">SUM(E84:E87)</f>
        <v>0</v>
      </c>
      <c r="F88">
        <f t="shared" si="26"/>
        <v>0</v>
      </c>
      <c r="G88">
        <f t="shared" si="26"/>
        <v>0</v>
      </c>
      <c r="H88">
        <f t="shared" si="26"/>
        <v>0</v>
      </c>
      <c r="I88">
        <f t="shared" si="26"/>
        <v>0</v>
      </c>
      <c r="J88">
        <f t="shared" si="26"/>
        <v>0</v>
      </c>
      <c r="K88">
        <f t="shared" si="26"/>
        <v>0</v>
      </c>
      <c r="L88">
        <f t="shared" si="26"/>
        <v>0</v>
      </c>
      <c r="M88">
        <f t="shared" si="26"/>
        <v>0</v>
      </c>
      <c r="N88">
        <f t="shared" si="26"/>
        <v>0</v>
      </c>
      <c r="O88">
        <f t="shared" si="26"/>
        <v>0</v>
      </c>
      <c r="P88">
        <f t="shared" si="26"/>
        <v>0</v>
      </c>
      <c r="Q88">
        <f t="shared" si="26"/>
        <v>0</v>
      </c>
      <c r="R88">
        <f t="shared" si="26"/>
        <v>0</v>
      </c>
    </row>
    <row r="89" spans="2:18" x14ac:dyDescent="0.2">
      <c r="B89" t="s">
        <v>3360</v>
      </c>
      <c r="C89">
        <v>800</v>
      </c>
      <c r="D89" t="s">
        <v>251</v>
      </c>
      <c r="E89">
        <f t="shared" ref="E89:R89" si="27">SUM(E88+E83)</f>
        <v>0</v>
      </c>
      <c r="F89">
        <f t="shared" si="27"/>
        <v>0</v>
      </c>
      <c r="G89">
        <f t="shared" si="27"/>
        <v>0</v>
      </c>
      <c r="H89">
        <f t="shared" si="27"/>
        <v>0</v>
      </c>
      <c r="I89">
        <f t="shared" si="27"/>
        <v>0</v>
      </c>
      <c r="J89">
        <f t="shared" si="27"/>
        <v>0</v>
      </c>
      <c r="K89">
        <f t="shared" si="27"/>
        <v>0</v>
      </c>
      <c r="L89">
        <f t="shared" si="27"/>
        <v>0</v>
      </c>
      <c r="M89">
        <f t="shared" si="27"/>
        <v>0</v>
      </c>
      <c r="N89">
        <f t="shared" si="27"/>
        <v>0</v>
      </c>
      <c r="O89">
        <f t="shared" si="27"/>
        <v>0</v>
      </c>
      <c r="P89">
        <f t="shared" si="27"/>
        <v>0</v>
      </c>
      <c r="Q89">
        <f t="shared" si="27"/>
        <v>0</v>
      </c>
      <c r="R89">
        <f t="shared" si="27"/>
        <v>0</v>
      </c>
    </row>
    <row r="90" spans="2:18" x14ac:dyDescent="0.2">
      <c r="B90" t="s">
        <v>2330</v>
      </c>
    </row>
    <row r="91" spans="2:18" x14ac:dyDescent="0.2">
      <c r="B91" t="s">
        <v>1187</v>
      </c>
      <c r="C91">
        <v>810</v>
      </c>
      <c r="D91" t="s">
        <v>251</v>
      </c>
      <c r="E91">
        <f t="shared" ref="E91:E96" si="28">SUM(F91:Q91)</f>
        <v>0</v>
      </c>
    </row>
    <row r="92" spans="2:18" x14ac:dyDescent="0.2">
      <c r="B92" t="s">
        <v>2331</v>
      </c>
      <c r="C92">
        <v>820</v>
      </c>
      <c r="D92" t="s">
        <v>251</v>
      </c>
      <c r="E92">
        <f t="shared" si="28"/>
        <v>0</v>
      </c>
    </row>
    <row r="93" spans="2:18" x14ac:dyDescent="0.2">
      <c r="B93" t="s">
        <v>1191</v>
      </c>
      <c r="C93">
        <v>840</v>
      </c>
      <c r="D93" t="s">
        <v>251</v>
      </c>
      <c r="E93">
        <f t="shared" si="28"/>
        <v>0</v>
      </c>
    </row>
    <row r="94" spans="2:18" x14ac:dyDescent="0.2">
      <c r="B94" t="s">
        <v>1192</v>
      </c>
      <c r="C94">
        <v>850</v>
      </c>
      <c r="D94" t="s">
        <v>251</v>
      </c>
      <c r="E94">
        <f t="shared" si="28"/>
        <v>0</v>
      </c>
    </row>
    <row r="95" spans="2:18" x14ac:dyDescent="0.2">
      <c r="B95" t="s">
        <v>352</v>
      </c>
      <c r="C95">
        <v>860</v>
      </c>
      <c r="D95" t="s">
        <v>251</v>
      </c>
      <c r="E95">
        <f t="shared" si="28"/>
        <v>0</v>
      </c>
    </row>
    <row r="96" spans="2:18" x14ac:dyDescent="0.2">
      <c r="B96" t="s">
        <v>1194</v>
      </c>
      <c r="C96">
        <v>870</v>
      </c>
      <c r="D96" t="s">
        <v>251</v>
      </c>
      <c r="E96">
        <f t="shared" si="28"/>
        <v>0</v>
      </c>
    </row>
    <row r="97" spans="2:54" x14ac:dyDescent="0.2">
      <c r="B97" t="s">
        <v>2332</v>
      </c>
      <c r="C97">
        <v>880</v>
      </c>
      <c r="D97" t="s">
        <v>251</v>
      </c>
      <c r="E97">
        <f t="shared" ref="E97:R97" si="29">SUM(E91:E96)</f>
        <v>0</v>
      </c>
      <c r="F97">
        <f t="shared" si="29"/>
        <v>0</v>
      </c>
      <c r="G97">
        <f t="shared" si="29"/>
        <v>0</v>
      </c>
      <c r="H97">
        <f t="shared" si="29"/>
        <v>0</v>
      </c>
      <c r="I97">
        <f t="shared" si="29"/>
        <v>0</v>
      </c>
      <c r="J97">
        <f t="shared" si="29"/>
        <v>0</v>
      </c>
      <c r="K97">
        <f t="shared" si="29"/>
        <v>0</v>
      </c>
      <c r="L97">
        <f t="shared" si="29"/>
        <v>0</v>
      </c>
      <c r="M97">
        <f t="shared" si="29"/>
        <v>0</v>
      </c>
      <c r="N97">
        <f t="shared" si="29"/>
        <v>0</v>
      </c>
      <c r="O97">
        <f t="shared" si="29"/>
        <v>0</v>
      </c>
      <c r="P97">
        <f t="shared" si="29"/>
        <v>0</v>
      </c>
      <c r="Q97">
        <f t="shared" si="29"/>
        <v>0</v>
      </c>
      <c r="R97">
        <f t="shared" si="29"/>
        <v>0</v>
      </c>
    </row>
    <row r="98" spans="2:54" x14ac:dyDescent="0.2">
      <c r="B98" t="s">
        <v>1216</v>
      </c>
      <c r="C98">
        <v>890</v>
      </c>
      <c r="D98" t="s">
        <v>251</v>
      </c>
      <c r="E98">
        <f t="shared" ref="E98:R98" si="30">SUM(E97+E89)</f>
        <v>0</v>
      </c>
      <c r="F98">
        <f t="shared" si="30"/>
        <v>0</v>
      </c>
      <c r="G98">
        <f t="shared" si="30"/>
        <v>0</v>
      </c>
      <c r="H98">
        <f t="shared" si="30"/>
        <v>0</v>
      </c>
      <c r="I98">
        <f t="shared" si="30"/>
        <v>0</v>
      </c>
      <c r="J98">
        <f t="shared" si="30"/>
        <v>0</v>
      </c>
      <c r="K98">
        <f t="shared" si="30"/>
        <v>0</v>
      </c>
      <c r="L98">
        <f t="shared" si="30"/>
        <v>0</v>
      </c>
      <c r="M98">
        <f t="shared" si="30"/>
        <v>0</v>
      </c>
      <c r="N98">
        <f t="shared" si="30"/>
        <v>0</v>
      </c>
      <c r="O98">
        <f t="shared" si="30"/>
        <v>0</v>
      </c>
      <c r="P98">
        <f t="shared" si="30"/>
        <v>0</v>
      </c>
      <c r="Q98">
        <f t="shared" si="30"/>
        <v>0</v>
      </c>
      <c r="R98">
        <f t="shared" si="30"/>
        <v>0</v>
      </c>
    </row>
    <row r="99" spans="2:54" x14ac:dyDescent="0.2">
      <c r="B99" t="s">
        <v>1217</v>
      </c>
      <c r="C99">
        <v>900</v>
      </c>
      <c r="D99" t="s">
        <v>251</v>
      </c>
      <c r="E99">
        <f t="shared" ref="E99:R99" si="31">SUM(E28+E48+E60+E97)</f>
        <v>0</v>
      </c>
      <c r="F99">
        <f t="shared" si="31"/>
        <v>0</v>
      </c>
      <c r="G99">
        <f t="shared" si="31"/>
        <v>0</v>
      </c>
      <c r="H99">
        <f t="shared" si="31"/>
        <v>0</v>
      </c>
      <c r="I99">
        <f t="shared" si="31"/>
        <v>0</v>
      </c>
      <c r="J99">
        <f t="shared" si="31"/>
        <v>0</v>
      </c>
      <c r="K99">
        <f t="shared" si="31"/>
        <v>0</v>
      </c>
      <c r="L99">
        <f t="shared" si="31"/>
        <v>0</v>
      </c>
      <c r="M99">
        <f t="shared" si="31"/>
        <v>0</v>
      </c>
      <c r="N99">
        <f t="shared" si="31"/>
        <v>0</v>
      </c>
      <c r="O99">
        <f t="shared" si="31"/>
        <v>0</v>
      </c>
      <c r="P99">
        <f t="shared" si="31"/>
        <v>0</v>
      </c>
      <c r="Q99">
        <f t="shared" si="31"/>
        <v>0</v>
      </c>
      <c r="R99">
        <f t="shared" si="31"/>
        <v>0</v>
      </c>
    </row>
    <row r="100" spans="2:54" x14ac:dyDescent="0.2">
      <c r="B100" t="s">
        <v>3361</v>
      </c>
      <c r="C100">
        <v>910</v>
      </c>
      <c r="D100" t="s">
        <v>251</v>
      </c>
      <c r="E100">
        <f t="shared" ref="E100:R100" si="32">SUM(E14+E34+E52+E65+E74+E83)</f>
        <v>0</v>
      </c>
      <c r="F100">
        <f t="shared" si="32"/>
        <v>0</v>
      </c>
      <c r="G100">
        <f t="shared" si="32"/>
        <v>0</v>
      </c>
      <c r="H100">
        <f t="shared" si="32"/>
        <v>0</v>
      </c>
      <c r="I100">
        <f t="shared" si="32"/>
        <v>0</v>
      </c>
      <c r="J100">
        <f t="shared" si="32"/>
        <v>0</v>
      </c>
      <c r="K100">
        <f t="shared" si="32"/>
        <v>0</v>
      </c>
      <c r="L100">
        <f t="shared" si="32"/>
        <v>0</v>
      </c>
      <c r="M100">
        <f t="shared" si="32"/>
        <v>0</v>
      </c>
      <c r="N100">
        <f t="shared" si="32"/>
        <v>0</v>
      </c>
      <c r="O100">
        <f t="shared" si="32"/>
        <v>0</v>
      </c>
      <c r="P100">
        <f t="shared" si="32"/>
        <v>0</v>
      </c>
      <c r="Q100">
        <f t="shared" si="32"/>
        <v>0</v>
      </c>
      <c r="R100">
        <f t="shared" si="32"/>
        <v>0</v>
      </c>
      <c r="BA100">
        <f ca="1">IF(OR($BA$1="13",$BA$1="16"),SUM(OFFSET(E100,0,1,1,12)),SUM(OFFSET(E100,0,1,1,$BA$1)))</f>
        <v>0</v>
      </c>
      <c r="BB100">
        <f ca="1">IF(OR($BA$1="13",$BA$1="16"),(OFFSET(E100,0,12,1,1)),(OFFSET(E100,0,$BA$1,1,1)))</f>
        <v>0</v>
      </c>
    </row>
    <row r="101" spans="2:54" x14ac:dyDescent="0.2">
      <c r="B101" t="s">
        <v>3362</v>
      </c>
      <c r="C101">
        <v>920</v>
      </c>
      <c r="D101" t="s">
        <v>251</v>
      </c>
      <c r="E101">
        <f t="shared" ref="E101:R101" si="33">SUM(E19+E39+E55+E70+E88+E79)</f>
        <v>0</v>
      </c>
      <c r="F101">
        <f t="shared" si="33"/>
        <v>0</v>
      </c>
      <c r="G101">
        <f t="shared" si="33"/>
        <v>0</v>
      </c>
      <c r="H101">
        <f t="shared" si="33"/>
        <v>0</v>
      </c>
      <c r="I101">
        <f t="shared" si="33"/>
        <v>0</v>
      </c>
      <c r="J101">
        <f t="shared" si="33"/>
        <v>0</v>
      </c>
      <c r="K101">
        <f t="shared" si="33"/>
        <v>0</v>
      </c>
      <c r="L101">
        <f t="shared" si="33"/>
        <v>0</v>
      </c>
      <c r="M101">
        <f t="shared" si="33"/>
        <v>0</v>
      </c>
      <c r="N101">
        <f t="shared" si="33"/>
        <v>0</v>
      </c>
      <c r="O101">
        <f t="shared" si="33"/>
        <v>0</v>
      </c>
      <c r="P101">
        <f t="shared" si="33"/>
        <v>0</v>
      </c>
      <c r="Q101">
        <f t="shared" si="33"/>
        <v>0</v>
      </c>
      <c r="R101">
        <f t="shared" si="33"/>
        <v>0</v>
      </c>
      <c r="BA101">
        <f ca="1">IF(OR($BA$1="13",$BA$1="16"),SUM(OFFSET(E101,0,1,1,12)),SUM(OFFSET(E101,0,1,1,$BA$1)))</f>
        <v>0</v>
      </c>
      <c r="BB101">
        <f ca="1">IF(OR($BA$1="13",$BA$1="16"),(OFFSET(E101,0,12,1,1)),(OFFSET(E101,0,$BA$1,1,1)))</f>
        <v>0</v>
      </c>
    </row>
    <row r="102" spans="2:54" x14ac:dyDescent="0.2">
      <c r="B102" t="s">
        <v>3363</v>
      </c>
      <c r="C102">
        <v>930</v>
      </c>
      <c r="D102" t="s">
        <v>251</v>
      </c>
      <c r="E102">
        <f t="shared" ref="E102:R102" si="34">SUM(E100:E101)</f>
        <v>0</v>
      </c>
      <c r="F102">
        <f t="shared" si="34"/>
        <v>0</v>
      </c>
      <c r="G102">
        <f t="shared" si="34"/>
        <v>0</v>
      </c>
      <c r="H102">
        <f t="shared" si="34"/>
        <v>0</v>
      </c>
      <c r="I102">
        <f t="shared" si="34"/>
        <v>0</v>
      </c>
      <c r="J102">
        <f t="shared" si="34"/>
        <v>0</v>
      </c>
      <c r="K102">
        <f t="shared" si="34"/>
        <v>0</v>
      </c>
      <c r="L102">
        <f t="shared" si="34"/>
        <v>0</v>
      </c>
      <c r="M102">
        <f t="shared" si="34"/>
        <v>0</v>
      </c>
      <c r="N102">
        <f t="shared" si="34"/>
        <v>0</v>
      </c>
      <c r="O102">
        <f t="shared" si="34"/>
        <v>0</v>
      </c>
      <c r="P102">
        <f t="shared" si="34"/>
        <v>0</v>
      </c>
      <c r="Q102">
        <f t="shared" si="34"/>
        <v>0</v>
      </c>
      <c r="R102">
        <f t="shared" si="34"/>
        <v>0</v>
      </c>
      <c r="BA102">
        <f ca="1">IF(OR($BA$1="13",$BA$1="16"),SUM(OFFSET(E102,0,1,1,12)),SUM(OFFSET(E102,0,1,1,$BA$1)))</f>
        <v>0</v>
      </c>
      <c r="BB102">
        <f ca="1">IF(OR($BA$1="13",$BA$1="16"),(OFFSET(E102,0,12,1,1)),(OFFSET(E102,0,$BA$1,1,1)))</f>
        <v>0</v>
      </c>
    </row>
    <row r="103" spans="2:54" x14ac:dyDescent="0.2">
      <c r="B103" t="s">
        <v>1221</v>
      </c>
    </row>
    <row r="104" spans="2:54" x14ac:dyDescent="0.2">
      <c r="B104" t="s">
        <v>2333</v>
      </c>
    </row>
    <row r="105" spans="2:54" x14ac:dyDescent="0.2">
      <c r="B105" t="s">
        <v>3364</v>
      </c>
      <c r="C105">
        <v>950</v>
      </c>
      <c r="D105" t="s">
        <v>251</v>
      </c>
      <c r="E105">
        <f>SUM(F105:Q105)</f>
        <v>0</v>
      </c>
      <c r="BA105">
        <f ca="1">IF(OR($BA$1="13",$BA$1="16"),SUM(OFFSET(E105,0,1,1,12)),SUM(OFFSET(E105,0,1,1,$BA$1)))</f>
        <v>0</v>
      </c>
      <c r="BB105">
        <f ca="1">IF(OR($BA$1="13",$BA$1="16"),(OFFSET(E105,0,12,1,1)),(OFFSET(E105,0,$BA$1,1,1)))</f>
        <v>0</v>
      </c>
    </row>
    <row r="106" spans="2:54" x14ac:dyDescent="0.2">
      <c r="B106" t="s">
        <v>3365</v>
      </c>
      <c r="C106">
        <v>960</v>
      </c>
      <c r="D106" t="s">
        <v>251</v>
      </c>
      <c r="E106">
        <f>SUM(F106:Q106)</f>
        <v>0</v>
      </c>
      <c r="BA106">
        <f ca="1">IF(OR($BA$1="13",$BA$1="16"),SUM(OFFSET(E106,0,1,1,12)),SUM(OFFSET(E106,0,1,1,$BA$1)))</f>
        <v>0</v>
      </c>
      <c r="BB106">
        <f ca="1">IF(OR($BA$1="13",$BA$1="16"),(OFFSET(E106,0,12,1,1)),(OFFSET(E106,0,$BA$1,1,1)))</f>
        <v>0</v>
      </c>
    </row>
  </sheetData>
  <sheetProtection sheet="1" objects="1" scenarios="1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CE72"/>
  <sheetViews>
    <sheetView zoomScale="70" zoomScaleNormal="70" workbookViewId="0"/>
  </sheetViews>
  <sheetFormatPr defaultRowHeight="12.75" x14ac:dyDescent="0.2"/>
  <sheetData>
    <row r="1" spans="1:81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1" x14ac:dyDescent="0.2">
      <c r="A2" t="s">
        <v>3727</v>
      </c>
    </row>
    <row r="3" spans="1:81" x14ac:dyDescent="0.2">
      <c r="A3" t="s">
        <v>3794</v>
      </c>
    </row>
    <row r="5" spans="1:81" x14ac:dyDescent="0.2">
      <c r="B5" t="s">
        <v>3366</v>
      </c>
      <c r="CA5" t="s">
        <v>230</v>
      </c>
      <c r="CB5">
        <f>0</f>
        <v>0</v>
      </c>
    </row>
    <row r="6" spans="1:81" x14ac:dyDescent="0.2">
      <c r="CA6" t="s">
        <v>231</v>
      </c>
      <c r="CB6" t="s">
        <v>232</v>
      </c>
      <c r="CC6" t="s">
        <v>3327</v>
      </c>
    </row>
    <row r="8" spans="1:81" x14ac:dyDescent="0.2">
      <c r="B8" t="s">
        <v>3367</v>
      </c>
      <c r="C8" t="s">
        <v>238</v>
      </c>
      <c r="D8" t="s">
        <v>25</v>
      </c>
      <c r="E8" t="s">
        <v>2334</v>
      </c>
      <c r="F8" t="s">
        <v>2335</v>
      </c>
      <c r="G8" t="s">
        <v>1615</v>
      </c>
      <c r="I8" t="s">
        <v>1617</v>
      </c>
      <c r="J8" t="s">
        <v>3368</v>
      </c>
      <c r="K8" t="s">
        <v>1619</v>
      </c>
      <c r="L8" t="s">
        <v>3369</v>
      </c>
      <c r="N8" t="s">
        <v>352</v>
      </c>
      <c r="O8" t="s">
        <v>1622</v>
      </c>
      <c r="CA8">
        <f>SUM(CA11:CA62)</f>
        <v>0</v>
      </c>
      <c r="CB8">
        <f>SUM(CB11:CB62)</f>
        <v>0</v>
      </c>
      <c r="CC8">
        <f>SUM(CC9:CC15)</f>
        <v>0</v>
      </c>
    </row>
    <row r="9" spans="1:81" x14ac:dyDescent="0.2">
      <c r="C9" t="s">
        <v>242</v>
      </c>
      <c r="E9" t="s">
        <v>2036</v>
      </c>
      <c r="F9" t="s">
        <v>2037</v>
      </c>
      <c r="G9" t="s">
        <v>2038</v>
      </c>
      <c r="I9" t="s">
        <v>2040</v>
      </c>
      <c r="J9" t="s">
        <v>2041</v>
      </c>
      <c r="K9" t="s">
        <v>2042</v>
      </c>
      <c r="L9" t="s">
        <v>2043</v>
      </c>
      <c r="N9" t="s">
        <v>2045</v>
      </c>
      <c r="O9" t="s">
        <v>2046</v>
      </c>
    </row>
    <row r="10" spans="1:81" x14ac:dyDescent="0.2">
      <c r="E10" t="s">
        <v>243</v>
      </c>
      <c r="F10" t="s">
        <v>243</v>
      </c>
      <c r="G10" t="s">
        <v>243</v>
      </c>
      <c r="I10" t="s">
        <v>243</v>
      </c>
      <c r="J10" t="s">
        <v>243</v>
      </c>
      <c r="K10" t="s">
        <v>243</v>
      </c>
      <c r="L10" t="s">
        <v>243</v>
      </c>
      <c r="N10" t="s">
        <v>243</v>
      </c>
      <c r="O10" t="s">
        <v>243</v>
      </c>
    </row>
    <row r="11" spans="1:81" x14ac:dyDescent="0.2">
      <c r="B11" t="s">
        <v>1033</v>
      </c>
      <c r="C11">
        <v>100</v>
      </c>
      <c r="D11" t="s">
        <v>248</v>
      </c>
      <c r="CB11">
        <f>IF(OR(E11&lt;0,G11&lt;0,H11&lt;0,I11&lt;0,J11&lt;0,K11&lt;0,L11&lt;0,M11&lt;0,N11&lt;0,O11&lt;0,P11&lt;0),1,0)</f>
        <v>0</v>
      </c>
    </row>
    <row r="12" spans="1:81" x14ac:dyDescent="0.2">
      <c r="B12" t="s">
        <v>487</v>
      </c>
      <c r="C12">
        <v>105</v>
      </c>
      <c r="D12" t="s">
        <v>251</v>
      </c>
    </row>
    <row r="13" spans="1:81" x14ac:dyDescent="0.2">
      <c r="B13" t="s">
        <v>1374</v>
      </c>
      <c r="C13">
        <v>108</v>
      </c>
      <c r="D13" t="s">
        <v>251</v>
      </c>
    </row>
    <row r="14" spans="1:81" x14ac:dyDescent="0.2">
      <c r="B14" t="s">
        <v>1375</v>
      </c>
      <c r="C14">
        <v>107</v>
      </c>
      <c r="D14" t="s">
        <v>251</v>
      </c>
    </row>
    <row r="15" spans="1:81" x14ac:dyDescent="0.2">
      <c r="B15" t="s">
        <v>1033</v>
      </c>
      <c r="C15">
        <v>114</v>
      </c>
      <c r="D15" t="s">
        <v>248</v>
      </c>
      <c r="F15">
        <f>E24</f>
        <v>0</v>
      </c>
      <c r="CB15">
        <f>IF(OR(E15&lt;0,G15&lt;0,H15&lt;0,I15&lt;0,J15&lt;0,K15&lt;0,L15&lt;0,M15&lt;0,N15&lt;0,O15&lt;0,P15&lt;0),1,0)</f>
        <v>0</v>
      </c>
      <c r="CC15">
        <f>IF(SUM(G15:O15)=F15,0,1)</f>
        <v>0</v>
      </c>
    </row>
    <row r="16" spans="1:81" x14ac:dyDescent="0.2">
      <c r="B16" t="s">
        <v>1625</v>
      </c>
      <c r="C16">
        <v>120</v>
      </c>
      <c r="D16" t="s">
        <v>248</v>
      </c>
      <c r="F16">
        <f>SUM(G16:O16)</f>
        <v>0</v>
      </c>
      <c r="CB16">
        <f>IF(OR(E16&lt;0,G16&lt;0,H16&lt;0,I16&lt;0,J16&lt;0,K16&lt;0,L16&lt;0,M16&lt;0,N16&lt;0,O16&lt;0,P16&lt;0),1,0)</f>
        <v>0</v>
      </c>
    </row>
    <row r="17" spans="2:83" x14ac:dyDescent="0.2">
      <c r="B17" t="s">
        <v>1626</v>
      </c>
      <c r="C17">
        <v>130</v>
      </c>
      <c r="D17" t="s">
        <v>245</v>
      </c>
      <c r="F17">
        <f>SUM(G17:O17)</f>
        <v>0</v>
      </c>
      <c r="CA17">
        <f>IF(OR(E17&gt;0,G17&gt;0,H17&gt;0,I17&gt;0,J17&gt;0,K17&gt;0,L17&gt;0,M17&gt;0,N17&gt;0,O17&gt;0,P17&gt;0),1,0)</f>
        <v>0</v>
      </c>
    </row>
    <row r="18" spans="2:83" x14ac:dyDescent="0.2">
      <c r="B18" t="s">
        <v>1627</v>
      </c>
      <c r="C18">
        <v>140</v>
      </c>
      <c r="D18" t="s">
        <v>245</v>
      </c>
      <c r="F18">
        <f>SUM(G18:O18)</f>
        <v>0</v>
      </c>
      <c r="CA18">
        <f>IF(OR(E18&gt;0,G18&gt;0,H18&gt;0,I18&gt;0,J18&gt;0,K18&gt;0,L18&gt;0,M18&gt;0,N18&gt;0,O18&gt;0,P18&gt;0),1,0)</f>
        <v>0</v>
      </c>
    </row>
    <row r="19" spans="2:83" x14ac:dyDescent="0.2">
      <c r="B19" t="s">
        <v>1628</v>
      </c>
      <c r="C19">
        <v>150</v>
      </c>
      <c r="D19" t="s">
        <v>248</v>
      </c>
      <c r="F19">
        <f>SUM(G19:O19)</f>
        <v>0</v>
      </c>
      <c r="CB19">
        <f>IF(OR(E19&lt;0,G19&lt;0,H19&lt;0,I19&lt;0,J19&lt;0,K19&lt;0,L19&lt;0,M19&lt;0,N19&lt;0,O19&lt;0,P19&lt;0),1,0)</f>
        <v>0</v>
      </c>
    </row>
    <row r="20" spans="2:83" x14ac:dyDescent="0.2">
      <c r="B20" t="s">
        <v>1629</v>
      </c>
      <c r="C20">
        <v>160</v>
      </c>
      <c r="D20" t="s">
        <v>251</v>
      </c>
      <c r="F20">
        <f>SUM(G20:O20)</f>
        <v>0</v>
      </c>
    </row>
    <row r="21" spans="2:83" x14ac:dyDescent="0.2">
      <c r="B21" t="s">
        <v>1630</v>
      </c>
      <c r="C21">
        <v>170</v>
      </c>
      <c r="D21" t="s">
        <v>251</v>
      </c>
    </row>
    <row r="22" spans="2:83" x14ac:dyDescent="0.2">
      <c r="B22" t="s">
        <v>1631</v>
      </c>
      <c r="C22">
        <v>180</v>
      </c>
      <c r="D22" t="s">
        <v>245</v>
      </c>
      <c r="F22">
        <f>SUM(G22:O22)</f>
        <v>0</v>
      </c>
      <c r="CA22">
        <f>IF(OR(E22&gt;0,G22&gt;0,H22&gt;0,I22&gt;0,J22&gt;0,K22&gt;0,L22&gt;0,M22&gt;0,N22&gt;0,O22&gt;0,P22&gt;0),1,0)</f>
        <v>0</v>
      </c>
      <c r="CC22" t="s">
        <v>3339</v>
      </c>
      <c r="CD22" t="s">
        <v>3339</v>
      </c>
      <c r="CE22" t="s">
        <v>3339</v>
      </c>
    </row>
    <row r="23" spans="2:83" x14ac:dyDescent="0.2">
      <c r="B23" t="s">
        <v>2338</v>
      </c>
      <c r="C23">
        <v>185</v>
      </c>
      <c r="D23" t="s">
        <v>251</v>
      </c>
      <c r="F23">
        <f>SUM(G23:O23)</f>
        <v>0</v>
      </c>
      <c r="CC23">
        <f>SUM(E16:E23)-E17</f>
        <v>0</v>
      </c>
      <c r="CD23">
        <f>SUM(F16:F23)-F17</f>
        <v>0</v>
      </c>
      <c r="CE23">
        <f>SUM(F50:F57)-F51</f>
        <v>0</v>
      </c>
    </row>
    <row r="24" spans="2:83" x14ac:dyDescent="0.2">
      <c r="B24" t="s">
        <v>2336</v>
      </c>
      <c r="C24">
        <v>190</v>
      </c>
      <c r="D24" t="s">
        <v>248</v>
      </c>
      <c r="E24">
        <f>SUM(E15:E23)</f>
        <v>0</v>
      </c>
      <c r="F24">
        <f>SUM(F15:F23)</f>
        <v>0</v>
      </c>
      <c r="G24">
        <f>SUM(G15:G23)</f>
        <v>0</v>
      </c>
      <c r="I24">
        <f>SUM(I15:I23)</f>
        <v>0</v>
      </c>
      <c r="J24">
        <f>SUM(J15:J23)</f>
        <v>0</v>
      </c>
      <c r="K24">
        <f>SUM(K15:K23)</f>
        <v>0</v>
      </c>
      <c r="L24">
        <f>SUM(L15:L23)</f>
        <v>0</v>
      </c>
      <c r="N24">
        <f>SUM(N15:N23)</f>
        <v>0</v>
      </c>
      <c r="O24">
        <f>SUM(O15:O23)</f>
        <v>0</v>
      </c>
      <c r="CB24">
        <f>IF(OR(E24&lt;0,G24&lt;0,H24&lt;0,I24&lt;0,J24&lt;0,K24&lt;0,L24&lt;0,M24&lt;0,N24&lt;0,O24&lt;0,P24&lt;0),1,0)</f>
        <v>0</v>
      </c>
    </row>
    <row r="25" spans="2:83" x14ac:dyDescent="0.2">
      <c r="B25" t="s">
        <v>1632</v>
      </c>
    </row>
    <row r="26" spans="2:83" x14ac:dyDescent="0.2">
      <c r="B26" t="s">
        <v>1633</v>
      </c>
      <c r="C26">
        <v>200</v>
      </c>
      <c r="D26" t="s">
        <v>248</v>
      </c>
      <c r="F26">
        <f>SUM(G26:O26)</f>
        <v>0</v>
      </c>
      <c r="CB26">
        <f>IF(OR(E26&lt;0,G26&lt;0,H26&lt;0,I26&lt;0,J26&lt;0,K26&lt;0,L26&lt;0,M26&lt;0,N26&lt;0,O26&lt;0,P26&lt;0),1,0)</f>
        <v>0</v>
      </c>
    </row>
    <row r="27" spans="2:83" x14ac:dyDescent="0.2">
      <c r="B27" t="s">
        <v>1634</v>
      </c>
      <c r="C27">
        <v>210</v>
      </c>
      <c r="D27" t="s">
        <v>248</v>
      </c>
      <c r="F27">
        <f>SUM(G27:O27)</f>
        <v>0</v>
      </c>
      <c r="CB27">
        <f>IF(OR(E27&lt;0,G27&lt;0,H27&lt;0,I27&lt;0,J27&lt;0,K27&lt;0,L27&lt;0,M27&lt;0,N27&lt;0,O27&lt;0,P27&lt;0),1,0)</f>
        <v>0</v>
      </c>
    </row>
    <row r="28" spans="2:83" x14ac:dyDescent="0.2">
      <c r="B28" t="s">
        <v>1635</v>
      </c>
      <c r="C28">
        <v>220</v>
      </c>
      <c r="D28" t="s">
        <v>248</v>
      </c>
      <c r="E28">
        <f>E24-E26-E27</f>
        <v>0</v>
      </c>
      <c r="F28">
        <f>F24-F26-F27</f>
        <v>0</v>
      </c>
      <c r="G28">
        <f>G24-G26-G27</f>
        <v>0</v>
      </c>
      <c r="I28">
        <f>I24-I26-I27</f>
        <v>0</v>
      </c>
      <c r="J28">
        <f>J24-J26-J27</f>
        <v>0</v>
      </c>
      <c r="K28">
        <f>K24-K26-K27</f>
        <v>0</v>
      </c>
      <c r="L28">
        <f>L24-L26-L27</f>
        <v>0</v>
      </c>
      <c r="N28">
        <f>N24-N26-N27</f>
        <v>0</v>
      </c>
      <c r="O28">
        <f>O24-O26-O27</f>
        <v>0</v>
      </c>
      <c r="CB28">
        <f>IF(OR(E28&lt;0,G28&lt;0,H28&lt;0,I28&lt;0,J28&lt;0,K28&lt;0,L28&lt;0,M28&lt;0,N28&lt;0,O28&lt;0,P28&lt;0),1,0)</f>
        <v>0</v>
      </c>
    </row>
    <row r="29" spans="2:83" x14ac:dyDescent="0.2">
      <c r="B29" t="s">
        <v>1636</v>
      </c>
    </row>
    <row r="30" spans="2:83" x14ac:dyDescent="0.2">
      <c r="B30" t="s">
        <v>2337</v>
      </c>
      <c r="C30">
        <v>230</v>
      </c>
      <c r="D30" t="s">
        <v>248</v>
      </c>
    </row>
    <row r="33" spans="2:80" x14ac:dyDescent="0.2">
      <c r="B33" t="s">
        <v>3370</v>
      </c>
      <c r="C33" t="s">
        <v>238</v>
      </c>
      <c r="E33" t="s">
        <v>2750</v>
      </c>
    </row>
    <row r="34" spans="2:80" x14ac:dyDescent="0.2">
      <c r="C34" t="s">
        <v>242</v>
      </c>
    </row>
    <row r="35" spans="2:80" x14ac:dyDescent="0.2">
      <c r="B35" t="s">
        <v>1640</v>
      </c>
      <c r="C35">
        <v>250</v>
      </c>
      <c r="D35" t="s">
        <v>1532</v>
      </c>
    </row>
    <row r="36" spans="2:80" x14ac:dyDescent="0.2">
      <c r="B36" t="s">
        <v>1641</v>
      </c>
      <c r="C36">
        <v>260</v>
      </c>
      <c r="D36" t="s">
        <v>1532</v>
      </c>
    </row>
    <row r="37" spans="2:80" x14ac:dyDescent="0.2">
      <c r="B37" t="s">
        <v>1642</v>
      </c>
      <c r="C37">
        <v>270</v>
      </c>
      <c r="D37" t="s">
        <v>1532</v>
      </c>
    </row>
    <row r="38" spans="2:80" x14ac:dyDescent="0.2">
      <c r="B38" t="s">
        <v>3371</v>
      </c>
      <c r="C38">
        <v>280</v>
      </c>
      <c r="D38" t="s">
        <v>1532</v>
      </c>
    </row>
    <row r="42" spans="2:80" x14ac:dyDescent="0.2">
      <c r="B42" t="s">
        <v>3372</v>
      </c>
      <c r="C42" t="s">
        <v>238</v>
      </c>
      <c r="D42" t="s">
        <v>25</v>
      </c>
      <c r="E42" t="s">
        <v>2335</v>
      </c>
      <c r="F42" t="s">
        <v>3373</v>
      </c>
      <c r="G42" t="s">
        <v>1615</v>
      </c>
      <c r="I42" t="s">
        <v>1617</v>
      </c>
      <c r="J42" t="s">
        <v>3368</v>
      </c>
      <c r="K42" t="s">
        <v>1619</v>
      </c>
      <c r="L42" t="s">
        <v>3369</v>
      </c>
      <c r="N42" t="s">
        <v>352</v>
      </c>
      <c r="O42" t="s">
        <v>1622</v>
      </c>
    </row>
    <row r="43" spans="2:80" x14ac:dyDescent="0.2">
      <c r="C43" t="s">
        <v>242</v>
      </c>
      <c r="E43" t="s">
        <v>2036</v>
      </c>
      <c r="F43" t="s">
        <v>2037</v>
      </c>
      <c r="G43" t="s">
        <v>2038</v>
      </c>
      <c r="I43" t="s">
        <v>2040</v>
      </c>
      <c r="J43" t="s">
        <v>2041</v>
      </c>
      <c r="K43" t="s">
        <v>2042</v>
      </c>
      <c r="L43" t="s">
        <v>2043</v>
      </c>
      <c r="N43" t="s">
        <v>2045</v>
      </c>
      <c r="O43" t="s">
        <v>2046</v>
      </c>
    </row>
    <row r="44" spans="2:80" x14ac:dyDescent="0.2">
      <c r="E44" t="s">
        <v>243</v>
      </c>
      <c r="F44" t="s">
        <v>243</v>
      </c>
      <c r="G44" t="s">
        <v>243</v>
      </c>
      <c r="I44" t="s">
        <v>243</v>
      </c>
      <c r="J44" t="s">
        <v>243</v>
      </c>
      <c r="K44" t="s">
        <v>243</v>
      </c>
      <c r="L44" t="s">
        <v>243</v>
      </c>
      <c r="N44" t="s">
        <v>243</v>
      </c>
      <c r="O44" t="s">
        <v>243</v>
      </c>
    </row>
    <row r="45" spans="2:80" x14ac:dyDescent="0.2">
      <c r="B45" t="s">
        <v>1033</v>
      </c>
      <c r="C45">
        <v>100</v>
      </c>
      <c r="D45" t="s">
        <v>248</v>
      </c>
      <c r="CB45">
        <f>IF(OR(E45&lt;0,G45&lt;0,H45&lt;0,I45&lt;0,J45&lt;0,K45&lt;0,L45&lt;0,M45&lt;0,N45&lt;0,O45&lt;0,P45&lt;0),1,0)</f>
        <v>0</v>
      </c>
    </row>
    <row r="46" spans="2:80" x14ac:dyDescent="0.2">
      <c r="B46" t="s">
        <v>487</v>
      </c>
      <c r="C46">
        <v>105</v>
      </c>
      <c r="D46" t="s">
        <v>251</v>
      </c>
    </row>
    <row r="47" spans="2:80" x14ac:dyDescent="0.2">
      <c r="B47" t="s">
        <v>1374</v>
      </c>
      <c r="C47">
        <v>108</v>
      </c>
      <c r="D47" t="s">
        <v>251</v>
      </c>
    </row>
    <row r="48" spans="2:80" x14ac:dyDescent="0.2">
      <c r="B48" t="s">
        <v>1375</v>
      </c>
      <c r="C48">
        <v>107</v>
      </c>
      <c r="D48" t="s">
        <v>251</v>
      </c>
    </row>
    <row r="49" spans="2:80" x14ac:dyDescent="0.2">
      <c r="B49" t="s">
        <v>1033</v>
      </c>
      <c r="C49">
        <v>310</v>
      </c>
      <c r="D49" t="s">
        <v>248</v>
      </c>
      <c r="E49">
        <f t="shared" ref="E49:E54" si="0">F15</f>
        <v>0</v>
      </c>
      <c r="F49">
        <f t="shared" ref="F49:F54" si="1">SUM(G49:O49)</f>
        <v>0</v>
      </c>
      <c r="G49">
        <f>G24</f>
        <v>0</v>
      </c>
      <c r="I49">
        <f>I24</f>
        <v>0</v>
      </c>
      <c r="J49">
        <f>J24</f>
        <v>0</v>
      </c>
      <c r="K49">
        <f>K24</f>
        <v>0</v>
      </c>
      <c r="L49">
        <f>L24</f>
        <v>0</v>
      </c>
      <c r="N49">
        <f>N24</f>
        <v>0</v>
      </c>
      <c r="O49">
        <f>O24</f>
        <v>0</v>
      </c>
      <c r="CB49">
        <f>IF(OR(E49&lt;0,G49&lt;0,H49&lt;0,I49&lt;0,J49&lt;0,K49&lt;0,L49&lt;0,M49&lt;0,N49&lt;0,O49&lt;0,P49&lt;0),1,0)</f>
        <v>0</v>
      </c>
    </row>
    <row r="50" spans="2:80" x14ac:dyDescent="0.2">
      <c r="B50" t="s">
        <v>1625</v>
      </c>
      <c r="C50">
        <v>320</v>
      </c>
      <c r="D50" t="s">
        <v>248</v>
      </c>
      <c r="E50">
        <f t="shared" si="0"/>
        <v>0</v>
      </c>
      <c r="F50">
        <f t="shared" si="1"/>
        <v>0</v>
      </c>
      <c r="CB50">
        <f>IF(OR(E50&lt;0,G50&lt;0,H50&lt;0,I50&lt;0,J50&lt;0,K50&lt;0,L50&lt;0,M50&lt;0,N50&lt;0,O50&lt;0,P50&lt;0),1,0)</f>
        <v>0</v>
      </c>
    </row>
    <row r="51" spans="2:80" x14ac:dyDescent="0.2">
      <c r="B51" t="s">
        <v>1626</v>
      </c>
      <c r="C51">
        <v>330</v>
      </c>
      <c r="D51" t="s">
        <v>245</v>
      </c>
      <c r="E51">
        <f t="shared" si="0"/>
        <v>0</v>
      </c>
      <c r="F51">
        <f t="shared" si="1"/>
        <v>0</v>
      </c>
      <c r="CA51">
        <f>IF(OR(E51&gt;0,G51&gt;0,H51&gt;0,I51&gt;0,J51&gt;0,K51&gt;0,L51&gt;0,M51&gt;0,N51&gt;0,O51&gt;0,P51&gt;0),1,0)</f>
        <v>0</v>
      </c>
    </row>
    <row r="52" spans="2:80" x14ac:dyDescent="0.2">
      <c r="B52" t="s">
        <v>1627</v>
      </c>
      <c r="C52">
        <v>340</v>
      </c>
      <c r="D52" t="s">
        <v>245</v>
      </c>
      <c r="E52">
        <f t="shared" si="0"/>
        <v>0</v>
      </c>
      <c r="F52">
        <f t="shared" si="1"/>
        <v>0</v>
      </c>
      <c r="CA52">
        <f>IF(OR(E52&gt;0,G52&gt;0,H52&gt;0,I52&gt;0,J52&gt;0,K52&gt;0,L52&gt;0,M52&gt;0,N52&gt;0,O52&gt;0,P52&gt;0),1,0)</f>
        <v>0</v>
      </c>
    </row>
    <row r="53" spans="2:80" x14ac:dyDescent="0.2">
      <c r="B53" t="s">
        <v>1628</v>
      </c>
      <c r="C53">
        <v>350</v>
      </c>
      <c r="D53" t="s">
        <v>248</v>
      </c>
      <c r="E53">
        <f t="shared" si="0"/>
        <v>0</v>
      </c>
      <c r="F53">
        <f t="shared" si="1"/>
        <v>0</v>
      </c>
      <c r="CB53">
        <f>IF(OR(E53&lt;0,G53&lt;0,H53&lt;0,I53&lt;0,J53&lt;0,K53&lt;0,L53&lt;0,M53&lt;0,N53&lt;0,O53&lt;0,P53&lt;0),1,0)</f>
        <v>0</v>
      </c>
    </row>
    <row r="54" spans="2:80" x14ac:dyDescent="0.2">
      <c r="B54" t="s">
        <v>1629</v>
      </c>
      <c r="C54">
        <v>360</v>
      </c>
      <c r="D54" t="s">
        <v>251</v>
      </c>
      <c r="E54">
        <f t="shared" si="0"/>
        <v>0</v>
      </c>
      <c r="F54">
        <f t="shared" si="1"/>
        <v>0</v>
      </c>
    </row>
    <row r="55" spans="2:80" x14ac:dyDescent="0.2">
      <c r="B55" t="s">
        <v>1630</v>
      </c>
      <c r="C55">
        <v>170</v>
      </c>
      <c r="D55" t="s">
        <v>251</v>
      </c>
    </row>
    <row r="56" spans="2:80" x14ac:dyDescent="0.2">
      <c r="B56" t="s">
        <v>1631</v>
      </c>
      <c r="C56">
        <v>370</v>
      </c>
      <c r="D56" t="s">
        <v>245</v>
      </c>
      <c r="E56">
        <f>F22</f>
        <v>0</v>
      </c>
      <c r="F56">
        <f>SUM(G56:O56)</f>
        <v>0</v>
      </c>
      <c r="CA56">
        <f>IF(OR(E56&gt;0,G56&gt;0,H56&gt;0,I56&gt;0,J56&gt;0,K56&gt;0,L56&gt;0,M56&gt;0,N56&gt;0,O56&gt;0,P56&gt;0),1,0)</f>
        <v>0</v>
      </c>
    </row>
    <row r="57" spans="2:80" x14ac:dyDescent="0.2">
      <c r="B57" t="s">
        <v>2338</v>
      </c>
      <c r="C57">
        <v>380</v>
      </c>
      <c r="D57" t="s">
        <v>251</v>
      </c>
      <c r="E57">
        <f>F23</f>
        <v>0</v>
      </c>
      <c r="F57">
        <f>SUM(G57:O57)</f>
        <v>0</v>
      </c>
    </row>
    <row r="58" spans="2:80" x14ac:dyDescent="0.2">
      <c r="B58" t="s">
        <v>2336</v>
      </c>
      <c r="C58">
        <v>390</v>
      </c>
      <c r="D58" t="s">
        <v>248</v>
      </c>
      <c r="E58">
        <f>SUM(E49:E57)</f>
        <v>0</v>
      </c>
      <c r="F58">
        <f>SUM(F49:F57)</f>
        <v>0</v>
      </c>
      <c r="G58">
        <f>SUM(G49:G57)</f>
        <v>0</v>
      </c>
      <c r="I58">
        <f>SUM(I49:I57)</f>
        <v>0</v>
      </c>
      <c r="J58">
        <f>SUM(J49:J57)</f>
        <v>0</v>
      </c>
      <c r="K58">
        <f>SUM(K49:K57)</f>
        <v>0</v>
      </c>
      <c r="L58">
        <f>SUM(L49:L57)</f>
        <v>0</v>
      </c>
      <c r="N58">
        <f>SUM(N49:N57)</f>
        <v>0</v>
      </c>
      <c r="O58">
        <f>SUM(O49:O57)</f>
        <v>0</v>
      </c>
      <c r="CB58">
        <f>IF(OR(E58&lt;0,G58&lt;0,H58&lt;0,I58&lt;0,J58&lt;0,K58&lt;0,L58&lt;0,M58&lt;0,N58&lt;0,O58&lt;0,P58&lt;0),1,0)</f>
        <v>0</v>
      </c>
    </row>
    <row r="59" spans="2:80" x14ac:dyDescent="0.2">
      <c r="B59" t="s">
        <v>1632</v>
      </c>
    </row>
    <row r="60" spans="2:80" x14ac:dyDescent="0.2">
      <c r="B60" t="s">
        <v>1633</v>
      </c>
      <c r="C60">
        <v>400</v>
      </c>
      <c r="D60" t="s">
        <v>248</v>
      </c>
      <c r="E60">
        <f>F26</f>
        <v>0</v>
      </c>
      <c r="F60">
        <f>SUM(G60:O60)</f>
        <v>0</v>
      </c>
      <c r="CB60">
        <f>IF(OR(E60&lt;0,G60&lt;0,H60&lt;0,I60&lt;0,J60&lt;0,K60&lt;0,L60&lt;0,M60&lt;0,N60&lt;0,O60&lt;0,P60&lt;0),1,0)</f>
        <v>0</v>
      </c>
    </row>
    <row r="61" spans="2:80" x14ac:dyDescent="0.2">
      <c r="B61" t="s">
        <v>1634</v>
      </c>
      <c r="C61">
        <v>410</v>
      </c>
      <c r="D61" t="s">
        <v>248</v>
      </c>
      <c r="E61">
        <f>F27</f>
        <v>0</v>
      </c>
      <c r="F61">
        <f>SUM(G61:O61)</f>
        <v>0</v>
      </c>
      <c r="CB61">
        <f>IF(OR(E61&lt;0,G61&lt;0,H61&lt;0,I61&lt;0,J61&lt;0,K61&lt;0,L61&lt;0,M61&lt;0,N61&lt;0,O61&lt;0,P61&lt;0),1,0)</f>
        <v>0</v>
      </c>
    </row>
    <row r="62" spans="2:80" x14ac:dyDescent="0.2">
      <c r="B62" t="s">
        <v>1635</v>
      </c>
      <c r="C62">
        <v>420</v>
      </c>
      <c r="D62" t="s">
        <v>248</v>
      </c>
      <c r="E62">
        <f>E58-E60-E61</f>
        <v>0</v>
      </c>
      <c r="F62">
        <f>F58-F60-F61</f>
        <v>0</v>
      </c>
      <c r="G62">
        <f>G58-G60-G61</f>
        <v>0</v>
      </c>
      <c r="I62">
        <f>I58-I60-I61</f>
        <v>0</v>
      </c>
      <c r="J62">
        <f>J58-J60-J61</f>
        <v>0</v>
      </c>
      <c r="K62">
        <f>K58-K60-K61</f>
        <v>0</v>
      </c>
      <c r="L62">
        <f>L58-L60-L61</f>
        <v>0</v>
      </c>
      <c r="N62">
        <f>N58-N60-N61</f>
        <v>0</v>
      </c>
      <c r="O62">
        <f>O58-O60-O61</f>
        <v>0</v>
      </c>
      <c r="CB62">
        <f>IF(OR(E62&lt;0,G62&lt;0,H62&lt;0,I62&lt;0,J62&lt;0,K62&lt;0,L62&lt;0,M62&lt;0,N62&lt;0,O62&lt;0,P62&lt;0),1,0)</f>
        <v>0</v>
      </c>
    </row>
    <row r="63" spans="2:80" x14ac:dyDescent="0.2">
      <c r="B63" t="s">
        <v>1636</v>
      </c>
    </row>
    <row r="64" spans="2:80" x14ac:dyDescent="0.2">
      <c r="B64" t="s">
        <v>2337</v>
      </c>
      <c r="C64">
        <v>230</v>
      </c>
      <c r="D64" t="s">
        <v>248</v>
      </c>
    </row>
    <row r="67" spans="2:5" x14ac:dyDescent="0.2">
      <c r="B67" t="s">
        <v>3374</v>
      </c>
      <c r="C67" t="s">
        <v>238</v>
      </c>
      <c r="E67" t="s">
        <v>2750</v>
      </c>
    </row>
    <row r="68" spans="2:5" x14ac:dyDescent="0.2">
      <c r="C68" t="s">
        <v>242</v>
      </c>
    </row>
    <row r="69" spans="2:5" x14ac:dyDescent="0.2">
      <c r="B69" t="s">
        <v>3375</v>
      </c>
      <c r="C69">
        <v>450</v>
      </c>
      <c r="D69" t="s">
        <v>1532</v>
      </c>
    </row>
    <row r="70" spans="2:5" x14ac:dyDescent="0.2">
      <c r="B70" t="s">
        <v>3376</v>
      </c>
      <c r="C70">
        <v>460</v>
      </c>
      <c r="D70" t="s">
        <v>1532</v>
      </c>
    </row>
    <row r="71" spans="2:5" x14ac:dyDescent="0.2">
      <c r="B71" t="s">
        <v>3377</v>
      </c>
      <c r="C71">
        <v>470</v>
      </c>
      <c r="D71" t="s">
        <v>1532</v>
      </c>
    </row>
    <row r="72" spans="2:5" x14ac:dyDescent="0.2">
      <c r="B72" t="s">
        <v>3378</v>
      </c>
      <c r="C72">
        <v>480</v>
      </c>
      <c r="D72" t="s">
        <v>1532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Z90"/>
  <sheetViews>
    <sheetView zoomScale="70" zoomScaleNormal="70" workbookViewId="0">
      <pane xSplit="4" ySplit="9" topLeftCell="E50" activePane="bottomRight" state="frozen"/>
      <selection pane="topRight" activeCell="E1" sqref="E1"/>
      <selection pane="bottomLeft" activeCell="A10" sqref="A10"/>
      <selection pane="bottomRight" activeCell="CB32" sqref="CB32"/>
    </sheetView>
  </sheetViews>
  <sheetFormatPr defaultRowHeight="12.75" x14ac:dyDescent="0.2"/>
  <cols>
    <col min="1" max="1" width="4.85546875" customWidth="1"/>
    <col min="2" max="2" width="57.7109375" customWidth="1"/>
    <col min="3" max="4" width="10.140625" customWidth="1"/>
    <col min="5" max="6" width="15.140625" customWidth="1"/>
    <col min="7" max="7" width="3.42578125" hidden="1" customWidth="1"/>
    <col min="8" max="10" width="15.140625" customWidth="1"/>
    <col min="12" max="78" width="3" hidden="1" customWidth="1"/>
  </cols>
  <sheetData>
    <row r="1" spans="1:78" ht="16.5" thickTop="1" x14ac:dyDescent="0.25">
      <c r="A1" s="1142" t="s">
        <v>3726</v>
      </c>
      <c r="B1" s="1139" t="str">
        <f>OrgName</f>
        <v>ZZZ NHS TRUST</v>
      </c>
      <c r="C1" s="1122"/>
      <c r="D1" s="1122"/>
      <c r="E1" s="1177" t="str">
        <f>HYPERLINK(CHAR(35)&amp;"1415TRU_Index_P13"&amp;"!A1","GoTo Index tab")</f>
        <v>GoTo Index tab</v>
      </c>
      <c r="G1" s="404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</row>
    <row r="2" spans="1:78" x14ac:dyDescent="0.2">
      <c r="A2" s="1143" t="s">
        <v>3727</v>
      </c>
      <c r="B2" s="1137" t="str">
        <f>"Org Code: " &amp; Orgcode</f>
        <v>Org Code: ZZZ</v>
      </c>
      <c r="C2" s="1119"/>
      <c r="D2" s="1119"/>
      <c r="E2" s="1135"/>
    </row>
    <row r="3" spans="1:78" x14ac:dyDescent="0.2">
      <c r="A3" s="1143" t="s">
        <v>3731</v>
      </c>
      <c r="B3" s="1138" t="s">
        <v>3725</v>
      </c>
      <c r="C3" s="1125"/>
      <c r="D3" s="1125"/>
      <c r="E3" s="1136"/>
    </row>
    <row r="4" spans="1:78" x14ac:dyDescent="0.2">
      <c r="A4" s="99"/>
      <c r="B4" s="102" t="s">
        <v>381</v>
      </c>
    </row>
    <row r="5" spans="1:78" x14ac:dyDescent="0.2">
      <c r="A5" s="99"/>
      <c r="B5" s="97" t="s">
        <v>66</v>
      </c>
      <c r="G5" s="108"/>
    </row>
    <row r="6" spans="1:78" ht="13.5" thickBot="1" x14ac:dyDescent="0.25">
      <c r="A6" s="99"/>
    </row>
    <row r="7" spans="1:78" ht="13.5" thickTop="1" x14ac:dyDescent="0.2">
      <c r="A7" s="99"/>
      <c r="B7" s="242"/>
      <c r="C7" s="195"/>
      <c r="D7" s="195" t="s">
        <v>25</v>
      </c>
      <c r="E7" s="353" t="s">
        <v>235</v>
      </c>
      <c r="F7" s="353" t="s">
        <v>236</v>
      </c>
      <c r="G7" s="97"/>
      <c r="H7" s="353" t="s">
        <v>294</v>
      </c>
      <c r="I7" s="353" t="s">
        <v>295</v>
      </c>
      <c r="J7" s="293" t="s">
        <v>296</v>
      </c>
      <c r="K7" s="97"/>
    </row>
    <row r="8" spans="1:78" ht="38.25" x14ac:dyDescent="0.2">
      <c r="A8" s="99"/>
      <c r="B8" s="198" t="s">
        <v>383</v>
      </c>
      <c r="C8" s="199" t="s">
        <v>238</v>
      </c>
      <c r="D8" s="199"/>
      <c r="E8" s="201" t="s">
        <v>384</v>
      </c>
      <c r="F8" s="201" t="s">
        <v>385</v>
      </c>
      <c r="G8" s="97"/>
      <c r="H8" s="201" t="s">
        <v>338</v>
      </c>
      <c r="I8" s="201" t="s">
        <v>339</v>
      </c>
      <c r="J8" s="202" t="s">
        <v>386</v>
      </c>
      <c r="K8" s="97"/>
    </row>
    <row r="9" spans="1:78" ht="13.5" thickBot="1" x14ac:dyDescent="0.25">
      <c r="A9" s="99"/>
      <c r="B9" s="198"/>
      <c r="C9" s="204" t="s">
        <v>242</v>
      </c>
      <c r="D9" s="204"/>
      <c r="E9" s="278" t="s">
        <v>243</v>
      </c>
      <c r="F9" s="278" t="s">
        <v>243</v>
      </c>
      <c r="G9" s="97"/>
      <c r="H9" s="278" t="s">
        <v>243</v>
      </c>
      <c r="I9" s="278" t="s">
        <v>243</v>
      </c>
      <c r="J9" s="202" t="s">
        <v>243</v>
      </c>
      <c r="K9" s="97"/>
    </row>
    <row r="10" spans="1:78" ht="30" customHeight="1" x14ac:dyDescent="0.2">
      <c r="B10" s="1098" t="s">
        <v>305</v>
      </c>
      <c r="C10" s="207">
        <v>100</v>
      </c>
      <c r="D10" s="206" t="s">
        <v>251</v>
      </c>
      <c r="E10" s="463"/>
      <c r="F10" s="463"/>
      <c r="G10" s="97"/>
      <c r="H10" s="463"/>
      <c r="I10" s="463"/>
      <c r="J10" s="465">
        <f t="shared" ref="J10:J17" si="0">SUM(E10:I10)</f>
        <v>0</v>
      </c>
    </row>
    <row r="11" spans="1:78" hidden="1" x14ac:dyDescent="0.2">
      <c r="A11" s="99"/>
      <c r="B11" s="97" t="s">
        <v>304</v>
      </c>
      <c r="C11" s="172">
        <v>101</v>
      </c>
      <c r="D11" s="157" t="s">
        <v>251</v>
      </c>
      <c r="J11" s="97">
        <f t="shared" si="0"/>
        <v>0</v>
      </c>
    </row>
    <row r="12" spans="1:78" hidden="1" x14ac:dyDescent="0.2">
      <c r="A12" s="105"/>
      <c r="B12" s="97" t="s">
        <v>303</v>
      </c>
      <c r="C12" s="172">
        <v>102</v>
      </c>
      <c r="D12" s="157" t="s">
        <v>251</v>
      </c>
      <c r="E12" s="97"/>
      <c r="F12" s="97"/>
      <c r="H12" s="97"/>
      <c r="I12" s="97"/>
      <c r="J12" s="97">
        <f t="shared" si="0"/>
        <v>0</v>
      </c>
    </row>
    <row r="13" spans="1:78" hidden="1" x14ac:dyDescent="0.2">
      <c r="A13" s="105"/>
      <c r="B13" s="97" t="s">
        <v>387</v>
      </c>
      <c r="C13" s="172">
        <v>103</v>
      </c>
      <c r="D13" s="157" t="s">
        <v>251</v>
      </c>
      <c r="J13">
        <f t="shared" si="0"/>
        <v>0</v>
      </c>
    </row>
    <row r="14" spans="1:78" hidden="1" x14ac:dyDescent="0.2">
      <c r="A14" s="99"/>
      <c r="B14" s="97" t="s">
        <v>388</v>
      </c>
      <c r="C14" s="172">
        <v>104</v>
      </c>
      <c r="D14" s="157" t="s">
        <v>251</v>
      </c>
      <c r="E14" s="97"/>
      <c r="F14" s="97"/>
      <c r="H14" s="97"/>
      <c r="I14" s="97"/>
      <c r="J14" s="97">
        <f t="shared" si="0"/>
        <v>0</v>
      </c>
    </row>
    <row r="15" spans="1:78" ht="21.95" customHeight="1" x14ac:dyDescent="0.2">
      <c r="B15" s="406" t="s">
        <v>389</v>
      </c>
      <c r="C15" s="251">
        <v>105</v>
      </c>
      <c r="D15" s="250" t="s">
        <v>251</v>
      </c>
      <c r="E15" s="253">
        <f>E17-E10</f>
        <v>0</v>
      </c>
      <c r="F15" s="253">
        <f>F17-F10</f>
        <v>0</v>
      </c>
      <c r="H15" s="253">
        <f>H17-H10</f>
        <v>0</v>
      </c>
      <c r="I15" s="253">
        <f>I17-I10</f>
        <v>0</v>
      </c>
      <c r="J15" s="407">
        <f t="shared" si="0"/>
        <v>0</v>
      </c>
    </row>
    <row r="16" spans="1:78" hidden="1" x14ac:dyDescent="0.2">
      <c r="A16" s="99"/>
      <c r="B16" s="97" t="s">
        <v>390</v>
      </c>
      <c r="C16" s="172">
        <v>106</v>
      </c>
      <c r="D16" s="157" t="s">
        <v>251</v>
      </c>
      <c r="J16">
        <f t="shared" si="0"/>
        <v>0</v>
      </c>
    </row>
    <row r="17" spans="1:78" ht="30" customHeight="1" thickBot="1" x14ac:dyDescent="0.25">
      <c r="B17" s="355" t="s">
        <v>391</v>
      </c>
      <c r="C17" s="409">
        <v>107</v>
      </c>
      <c r="D17" s="408" t="s">
        <v>251</v>
      </c>
      <c r="E17" s="1089"/>
      <c r="F17" s="1089"/>
      <c r="G17" s="97"/>
      <c r="H17" s="1090"/>
      <c r="I17" s="1089"/>
      <c r="J17" s="415">
        <f t="shared" si="0"/>
        <v>0</v>
      </c>
    </row>
    <row r="18" spans="1:78" ht="21.95" customHeight="1" thickTop="1" x14ac:dyDescent="0.2">
      <c r="B18" s="411" t="s">
        <v>392</v>
      </c>
      <c r="C18" s="412"/>
      <c r="D18" s="413"/>
      <c r="E18" s="414"/>
      <c r="F18" s="414"/>
      <c r="H18" s="414"/>
      <c r="I18" s="414"/>
      <c r="J18" s="416"/>
    </row>
    <row r="19" spans="1:78" hidden="1" x14ac:dyDescent="0.2">
      <c r="A19" s="99"/>
      <c r="B19" t="s">
        <v>393</v>
      </c>
      <c r="C19" s="172">
        <v>110</v>
      </c>
      <c r="D19" s="157" t="s">
        <v>251</v>
      </c>
      <c r="J19" s="97"/>
    </row>
    <row r="20" spans="1:78" ht="21.95" customHeight="1" x14ac:dyDescent="0.2">
      <c r="B20" s="188" t="s">
        <v>394</v>
      </c>
      <c r="C20" s="251">
        <v>120</v>
      </c>
      <c r="D20" s="250" t="s">
        <v>251</v>
      </c>
      <c r="E20" s="321"/>
      <c r="F20" s="306">
        <v>0</v>
      </c>
      <c r="H20" s="321"/>
      <c r="I20" s="321"/>
      <c r="J20" s="415">
        <f t="shared" ref="J20:J27" si="1">SUM(E20:I20)</f>
        <v>0</v>
      </c>
    </row>
    <row r="21" spans="1:78" ht="27" customHeight="1" x14ac:dyDescent="0.2">
      <c r="B21" s="245" t="s">
        <v>395</v>
      </c>
      <c r="C21" s="218">
        <v>130</v>
      </c>
      <c r="D21" s="217" t="s">
        <v>251</v>
      </c>
      <c r="E21" s="324"/>
      <c r="F21" s="324"/>
      <c r="H21" s="300">
        <f>('1415TRU12_PPE_P13'!M29-'1415TRU12_PPE_P13'!M48)</f>
        <v>0</v>
      </c>
      <c r="I21" s="324"/>
      <c r="J21" s="227">
        <f t="shared" si="1"/>
        <v>0</v>
      </c>
    </row>
    <row r="22" spans="1:78" ht="21.95" customHeight="1" x14ac:dyDescent="0.2">
      <c r="B22" s="213" t="s">
        <v>396</v>
      </c>
      <c r="C22" s="218">
        <v>140</v>
      </c>
      <c r="D22" s="217" t="s">
        <v>251</v>
      </c>
      <c r="E22" s="324"/>
      <c r="F22" s="324"/>
      <c r="H22" s="300">
        <f>('1415TRU13_INT_P13'!J27-'1415TRU13_INT_P13'!J46)</f>
        <v>0</v>
      </c>
      <c r="I22" s="324"/>
      <c r="J22" s="227">
        <f t="shared" si="1"/>
        <v>0</v>
      </c>
    </row>
    <row r="23" spans="1:78" ht="21.95" customHeight="1" x14ac:dyDescent="0.2">
      <c r="B23" s="213" t="s">
        <v>397</v>
      </c>
      <c r="C23" s="218">
        <v>150</v>
      </c>
      <c r="D23" s="217" t="s">
        <v>251</v>
      </c>
      <c r="E23" s="324"/>
      <c r="F23" s="324"/>
      <c r="H23" s="300">
        <f>'1415TRU16_AST_P13'!E187</f>
        <v>0</v>
      </c>
      <c r="I23" s="324"/>
      <c r="J23" s="227">
        <f t="shared" si="1"/>
        <v>0</v>
      </c>
    </row>
    <row r="24" spans="1:78" ht="27" customHeight="1" x14ac:dyDescent="0.2">
      <c r="B24" s="245" t="s">
        <v>398</v>
      </c>
      <c r="C24" s="218">
        <v>155</v>
      </c>
      <c r="D24" s="217" t="s">
        <v>251</v>
      </c>
      <c r="E24" s="324"/>
      <c r="F24" s="324"/>
      <c r="H24" s="228"/>
      <c r="I24" s="324"/>
      <c r="J24" s="227">
        <f t="shared" si="1"/>
        <v>0</v>
      </c>
    </row>
    <row r="25" spans="1:78" ht="21.95" customHeight="1" x14ac:dyDescent="0.2">
      <c r="B25" s="213" t="s">
        <v>399</v>
      </c>
      <c r="C25" s="218">
        <v>170</v>
      </c>
      <c r="D25" s="217" t="s">
        <v>251</v>
      </c>
      <c r="E25" s="324"/>
      <c r="F25" s="324"/>
      <c r="H25" s="228"/>
      <c r="I25" s="324"/>
      <c r="J25" s="227">
        <f t="shared" si="1"/>
        <v>0</v>
      </c>
    </row>
    <row r="26" spans="1:78" ht="21.95" customHeight="1" x14ac:dyDescent="0.2">
      <c r="B26" s="213" t="s">
        <v>263</v>
      </c>
      <c r="C26" s="218">
        <v>180</v>
      </c>
      <c r="D26" s="217" t="s">
        <v>251</v>
      </c>
      <c r="E26" s="324"/>
      <c r="F26" s="324"/>
      <c r="H26" s="324"/>
      <c r="I26" s="228"/>
      <c r="J26" s="227">
        <f t="shared" si="1"/>
        <v>0</v>
      </c>
    </row>
    <row r="27" spans="1:78" ht="21.95" customHeight="1" x14ac:dyDescent="0.2">
      <c r="B27" s="214" t="s">
        <v>400</v>
      </c>
      <c r="C27" s="218">
        <v>190</v>
      </c>
      <c r="D27" s="217" t="s">
        <v>251</v>
      </c>
      <c r="E27" s="324"/>
      <c r="F27" s="228"/>
      <c r="H27" s="228"/>
      <c r="I27" s="228"/>
      <c r="J27" s="225">
        <f t="shared" si="1"/>
        <v>0</v>
      </c>
    </row>
    <row r="28" spans="1:78" hidden="1" x14ac:dyDescent="0.2">
      <c r="A28" s="99"/>
      <c r="B28" s="99" t="s">
        <v>401</v>
      </c>
      <c r="C28" s="172">
        <v>215</v>
      </c>
      <c r="D28" s="157" t="s">
        <v>251</v>
      </c>
      <c r="E28" s="99"/>
      <c r="F28" s="105"/>
      <c r="G28" s="99"/>
      <c r="H28" s="99"/>
      <c r="I28" s="99"/>
      <c r="J28" s="102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</row>
    <row r="29" spans="1:78" hidden="1" x14ac:dyDescent="0.2">
      <c r="A29" s="99"/>
      <c r="B29" s="99" t="s">
        <v>402</v>
      </c>
      <c r="C29" s="172">
        <v>217</v>
      </c>
      <c r="D29" s="157" t="s">
        <v>251</v>
      </c>
      <c r="E29" s="99"/>
      <c r="F29" s="105"/>
      <c r="G29" s="99"/>
      <c r="H29" s="99"/>
      <c r="I29" s="99"/>
      <c r="J29" s="102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</row>
    <row r="30" spans="1:78" ht="21.95" customHeight="1" x14ac:dyDescent="0.2">
      <c r="B30" s="198" t="s">
        <v>268</v>
      </c>
      <c r="C30" s="417"/>
      <c r="D30" s="418"/>
      <c r="E30" s="419"/>
      <c r="F30" s="419"/>
      <c r="H30" s="419"/>
      <c r="I30" s="419"/>
      <c r="J30" s="421"/>
    </row>
    <row r="31" spans="1:78" ht="27" customHeight="1" x14ac:dyDescent="0.2">
      <c r="B31" s="354" t="s">
        <v>403</v>
      </c>
      <c r="C31" s="251">
        <v>220</v>
      </c>
      <c r="D31" s="250" t="s">
        <v>251</v>
      </c>
      <c r="E31" s="321"/>
      <c r="F31" s="422"/>
      <c r="H31" s="422"/>
      <c r="I31" s="422"/>
      <c r="J31" s="415">
        <f>SUM(E31:I31)</f>
        <v>0</v>
      </c>
    </row>
    <row r="32" spans="1:78" ht="27" customHeight="1" x14ac:dyDescent="0.2">
      <c r="B32" s="244" t="s">
        <v>404</v>
      </c>
      <c r="C32" s="218">
        <v>225</v>
      </c>
      <c r="D32" s="217" t="s">
        <v>251</v>
      </c>
      <c r="E32" s="324"/>
      <c r="F32" s="220">
        <f>H32*-1</f>
        <v>0</v>
      </c>
      <c r="H32" s="228"/>
      <c r="I32" s="324"/>
      <c r="J32" s="225">
        <f>SUM(E32:I32)</f>
        <v>0</v>
      </c>
    </row>
    <row r="33" spans="1:78" hidden="1" x14ac:dyDescent="0.2">
      <c r="A33" s="179"/>
      <c r="B33" s="108"/>
      <c r="C33" s="97"/>
      <c r="J33" s="97"/>
    </row>
    <row r="34" spans="1:78" ht="21.95" customHeight="1" x14ac:dyDescent="0.2">
      <c r="B34" s="188" t="s">
        <v>405</v>
      </c>
      <c r="C34" s="251">
        <v>230</v>
      </c>
      <c r="D34" s="250" t="s">
        <v>251</v>
      </c>
      <c r="E34" s="321"/>
      <c r="F34" s="321"/>
      <c r="H34" s="422"/>
      <c r="I34" s="321"/>
      <c r="J34" s="415">
        <f>SUM(E34:I34)</f>
        <v>0</v>
      </c>
    </row>
    <row r="35" spans="1:78" ht="21.95" customHeight="1" x14ac:dyDescent="0.2">
      <c r="B35" s="213" t="s">
        <v>406</v>
      </c>
      <c r="C35" s="218">
        <v>240</v>
      </c>
      <c r="D35" s="217" t="s">
        <v>245</v>
      </c>
      <c r="E35" s="324"/>
      <c r="F35" s="228"/>
      <c r="H35" s="228"/>
      <c r="I35" s="228"/>
      <c r="J35" s="227">
        <f>SUM(E35:I35)</f>
        <v>0</v>
      </c>
    </row>
    <row r="36" spans="1:78" ht="21.95" customHeight="1" x14ac:dyDescent="0.2">
      <c r="B36" s="213" t="s">
        <v>407</v>
      </c>
      <c r="C36" s="218">
        <v>250</v>
      </c>
      <c r="D36" s="217" t="s">
        <v>248</v>
      </c>
      <c r="E36" s="1182">
        <v>0</v>
      </c>
      <c r="F36" s="324"/>
      <c r="H36" s="324"/>
      <c r="I36" s="324"/>
      <c r="J36" s="227">
        <f>SUM(E36:I36)</f>
        <v>0</v>
      </c>
    </row>
    <row r="37" spans="1:78" ht="21.95" customHeight="1" x14ac:dyDescent="0.2">
      <c r="B37" s="214" t="s">
        <v>408</v>
      </c>
      <c r="C37" s="218">
        <v>260</v>
      </c>
      <c r="D37" s="217" t="s">
        <v>248</v>
      </c>
      <c r="E37" s="1182">
        <v>0</v>
      </c>
      <c r="F37" s="324"/>
      <c r="H37" s="324"/>
      <c r="I37" s="324"/>
      <c r="J37" s="225">
        <f>SUM(E37:I37)</f>
        <v>0</v>
      </c>
    </row>
    <row r="38" spans="1:78" hidden="1" x14ac:dyDescent="0.2">
      <c r="A38" s="99"/>
      <c r="B38" s="423" t="s">
        <v>409</v>
      </c>
      <c r="C38" s="172">
        <v>265</v>
      </c>
      <c r="D38" s="157" t="s">
        <v>251</v>
      </c>
      <c r="E38" s="99"/>
      <c r="F38" s="99"/>
      <c r="G38" s="99"/>
      <c r="H38" s="99"/>
      <c r="I38" s="99"/>
      <c r="J38" s="102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</row>
    <row r="39" spans="1:78" ht="21.95" customHeight="1" x14ac:dyDescent="0.2">
      <c r="B39" s="188" t="s">
        <v>410</v>
      </c>
      <c r="C39" s="251">
        <v>270</v>
      </c>
      <c r="D39" s="250" t="s">
        <v>245</v>
      </c>
      <c r="E39" s="1187">
        <v>0</v>
      </c>
      <c r="F39" s="321"/>
      <c r="H39" s="321"/>
      <c r="I39" s="321"/>
      <c r="J39" s="415">
        <f t="shared" ref="J39:J44" si="2">SUM(E39:I39)</f>
        <v>0</v>
      </c>
    </row>
    <row r="40" spans="1:78" ht="21.95" customHeight="1" x14ac:dyDescent="0.2">
      <c r="B40" s="213" t="s">
        <v>411</v>
      </c>
      <c r="C40" s="218">
        <v>280</v>
      </c>
      <c r="D40" s="217" t="s">
        <v>245</v>
      </c>
      <c r="E40" s="1182">
        <v>0</v>
      </c>
      <c r="F40" s="324"/>
      <c r="H40" s="324"/>
      <c r="I40" s="324"/>
      <c r="J40" s="227">
        <f t="shared" si="2"/>
        <v>0</v>
      </c>
    </row>
    <row r="41" spans="1:78" ht="27" customHeight="1" x14ac:dyDescent="0.2">
      <c r="B41" s="245" t="s">
        <v>412</v>
      </c>
      <c r="C41" s="218">
        <v>290</v>
      </c>
      <c r="D41" s="217" t="s">
        <v>251</v>
      </c>
      <c r="E41" s="1182">
        <v>0</v>
      </c>
      <c r="F41" s="228"/>
      <c r="H41" s="228"/>
      <c r="I41" s="228"/>
      <c r="J41" s="227">
        <f t="shared" si="2"/>
        <v>0</v>
      </c>
    </row>
    <row r="42" spans="1:78" ht="21.95" customHeight="1" x14ac:dyDescent="0.2">
      <c r="B42" s="213" t="s">
        <v>413</v>
      </c>
      <c r="C42" s="218">
        <v>300</v>
      </c>
      <c r="D42" s="217" t="s">
        <v>251</v>
      </c>
      <c r="E42" s="1182">
        <v>0</v>
      </c>
      <c r="F42" s="228"/>
      <c r="H42" s="228"/>
      <c r="I42" s="228"/>
      <c r="J42" s="227">
        <f t="shared" si="2"/>
        <v>0</v>
      </c>
    </row>
    <row r="43" spans="1:78" ht="21.95" customHeight="1" x14ac:dyDescent="0.2">
      <c r="B43" s="213" t="s">
        <v>414</v>
      </c>
      <c r="C43" s="218">
        <v>310</v>
      </c>
      <c r="D43" s="217" t="s">
        <v>251</v>
      </c>
      <c r="E43" s="324"/>
      <c r="F43" s="324"/>
      <c r="H43" s="324"/>
      <c r="I43" s="228"/>
      <c r="J43" s="227">
        <f t="shared" si="2"/>
        <v>0</v>
      </c>
    </row>
    <row r="44" spans="1:78" ht="21.95" customHeight="1" x14ac:dyDescent="0.2">
      <c r="B44" s="213" t="s">
        <v>415</v>
      </c>
      <c r="C44" s="218">
        <v>315</v>
      </c>
      <c r="D44" s="217" t="s">
        <v>251</v>
      </c>
      <c r="E44" s="324"/>
      <c r="F44" s="324"/>
      <c r="H44" s="324"/>
      <c r="I44" s="228"/>
      <c r="J44" s="227">
        <f t="shared" si="2"/>
        <v>0</v>
      </c>
    </row>
    <row r="45" spans="1:78" ht="30" customHeight="1" x14ac:dyDescent="0.2">
      <c r="B45" s="1099" t="s">
        <v>416</v>
      </c>
      <c r="C45" s="218">
        <v>320</v>
      </c>
      <c r="D45" s="217" t="s">
        <v>251</v>
      </c>
      <c r="E45" s="224">
        <f>SUM(E19:E44)</f>
        <v>0</v>
      </c>
      <c r="F45" s="224">
        <f>SUM(F19:F44)</f>
        <v>0</v>
      </c>
      <c r="G45" s="97"/>
      <c r="H45" s="224">
        <f>SUM(H19:H44)</f>
        <v>0</v>
      </c>
      <c r="I45" s="224">
        <f>SUM(I19:I44)</f>
        <v>0</v>
      </c>
      <c r="J45" s="225">
        <f>SUM(J19:J44)</f>
        <v>0</v>
      </c>
    </row>
    <row r="46" spans="1:78" hidden="1" x14ac:dyDescent="0.2">
      <c r="A46" s="99"/>
      <c r="B46" s="99" t="s">
        <v>417</v>
      </c>
      <c r="C46" s="172">
        <v>340</v>
      </c>
      <c r="D46" s="157" t="s">
        <v>251</v>
      </c>
      <c r="E46" s="99"/>
      <c r="F46" s="99"/>
      <c r="G46" s="99"/>
      <c r="H46" s="99"/>
      <c r="I46" s="99"/>
      <c r="J46" s="102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</row>
    <row r="47" spans="1:78" hidden="1" x14ac:dyDescent="0.2">
      <c r="A47" s="99"/>
      <c r="B47" s="99" t="s">
        <v>418</v>
      </c>
      <c r="C47" s="172">
        <v>345</v>
      </c>
      <c r="D47" s="157" t="s">
        <v>251</v>
      </c>
      <c r="E47" s="99"/>
      <c r="F47" s="99"/>
      <c r="G47" s="99"/>
      <c r="H47" s="99"/>
      <c r="I47" s="99"/>
      <c r="J47" s="102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</row>
    <row r="48" spans="1:78" ht="21.95" customHeight="1" thickBot="1" x14ac:dyDescent="0.25">
      <c r="B48" s="198" t="s">
        <v>419</v>
      </c>
      <c r="C48" s="199">
        <v>350</v>
      </c>
      <c r="D48" s="131" t="s">
        <v>251</v>
      </c>
      <c r="E48" s="427">
        <f>SUM(E45:E47)+E17</f>
        <v>0</v>
      </c>
      <c r="F48" s="427">
        <f>SUM(F45:F47)+F17</f>
        <v>0</v>
      </c>
      <c r="G48" s="97"/>
      <c r="H48" s="427">
        <f>SUM(H45:H47)+H17</f>
        <v>0</v>
      </c>
      <c r="I48" s="427">
        <f>SUM(I45:I47)+I17</f>
        <v>0</v>
      </c>
      <c r="J48" s="415">
        <f>SUM(J45:J47)+J17</f>
        <v>0</v>
      </c>
    </row>
    <row r="49" spans="1:78" ht="13.5" thickTop="1" x14ac:dyDescent="0.2">
      <c r="B49" s="242"/>
      <c r="C49" s="195"/>
      <c r="D49" s="195" t="s">
        <v>25</v>
      </c>
      <c r="E49" s="353" t="s">
        <v>235</v>
      </c>
      <c r="F49" s="353" t="s">
        <v>236</v>
      </c>
      <c r="G49" s="97"/>
      <c r="H49" s="353" t="s">
        <v>294</v>
      </c>
      <c r="I49" s="353" t="s">
        <v>295</v>
      </c>
      <c r="J49" s="293" t="s">
        <v>296</v>
      </c>
    </row>
    <row r="50" spans="1:78" ht="38.25" x14ac:dyDescent="0.2">
      <c r="B50" s="198" t="s">
        <v>420</v>
      </c>
      <c r="C50" s="199" t="s">
        <v>238</v>
      </c>
      <c r="D50" s="199"/>
      <c r="E50" s="201" t="s">
        <v>384</v>
      </c>
      <c r="F50" s="201" t="s">
        <v>385</v>
      </c>
      <c r="G50" s="97"/>
      <c r="H50" s="201" t="s">
        <v>338</v>
      </c>
      <c r="I50" s="201" t="s">
        <v>339</v>
      </c>
      <c r="J50" s="202" t="s">
        <v>386</v>
      </c>
    </row>
    <row r="51" spans="1:78" ht="13.5" thickBot="1" x14ac:dyDescent="0.25">
      <c r="B51" s="198"/>
      <c r="C51" s="204" t="s">
        <v>242</v>
      </c>
      <c r="D51" s="204"/>
      <c r="E51" s="278" t="s">
        <v>243</v>
      </c>
      <c r="F51" s="278" t="s">
        <v>243</v>
      </c>
      <c r="G51" s="97"/>
      <c r="H51" s="278" t="s">
        <v>243</v>
      </c>
      <c r="I51" s="278" t="s">
        <v>243</v>
      </c>
      <c r="J51" s="202" t="s">
        <v>243</v>
      </c>
    </row>
    <row r="52" spans="1:78" ht="21.95" customHeight="1" x14ac:dyDescent="0.2">
      <c r="B52" s="428" t="s">
        <v>421</v>
      </c>
      <c r="C52" s="207">
        <v>400</v>
      </c>
      <c r="D52" s="208" t="s">
        <v>251</v>
      </c>
      <c r="E52" s="451"/>
      <c r="F52" s="451"/>
      <c r="H52" s="451"/>
      <c r="I52" s="451"/>
      <c r="J52" s="452">
        <f t="shared" ref="J52:J59" si="3">SUM(E52:I52)</f>
        <v>0</v>
      </c>
      <c r="K52" s="99"/>
    </row>
    <row r="53" spans="1:78" hidden="1" x14ac:dyDescent="0.2">
      <c r="A53" s="99"/>
      <c r="B53" s="100" t="s">
        <v>304</v>
      </c>
      <c r="C53" s="172">
        <v>410</v>
      </c>
      <c r="D53" s="247" t="s">
        <v>251</v>
      </c>
      <c r="E53" s="100"/>
      <c r="F53" s="100"/>
      <c r="G53" s="99"/>
      <c r="H53" s="100"/>
      <c r="I53" s="100"/>
      <c r="J53" s="100">
        <f t="shared" si="3"/>
        <v>0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</row>
    <row r="54" spans="1:78" hidden="1" x14ac:dyDescent="0.2">
      <c r="A54" s="99"/>
      <c r="B54" s="102" t="s">
        <v>303</v>
      </c>
      <c r="C54" s="172">
        <v>420</v>
      </c>
      <c r="D54" s="247" t="s">
        <v>251</v>
      </c>
      <c r="E54" s="429"/>
      <c r="F54" s="429"/>
      <c r="G54" s="99"/>
      <c r="H54" s="429"/>
      <c r="I54" s="429"/>
      <c r="J54" s="429">
        <f t="shared" si="3"/>
        <v>0</v>
      </c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</row>
    <row r="55" spans="1:78" hidden="1" x14ac:dyDescent="0.2">
      <c r="A55" s="99"/>
      <c r="B55" s="100" t="s">
        <v>387</v>
      </c>
      <c r="C55" s="172">
        <v>430</v>
      </c>
      <c r="D55" s="247" t="s">
        <v>251</v>
      </c>
      <c r="E55" s="100"/>
      <c r="F55" s="100"/>
      <c r="G55" s="99"/>
      <c r="H55" s="100"/>
      <c r="I55" s="100"/>
      <c r="J55" s="100">
        <f t="shared" si="3"/>
        <v>0</v>
      </c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</row>
    <row r="56" spans="1:78" hidden="1" x14ac:dyDescent="0.2">
      <c r="A56" s="99"/>
      <c r="B56" s="102" t="s">
        <v>388</v>
      </c>
      <c r="C56" s="172">
        <v>440</v>
      </c>
      <c r="D56" s="247" t="s">
        <v>251</v>
      </c>
      <c r="E56" s="429"/>
      <c r="F56" s="429"/>
      <c r="G56" s="99"/>
      <c r="H56" s="429"/>
      <c r="I56" s="429"/>
      <c r="J56" s="429">
        <f t="shared" si="3"/>
        <v>0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</row>
    <row r="57" spans="1:78" ht="21.95" customHeight="1" x14ac:dyDescent="0.2">
      <c r="B57" s="249" t="s">
        <v>389</v>
      </c>
      <c r="C57" s="251">
        <v>450</v>
      </c>
      <c r="D57" s="252" t="s">
        <v>251</v>
      </c>
      <c r="E57" s="430"/>
      <c r="F57" s="453"/>
      <c r="H57" s="453"/>
      <c r="I57" s="453"/>
      <c r="J57" s="454">
        <f t="shared" si="3"/>
        <v>0</v>
      </c>
      <c r="K57" s="99"/>
    </row>
    <row r="58" spans="1:78" hidden="1" x14ac:dyDescent="0.2">
      <c r="A58" s="99"/>
      <c r="B58" s="100" t="s">
        <v>390</v>
      </c>
      <c r="C58" s="172">
        <v>460</v>
      </c>
      <c r="D58" s="247" t="s">
        <v>251</v>
      </c>
      <c r="E58" s="100"/>
      <c r="F58" s="100"/>
      <c r="G58" s="99"/>
      <c r="H58" s="100"/>
      <c r="I58" s="100"/>
      <c r="J58" s="100">
        <f t="shared" si="3"/>
        <v>0</v>
      </c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</row>
    <row r="59" spans="1:78" ht="30" customHeight="1" thickBot="1" x14ac:dyDescent="0.25">
      <c r="B59" s="355" t="s">
        <v>391</v>
      </c>
      <c r="C59" s="409">
        <v>470</v>
      </c>
      <c r="D59" s="432" t="s">
        <v>251</v>
      </c>
      <c r="E59" s="455"/>
      <c r="F59" s="455"/>
      <c r="H59" s="455"/>
      <c r="I59" s="455"/>
      <c r="J59" s="456">
        <f t="shared" si="3"/>
        <v>0</v>
      </c>
      <c r="K59" s="99"/>
    </row>
    <row r="60" spans="1:78" ht="21.95" customHeight="1" thickTop="1" x14ac:dyDescent="0.2">
      <c r="B60" s="433" t="s">
        <v>422</v>
      </c>
      <c r="C60" s="412"/>
      <c r="D60" s="434"/>
      <c r="E60" s="435"/>
      <c r="F60" s="435"/>
      <c r="H60" s="435"/>
      <c r="I60" s="435"/>
      <c r="J60" s="437"/>
      <c r="K60" s="99"/>
    </row>
    <row r="61" spans="1:78" hidden="1" x14ac:dyDescent="0.2">
      <c r="A61" s="438"/>
      <c r="B61" s="108"/>
      <c r="C61" s="97"/>
      <c r="D61" s="108"/>
      <c r="E61" s="108"/>
      <c r="F61" s="108"/>
      <c r="H61" s="108"/>
      <c r="I61" s="108"/>
      <c r="J61" s="108"/>
    </row>
    <row r="62" spans="1:78" ht="21.95" customHeight="1" x14ac:dyDescent="0.2">
      <c r="B62" s="254" t="s">
        <v>394</v>
      </c>
      <c r="C62" s="251">
        <v>480</v>
      </c>
      <c r="D62" s="252" t="s">
        <v>251</v>
      </c>
      <c r="E62" s="439"/>
      <c r="F62" s="453"/>
      <c r="H62" s="439"/>
      <c r="I62" s="439"/>
      <c r="J62" s="456">
        <f t="shared" ref="J62:J71" si="4">SUM(E62:I62)</f>
        <v>0</v>
      </c>
      <c r="K62" s="99"/>
    </row>
    <row r="63" spans="1:78" ht="27" customHeight="1" x14ac:dyDescent="0.2">
      <c r="B63" s="266" t="s">
        <v>395</v>
      </c>
      <c r="C63" s="218">
        <v>490</v>
      </c>
      <c r="D63" s="219" t="s">
        <v>251</v>
      </c>
      <c r="E63" s="394"/>
      <c r="F63" s="394"/>
      <c r="H63" s="458"/>
      <c r="I63" s="394"/>
      <c r="J63" s="457">
        <f t="shared" si="4"/>
        <v>0</v>
      </c>
      <c r="K63" s="99"/>
    </row>
    <row r="64" spans="1:78" ht="21.95" customHeight="1" x14ac:dyDescent="0.2">
      <c r="B64" s="231" t="s">
        <v>396</v>
      </c>
      <c r="C64" s="218">
        <v>500</v>
      </c>
      <c r="D64" s="219" t="s">
        <v>251</v>
      </c>
      <c r="E64" s="394"/>
      <c r="F64" s="394"/>
      <c r="H64" s="458"/>
      <c r="I64" s="394"/>
      <c r="J64" s="457">
        <f t="shared" si="4"/>
        <v>0</v>
      </c>
      <c r="K64" s="99"/>
    </row>
    <row r="65" spans="2:11" ht="21.95" customHeight="1" x14ac:dyDescent="0.2">
      <c r="B65" s="231" t="s">
        <v>397</v>
      </c>
      <c r="C65" s="218">
        <v>510</v>
      </c>
      <c r="D65" s="219" t="s">
        <v>251</v>
      </c>
      <c r="E65" s="394"/>
      <c r="F65" s="394"/>
      <c r="H65" s="458"/>
      <c r="I65" s="394"/>
      <c r="J65" s="457">
        <f t="shared" si="4"/>
        <v>0</v>
      </c>
      <c r="K65" s="99"/>
    </row>
    <row r="66" spans="2:11" ht="27" customHeight="1" x14ac:dyDescent="0.2">
      <c r="B66" s="266" t="s">
        <v>398</v>
      </c>
      <c r="C66" s="218">
        <v>520</v>
      </c>
      <c r="D66" s="219" t="s">
        <v>251</v>
      </c>
      <c r="E66" s="394"/>
      <c r="F66" s="394"/>
      <c r="H66" s="458"/>
      <c r="I66" s="394"/>
      <c r="J66" s="457">
        <f t="shared" si="4"/>
        <v>0</v>
      </c>
      <c r="K66" s="99"/>
    </row>
    <row r="67" spans="2:11" ht="21.95" customHeight="1" x14ac:dyDescent="0.2">
      <c r="B67" s="231" t="s">
        <v>399</v>
      </c>
      <c r="C67" s="218">
        <v>530</v>
      </c>
      <c r="D67" s="219" t="s">
        <v>251</v>
      </c>
      <c r="E67" s="394"/>
      <c r="F67" s="394"/>
      <c r="H67" s="458"/>
      <c r="I67" s="394"/>
      <c r="J67" s="457">
        <f t="shared" si="4"/>
        <v>0</v>
      </c>
      <c r="K67" s="99"/>
    </row>
    <row r="68" spans="2:11" ht="21.95" customHeight="1" x14ac:dyDescent="0.2">
      <c r="B68" s="231" t="s">
        <v>423</v>
      </c>
      <c r="C68" s="218">
        <v>540</v>
      </c>
      <c r="D68" s="219" t="s">
        <v>251</v>
      </c>
      <c r="E68" s="394"/>
      <c r="F68" s="394"/>
      <c r="H68" s="394"/>
      <c r="I68" s="458"/>
      <c r="J68" s="457">
        <f t="shared" si="4"/>
        <v>0</v>
      </c>
      <c r="K68" s="99"/>
    </row>
    <row r="69" spans="2:11" ht="21.95" customHeight="1" x14ac:dyDescent="0.2">
      <c r="B69" s="231" t="s">
        <v>400</v>
      </c>
      <c r="C69" s="218">
        <v>550</v>
      </c>
      <c r="D69" s="219" t="s">
        <v>251</v>
      </c>
      <c r="E69" s="394"/>
      <c r="F69" s="458"/>
      <c r="H69" s="458"/>
      <c r="I69" s="458"/>
      <c r="J69" s="457">
        <f t="shared" si="4"/>
        <v>0</v>
      </c>
      <c r="K69" s="99"/>
    </row>
    <row r="70" spans="2:11" ht="27" customHeight="1" x14ac:dyDescent="0.2">
      <c r="B70" s="266" t="s">
        <v>401</v>
      </c>
      <c r="C70" s="218">
        <v>560</v>
      </c>
      <c r="D70" s="219" t="s">
        <v>251</v>
      </c>
      <c r="E70" s="394"/>
      <c r="F70" s="459"/>
      <c r="H70" s="444"/>
      <c r="I70" s="394"/>
      <c r="J70" s="457">
        <f t="shared" si="4"/>
        <v>0</v>
      </c>
      <c r="K70" s="99"/>
    </row>
    <row r="71" spans="2:11" ht="27" customHeight="1" x14ac:dyDescent="0.2">
      <c r="B71" s="266" t="s">
        <v>402</v>
      </c>
      <c r="C71" s="218">
        <v>570</v>
      </c>
      <c r="D71" s="219" t="s">
        <v>251</v>
      </c>
      <c r="E71" s="394"/>
      <c r="F71" s="459"/>
      <c r="H71" s="394"/>
      <c r="I71" s="394"/>
      <c r="J71" s="457">
        <f t="shared" si="4"/>
        <v>0</v>
      </c>
      <c r="K71" s="99"/>
    </row>
    <row r="72" spans="2:11" ht="21.95" customHeight="1" x14ac:dyDescent="0.2">
      <c r="B72" s="445" t="s">
        <v>268</v>
      </c>
      <c r="C72" s="446"/>
      <c r="D72" s="446"/>
      <c r="E72" s="257"/>
      <c r="F72" s="257"/>
      <c r="H72" s="257"/>
      <c r="I72" s="257"/>
      <c r="J72" s="447"/>
      <c r="K72" s="99"/>
    </row>
    <row r="73" spans="2:11" ht="27" customHeight="1" x14ac:dyDescent="0.2">
      <c r="B73" s="1100" t="s">
        <v>403</v>
      </c>
      <c r="C73" s="251">
        <v>580</v>
      </c>
      <c r="D73" s="252" t="s">
        <v>251</v>
      </c>
      <c r="E73" s="453"/>
      <c r="F73" s="453"/>
      <c r="H73" s="453"/>
      <c r="I73" s="453"/>
      <c r="J73" s="456">
        <f t="shared" ref="J73:J89" si="5">SUM(E73:I73)</f>
        <v>0</v>
      </c>
      <c r="K73" s="99"/>
    </row>
    <row r="74" spans="2:11" ht="27" customHeight="1" x14ac:dyDescent="0.2">
      <c r="B74" s="266" t="s">
        <v>404</v>
      </c>
      <c r="C74" s="218">
        <v>590</v>
      </c>
      <c r="D74" s="219" t="s">
        <v>251</v>
      </c>
      <c r="E74" s="394"/>
      <c r="F74" s="458"/>
      <c r="H74" s="458"/>
      <c r="I74" s="394"/>
      <c r="J74" s="457">
        <f t="shared" si="5"/>
        <v>0</v>
      </c>
      <c r="K74" s="99"/>
    </row>
    <row r="75" spans="2:11" ht="21.95" customHeight="1" x14ac:dyDescent="0.2">
      <c r="B75" s="231" t="s">
        <v>405</v>
      </c>
      <c r="C75" s="218">
        <v>600</v>
      </c>
      <c r="D75" s="219" t="s">
        <v>251</v>
      </c>
      <c r="E75" s="394"/>
      <c r="F75" s="394"/>
      <c r="H75" s="458"/>
      <c r="I75" s="394"/>
      <c r="J75" s="457">
        <f t="shared" si="5"/>
        <v>0</v>
      </c>
      <c r="K75" s="99"/>
    </row>
    <row r="76" spans="2:11" ht="21.95" customHeight="1" x14ac:dyDescent="0.2">
      <c r="B76" s="231" t="s">
        <v>406</v>
      </c>
      <c r="C76" s="218">
        <v>610</v>
      </c>
      <c r="D76" s="219" t="s">
        <v>245</v>
      </c>
      <c r="E76" s="458"/>
      <c r="F76" s="458"/>
      <c r="H76" s="458"/>
      <c r="I76" s="458"/>
      <c r="J76" s="457">
        <f t="shared" si="5"/>
        <v>0</v>
      </c>
      <c r="K76" s="99"/>
    </row>
    <row r="77" spans="2:11" ht="21.95" customHeight="1" x14ac:dyDescent="0.2">
      <c r="B77" s="231" t="s">
        <v>407</v>
      </c>
      <c r="C77" s="218">
        <v>620</v>
      </c>
      <c r="D77" s="219" t="s">
        <v>248</v>
      </c>
      <c r="E77" s="458"/>
      <c r="F77" s="394"/>
      <c r="H77" s="394"/>
      <c r="I77" s="394"/>
      <c r="J77" s="457">
        <f t="shared" si="5"/>
        <v>0</v>
      </c>
      <c r="K77" s="99"/>
    </row>
    <row r="78" spans="2:11" ht="21.95" customHeight="1" x14ac:dyDescent="0.2">
      <c r="B78" s="449" t="s">
        <v>424</v>
      </c>
      <c r="C78" s="218">
        <v>630</v>
      </c>
      <c r="D78" s="219" t="s">
        <v>248</v>
      </c>
      <c r="E78" s="460"/>
      <c r="F78" s="394"/>
      <c r="H78" s="394"/>
      <c r="I78" s="394"/>
      <c r="J78" s="457">
        <f t="shared" si="5"/>
        <v>0</v>
      </c>
      <c r="K78" s="99"/>
    </row>
    <row r="79" spans="2:11" ht="27" customHeight="1" x14ac:dyDescent="0.2">
      <c r="B79" s="450" t="s">
        <v>409</v>
      </c>
      <c r="C79" s="218">
        <v>640</v>
      </c>
      <c r="D79" s="219" t="s">
        <v>245</v>
      </c>
      <c r="E79" s="458"/>
      <c r="F79" s="394"/>
      <c r="H79" s="394"/>
      <c r="I79" s="394"/>
      <c r="J79" s="457">
        <f t="shared" si="5"/>
        <v>0</v>
      </c>
      <c r="K79" s="99"/>
    </row>
    <row r="80" spans="2:11" ht="21.95" customHeight="1" x14ac:dyDescent="0.2">
      <c r="B80" s="449" t="s">
        <v>425</v>
      </c>
      <c r="C80" s="218">
        <v>650</v>
      </c>
      <c r="D80" s="219" t="s">
        <v>245</v>
      </c>
      <c r="E80" s="300"/>
      <c r="F80" s="394"/>
      <c r="H80" s="394"/>
      <c r="I80" s="394"/>
      <c r="J80" s="1195">
        <f t="shared" si="5"/>
        <v>0</v>
      </c>
    </row>
    <row r="81" spans="1:11" ht="21.95" customHeight="1" x14ac:dyDescent="0.2">
      <c r="B81" s="449" t="s">
        <v>411</v>
      </c>
      <c r="C81" s="218">
        <v>655</v>
      </c>
      <c r="D81" s="219" t="s">
        <v>245</v>
      </c>
      <c r="E81" s="300"/>
      <c r="F81" s="394"/>
      <c r="H81" s="394"/>
      <c r="I81" s="394"/>
      <c r="J81" s="1195">
        <f t="shared" si="5"/>
        <v>0</v>
      </c>
    </row>
    <row r="82" spans="1:11" ht="21.95" customHeight="1" x14ac:dyDescent="0.2">
      <c r="B82" s="231" t="s">
        <v>426</v>
      </c>
      <c r="C82" s="218">
        <v>660</v>
      </c>
      <c r="D82" s="219" t="s">
        <v>245</v>
      </c>
      <c r="E82" s="300"/>
      <c r="F82" s="300"/>
      <c r="H82" s="300"/>
      <c r="I82" s="300"/>
      <c r="J82" s="1195">
        <f t="shared" si="5"/>
        <v>0</v>
      </c>
    </row>
    <row r="83" spans="1:11" ht="21.95" customHeight="1" x14ac:dyDescent="0.2">
      <c r="B83" s="231" t="s">
        <v>427</v>
      </c>
      <c r="C83" s="218">
        <v>670</v>
      </c>
      <c r="D83" s="219" t="s">
        <v>251</v>
      </c>
      <c r="E83" s="300"/>
      <c r="F83" s="459"/>
      <c r="H83" s="459"/>
      <c r="I83" s="459"/>
      <c r="J83" s="1195">
        <f t="shared" si="5"/>
        <v>0</v>
      </c>
    </row>
    <row r="84" spans="1:11" ht="21.95" customHeight="1" x14ac:dyDescent="0.2">
      <c r="B84" s="231" t="s">
        <v>414</v>
      </c>
      <c r="C84" s="218">
        <v>680</v>
      </c>
      <c r="D84" s="219" t="s">
        <v>251</v>
      </c>
      <c r="E84" s="394"/>
      <c r="F84" s="394"/>
      <c r="H84" s="394"/>
      <c r="I84" s="300"/>
      <c r="J84" s="1195">
        <f t="shared" si="5"/>
        <v>0</v>
      </c>
    </row>
    <row r="85" spans="1:11" ht="21.95" customHeight="1" x14ac:dyDescent="0.2">
      <c r="B85" s="231" t="s">
        <v>428</v>
      </c>
      <c r="C85" s="218">
        <v>685</v>
      </c>
      <c r="D85" s="219" t="s">
        <v>251</v>
      </c>
      <c r="E85" s="394"/>
      <c r="F85" s="394"/>
      <c r="H85" s="394"/>
      <c r="I85" s="300"/>
      <c r="J85" s="457">
        <f t="shared" si="5"/>
        <v>0</v>
      </c>
    </row>
    <row r="86" spans="1:11" ht="30" customHeight="1" x14ac:dyDescent="0.2">
      <c r="B86" s="336" t="s">
        <v>429</v>
      </c>
      <c r="C86" s="218">
        <v>690</v>
      </c>
      <c r="D86" s="219" t="s">
        <v>251</v>
      </c>
      <c r="E86" s="461"/>
      <c r="F86" s="461"/>
      <c r="H86" s="461"/>
      <c r="I86" s="461"/>
      <c r="J86" s="299">
        <f t="shared" si="5"/>
        <v>0</v>
      </c>
    </row>
    <row r="87" spans="1:11" ht="27" customHeight="1" x14ac:dyDescent="0.2">
      <c r="B87" s="266" t="s">
        <v>417</v>
      </c>
      <c r="C87" s="218">
        <v>700</v>
      </c>
      <c r="D87" s="219" t="s">
        <v>251</v>
      </c>
      <c r="E87" s="394"/>
      <c r="F87" s="460"/>
      <c r="H87" s="460"/>
      <c r="I87" s="460"/>
      <c r="J87" s="457">
        <f t="shared" si="5"/>
        <v>0</v>
      </c>
    </row>
    <row r="88" spans="1:11" ht="27" customHeight="1" x14ac:dyDescent="0.2">
      <c r="B88" s="266" t="s">
        <v>418</v>
      </c>
      <c r="C88" s="234">
        <v>705</v>
      </c>
      <c r="D88" s="267" t="s">
        <v>251</v>
      </c>
      <c r="E88" s="257"/>
      <c r="F88" s="462"/>
      <c r="H88" s="462"/>
      <c r="I88" s="462"/>
      <c r="J88" s="299">
        <f t="shared" si="5"/>
        <v>0</v>
      </c>
    </row>
    <row r="89" spans="1:11" ht="21.95" customHeight="1" thickBot="1" x14ac:dyDescent="0.25">
      <c r="B89" s="233" t="s">
        <v>430</v>
      </c>
      <c r="C89" s="236">
        <v>710</v>
      </c>
      <c r="D89" s="235" t="s">
        <v>251</v>
      </c>
      <c r="E89" s="464"/>
      <c r="F89" s="464"/>
      <c r="H89" s="464"/>
      <c r="I89" s="464"/>
      <c r="J89" s="301">
        <f t="shared" si="5"/>
        <v>0</v>
      </c>
    </row>
    <row r="90" spans="1:11" ht="13.5" thickTop="1" x14ac:dyDescent="0.2">
      <c r="A90" s="99"/>
      <c r="B90" s="99"/>
      <c r="C90" s="172"/>
      <c r="D90" s="157"/>
      <c r="E90" s="99"/>
      <c r="F90" s="99"/>
      <c r="H90" s="99"/>
      <c r="I90" s="99"/>
      <c r="J90" s="102"/>
      <c r="K90" s="99"/>
    </row>
  </sheetData>
  <sheetProtection password="8EBD" sheet="1" objects="1" scenarios="1"/>
  <dataValidations count="3">
    <dataValidation type="decimal" allowBlank="1" showErrorMessage="1" errorTitle="Number Only" error="Error : This cell can only accept a numeric value with a max of 12 digits." sqref="A1 E89 F87:F89 H86:H89 E86:F86 I84:I89 H82:I83 F82:F83 E77:E83 I76 E76:F76 J74:J89 H74:H76 F74 H73:J73 E73:F73 H69:H70 F69:F71 I68:I69 H63:H67 J62:J71 F62 H59:J59 E59:F59 H56:J57 E56:F57 H54:J54 E54:F54 H52:J52 E52:F52 H48:J48 E48:F48 H45:I45 E45:F45 J39:J45 J34:J37 F32 J31:J32 F28:F29 H21:H23 J20:J27 F20 J17 H15:J15 E15:F15 A12:A13 H10:J10 E10:F10">
      <formula1>-1000000000000</formula1>
      <formula2>1000000000000</formula2>
    </dataValidation>
    <dataValidation type="whole" allowBlank="1" showErrorMessage="1" errorTitle="Number Only" error="Error : This cell can only accept a numeric value with a max of 12 digits." sqref="B38 B78:B81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I43:I44 H41:I42 F41:F42 E39:E42 E36:E37 I35 F35 H34:H35 H32 H31:I31 F31 H27 F27 I26:I27 H24:H25 H17:I17 E17:F17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orientation="portrait" horizontalDpi="90" verticalDpi="9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CE112"/>
  <sheetViews>
    <sheetView zoomScale="70" zoomScaleNormal="70" workbookViewId="0"/>
  </sheetViews>
  <sheetFormatPr defaultRowHeight="12.75" x14ac:dyDescent="0.2"/>
  <sheetData>
    <row r="1" spans="1:83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3" x14ac:dyDescent="0.2">
      <c r="A2" t="s">
        <v>3727</v>
      </c>
    </row>
    <row r="3" spans="1:83" x14ac:dyDescent="0.2">
      <c r="A3" t="s">
        <v>3795</v>
      </c>
    </row>
    <row r="4" spans="1:83" x14ac:dyDescent="0.2">
      <c r="B4" t="s">
        <v>2339</v>
      </c>
    </row>
    <row r="5" spans="1:83" x14ac:dyDescent="0.2">
      <c r="CA5" t="s">
        <v>230</v>
      </c>
      <c r="CB5">
        <f>0</f>
        <v>0</v>
      </c>
      <c r="CC5" t="s">
        <v>2188</v>
      </c>
      <c r="CD5" t="s">
        <v>2188</v>
      </c>
    </row>
    <row r="6" spans="1:83" x14ac:dyDescent="0.2">
      <c r="CA6" t="s">
        <v>231</v>
      </c>
      <c r="CB6" t="s">
        <v>232</v>
      </c>
      <c r="CC6" t="s">
        <v>2192</v>
      </c>
      <c r="CD6" t="s">
        <v>2193</v>
      </c>
      <c r="CE6" t="s">
        <v>2340</v>
      </c>
    </row>
    <row r="7" spans="1:83" x14ac:dyDescent="0.2">
      <c r="CA7">
        <f>SUM(CA11:CA112)</f>
        <v>0</v>
      </c>
      <c r="CB7">
        <f>SUM(CB11:CB112)</f>
        <v>0</v>
      </c>
      <c r="CC7">
        <f>SUM(CC11:CC112)</f>
        <v>0</v>
      </c>
      <c r="CD7">
        <f>SUM(CD11:CD112)</f>
        <v>0</v>
      </c>
      <c r="CE7">
        <f>SUM(CE11:CE112)</f>
        <v>1</v>
      </c>
    </row>
    <row r="8" spans="1:83" x14ac:dyDescent="0.2">
      <c r="B8" t="s">
        <v>1710</v>
      </c>
      <c r="C8" t="s">
        <v>238</v>
      </c>
      <c r="D8" t="s">
        <v>25</v>
      </c>
      <c r="F8" t="s">
        <v>2089</v>
      </c>
      <c r="I8" t="s">
        <v>241</v>
      </c>
    </row>
    <row r="9" spans="1:83" x14ac:dyDescent="0.2">
      <c r="C9" t="s">
        <v>242</v>
      </c>
      <c r="E9" t="s">
        <v>2021</v>
      </c>
      <c r="F9" t="s">
        <v>2092</v>
      </c>
      <c r="G9" t="s">
        <v>2023</v>
      </c>
      <c r="H9" t="s">
        <v>2021</v>
      </c>
      <c r="I9" t="s">
        <v>1048</v>
      </c>
      <c r="J9" t="s">
        <v>2023</v>
      </c>
    </row>
    <row r="10" spans="1:83" x14ac:dyDescent="0.2">
      <c r="B10" t="s">
        <v>2341</v>
      </c>
      <c r="E10" t="s">
        <v>2036</v>
      </c>
      <c r="F10" t="s">
        <v>2037</v>
      </c>
      <c r="G10" t="s">
        <v>2038</v>
      </c>
      <c r="H10" t="s">
        <v>2039</v>
      </c>
      <c r="I10" t="s">
        <v>2040</v>
      </c>
      <c r="J10" t="s">
        <v>2041</v>
      </c>
    </row>
    <row r="11" spans="1:83" x14ac:dyDescent="0.2">
      <c r="B11" t="s">
        <v>1710</v>
      </c>
      <c r="E11" t="s">
        <v>243</v>
      </c>
      <c r="F11" t="s">
        <v>243</v>
      </c>
      <c r="G11" t="s">
        <v>243</v>
      </c>
      <c r="H11" t="s">
        <v>243</v>
      </c>
      <c r="I11" t="s">
        <v>243</v>
      </c>
      <c r="J11" t="s">
        <v>243</v>
      </c>
    </row>
    <row r="12" spans="1:83" x14ac:dyDescent="0.2">
      <c r="B12" t="s">
        <v>2342</v>
      </c>
    </row>
    <row r="13" spans="1:83" x14ac:dyDescent="0.2">
      <c r="B13" t="s">
        <v>1712</v>
      </c>
      <c r="C13">
        <v>510</v>
      </c>
      <c r="D13" t="s">
        <v>248</v>
      </c>
      <c r="G13">
        <f t="shared" ref="G13:G19" si="0">F13-E13</f>
        <v>0</v>
      </c>
      <c r="J13">
        <f t="shared" ref="J13:J19" si="1">I13-H13</f>
        <v>0</v>
      </c>
      <c r="CB13">
        <f>IF(OR(F13&lt;0,I13&lt;0),1,0)</f>
        <v>0</v>
      </c>
      <c r="CC13">
        <f>IF(I13&lt;F13,1,0)</f>
        <v>0</v>
      </c>
    </row>
    <row r="14" spans="1:83" x14ac:dyDescent="0.2">
      <c r="B14" t="s">
        <v>1713</v>
      </c>
      <c r="C14">
        <v>520</v>
      </c>
      <c r="D14" t="s">
        <v>248</v>
      </c>
      <c r="G14">
        <f t="shared" si="0"/>
        <v>0</v>
      </c>
      <c r="J14">
        <f t="shared" si="1"/>
        <v>0</v>
      </c>
      <c r="CB14">
        <f>IF(OR(F14&lt;0,I14&lt;0),1,0)</f>
        <v>0</v>
      </c>
      <c r="CC14">
        <f>IF(I14&lt;F14,1,0)</f>
        <v>0</v>
      </c>
    </row>
    <row r="15" spans="1:83" x14ac:dyDescent="0.2">
      <c r="B15" t="s">
        <v>1714</v>
      </c>
      <c r="C15">
        <v>530</v>
      </c>
      <c r="D15" t="s">
        <v>251</v>
      </c>
      <c r="G15">
        <f t="shared" si="0"/>
        <v>0</v>
      </c>
      <c r="J15">
        <f t="shared" si="1"/>
        <v>0</v>
      </c>
    </row>
    <row r="16" spans="1:83" x14ac:dyDescent="0.2">
      <c r="B16" t="s">
        <v>1715</v>
      </c>
      <c r="C16">
        <v>540</v>
      </c>
      <c r="D16" t="s">
        <v>251</v>
      </c>
      <c r="G16">
        <f t="shared" si="0"/>
        <v>0</v>
      </c>
      <c r="J16">
        <f t="shared" si="1"/>
        <v>0</v>
      </c>
    </row>
    <row r="17" spans="2:82" x14ac:dyDescent="0.2">
      <c r="B17" t="s">
        <v>1716</v>
      </c>
      <c r="C17">
        <v>550</v>
      </c>
      <c r="D17" t="s">
        <v>248</v>
      </c>
      <c r="G17">
        <f t="shared" si="0"/>
        <v>0</v>
      </c>
      <c r="J17">
        <f t="shared" si="1"/>
        <v>0</v>
      </c>
      <c r="CB17">
        <f>IF(OR(F17&lt;0,I17&lt;0),1,0)</f>
        <v>0</v>
      </c>
      <c r="CC17">
        <f>IF(I17&lt;F17,1,0)</f>
        <v>0</v>
      </c>
    </row>
    <row r="18" spans="2:82" x14ac:dyDescent="0.2">
      <c r="B18" t="s">
        <v>1717</v>
      </c>
      <c r="C18">
        <v>560</v>
      </c>
      <c r="D18" t="s">
        <v>245</v>
      </c>
      <c r="G18">
        <f t="shared" si="0"/>
        <v>0</v>
      </c>
      <c r="J18">
        <f t="shared" si="1"/>
        <v>0</v>
      </c>
      <c r="CA18">
        <f>IF(OR(F18&gt;0,I18&gt;0),1,0)</f>
        <v>0</v>
      </c>
      <c r="CD18">
        <f>IF(I18&gt;F18,1,0)</f>
        <v>0</v>
      </c>
    </row>
    <row r="19" spans="2:82" x14ac:dyDescent="0.2">
      <c r="B19" t="s">
        <v>1718</v>
      </c>
      <c r="C19">
        <v>570</v>
      </c>
      <c r="D19" t="s">
        <v>251</v>
      </c>
      <c r="G19">
        <f t="shared" si="0"/>
        <v>0</v>
      </c>
      <c r="J19">
        <f t="shared" si="1"/>
        <v>0</v>
      </c>
    </row>
    <row r="20" spans="2:82" x14ac:dyDescent="0.2">
      <c r="B20" t="s">
        <v>1719</v>
      </c>
      <c r="C20">
        <v>580</v>
      </c>
      <c r="D20" t="s">
        <v>248</v>
      </c>
      <c r="E20">
        <f t="shared" ref="E20:J20" si="2">SUM(E13:E19)</f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</row>
    <row r="21" spans="2:82" x14ac:dyDescent="0.2">
      <c r="B21" t="s">
        <v>380</v>
      </c>
      <c r="C21">
        <v>590</v>
      </c>
      <c r="D21" t="s">
        <v>251</v>
      </c>
      <c r="G21">
        <f>F21-E21</f>
        <v>0</v>
      </c>
      <c r="J21">
        <f>I21-H21</f>
        <v>0</v>
      </c>
    </row>
    <row r="22" spans="2:82" x14ac:dyDescent="0.2">
      <c r="B22" t="s">
        <v>1720</v>
      </c>
      <c r="C22">
        <v>600</v>
      </c>
      <c r="D22" t="s">
        <v>251</v>
      </c>
      <c r="E22">
        <f t="shared" ref="E22:J22" si="3">SUM(E20:E21)</f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</row>
    <row r="23" spans="2:82" x14ac:dyDescent="0.2">
      <c r="B23" t="s">
        <v>2343</v>
      </c>
    </row>
    <row r="24" spans="2:82" x14ac:dyDescent="0.2">
      <c r="B24" t="s">
        <v>2344</v>
      </c>
      <c r="C24">
        <v>605</v>
      </c>
      <c r="D24" t="s">
        <v>251</v>
      </c>
      <c r="E24">
        <f t="shared" ref="E24:J24" si="4">E22</f>
        <v>0</v>
      </c>
      <c r="F24">
        <f t="shared" si="4"/>
        <v>0</v>
      </c>
      <c r="G24">
        <f t="shared" si="4"/>
        <v>0</v>
      </c>
      <c r="H24">
        <f t="shared" si="4"/>
        <v>0</v>
      </c>
      <c r="I24">
        <f t="shared" si="4"/>
        <v>0</v>
      </c>
      <c r="J24">
        <f t="shared" si="4"/>
        <v>0</v>
      </c>
    </row>
    <row r="25" spans="2:82" x14ac:dyDescent="0.2">
      <c r="B25" t="s">
        <v>2345</v>
      </c>
      <c r="C25">
        <v>608</v>
      </c>
      <c r="D25" t="s">
        <v>251</v>
      </c>
      <c r="E25">
        <f t="shared" ref="E25:J25" si="5">E15+E16</f>
        <v>0</v>
      </c>
      <c r="F25">
        <f t="shared" si="5"/>
        <v>0</v>
      </c>
      <c r="G25">
        <f t="shared" si="5"/>
        <v>0</v>
      </c>
      <c r="H25">
        <f t="shared" si="5"/>
        <v>0</v>
      </c>
      <c r="I25">
        <f t="shared" si="5"/>
        <v>0</v>
      </c>
      <c r="J25">
        <f t="shared" si="5"/>
        <v>0</v>
      </c>
    </row>
    <row r="26" spans="2:82" x14ac:dyDescent="0.2">
      <c r="B26" t="s">
        <v>2346</v>
      </c>
      <c r="C26">
        <v>612</v>
      </c>
      <c r="D26" t="s">
        <v>251</v>
      </c>
      <c r="E26">
        <f t="shared" ref="E26:J26" si="6">SUM(E24-E25)</f>
        <v>0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</row>
    <row r="27" spans="2:82" x14ac:dyDescent="0.2">
      <c r="B27" t="s">
        <v>2347</v>
      </c>
      <c r="C27">
        <v>614</v>
      </c>
      <c r="D27" t="s">
        <v>251</v>
      </c>
      <c r="E27">
        <f t="shared" ref="E27:J27" si="7">IF(E26&lt;0,0,E26)</f>
        <v>0</v>
      </c>
      <c r="F27">
        <f t="shared" si="7"/>
        <v>0</v>
      </c>
      <c r="G27">
        <f t="shared" si="7"/>
        <v>0</v>
      </c>
      <c r="H27">
        <f t="shared" si="7"/>
        <v>0</v>
      </c>
      <c r="I27">
        <f t="shared" si="7"/>
        <v>0</v>
      </c>
      <c r="J27">
        <f t="shared" si="7"/>
        <v>0</v>
      </c>
    </row>
    <row r="28" spans="2:82" x14ac:dyDescent="0.2">
      <c r="B28" t="s">
        <v>1721</v>
      </c>
    </row>
    <row r="29" spans="2:82" x14ac:dyDescent="0.2">
      <c r="B29" t="s">
        <v>1722</v>
      </c>
      <c r="C29">
        <v>620</v>
      </c>
      <c r="D29" t="s">
        <v>248</v>
      </c>
      <c r="G29">
        <f>F29-E29</f>
        <v>0</v>
      </c>
      <c r="J29">
        <f>I29-H29</f>
        <v>0</v>
      </c>
      <c r="CB29">
        <f>IF(OR(F29&lt;0,I29&lt;0),1,0)</f>
        <v>0</v>
      </c>
      <c r="CC29">
        <f>IF(I29&lt;F29,1,0)</f>
        <v>0</v>
      </c>
    </row>
    <row r="30" spans="2:82" x14ac:dyDescent="0.2">
      <c r="B30" t="s">
        <v>2348</v>
      </c>
      <c r="C30">
        <v>630</v>
      </c>
      <c r="D30" t="s">
        <v>248</v>
      </c>
    </row>
    <row r="31" spans="2:82" x14ac:dyDescent="0.2">
      <c r="B31" t="s">
        <v>2349</v>
      </c>
      <c r="C31">
        <v>640</v>
      </c>
      <c r="D31" t="s">
        <v>248</v>
      </c>
    </row>
    <row r="32" spans="2:82" x14ac:dyDescent="0.2">
      <c r="B32" t="s">
        <v>1725</v>
      </c>
    </row>
    <row r="34" spans="2:82" x14ac:dyDescent="0.2">
      <c r="B34" t="s">
        <v>2350</v>
      </c>
      <c r="C34" t="s">
        <v>238</v>
      </c>
      <c r="D34" t="s">
        <v>25</v>
      </c>
      <c r="F34" t="s">
        <v>2089</v>
      </c>
      <c r="I34" t="s">
        <v>241</v>
      </c>
    </row>
    <row r="35" spans="2:82" x14ac:dyDescent="0.2">
      <c r="C35" t="s">
        <v>242</v>
      </c>
      <c r="E35" t="s">
        <v>2021</v>
      </c>
      <c r="F35" t="s">
        <v>2092</v>
      </c>
      <c r="G35" t="s">
        <v>2023</v>
      </c>
      <c r="H35" t="s">
        <v>2021</v>
      </c>
      <c r="I35" t="s">
        <v>1048</v>
      </c>
      <c r="J35" t="s">
        <v>2023</v>
      </c>
    </row>
    <row r="36" spans="2:82" x14ac:dyDescent="0.2">
      <c r="B36" t="s">
        <v>2351</v>
      </c>
      <c r="E36" t="s">
        <v>2036</v>
      </c>
      <c r="F36" t="s">
        <v>2037</v>
      </c>
      <c r="G36" t="s">
        <v>2038</v>
      </c>
      <c r="H36" t="s">
        <v>2039</v>
      </c>
      <c r="I36" t="s">
        <v>2040</v>
      </c>
      <c r="J36" t="s">
        <v>2041</v>
      </c>
    </row>
    <row r="37" spans="2:82" x14ac:dyDescent="0.2">
      <c r="B37" t="s">
        <v>1710</v>
      </c>
      <c r="E37" t="s">
        <v>243</v>
      </c>
      <c r="F37" t="s">
        <v>243</v>
      </c>
      <c r="G37" t="s">
        <v>243</v>
      </c>
      <c r="H37" t="s">
        <v>243</v>
      </c>
      <c r="I37" t="s">
        <v>243</v>
      </c>
      <c r="J37" t="s">
        <v>243</v>
      </c>
    </row>
    <row r="38" spans="2:82" x14ac:dyDescent="0.2">
      <c r="B38" t="s">
        <v>2342</v>
      </c>
    </row>
    <row r="39" spans="2:82" x14ac:dyDescent="0.2">
      <c r="B39" t="s">
        <v>1712</v>
      </c>
      <c r="C39">
        <v>630</v>
      </c>
      <c r="D39" t="s">
        <v>248</v>
      </c>
      <c r="E39">
        <f t="shared" ref="E39:F45" si="8">E65-E13</f>
        <v>0</v>
      </c>
      <c r="F39">
        <f t="shared" si="8"/>
        <v>0</v>
      </c>
      <c r="G39">
        <f t="shared" ref="G39:G45" si="9">F39-E39</f>
        <v>0</v>
      </c>
      <c r="H39">
        <f t="shared" ref="H39:I45" si="10">H65-H13</f>
        <v>0</v>
      </c>
      <c r="I39">
        <f t="shared" si="10"/>
        <v>0</v>
      </c>
      <c r="J39">
        <f t="shared" ref="J39:J45" si="11">I39-H39</f>
        <v>0</v>
      </c>
      <c r="CB39">
        <f>IF(OR(F39&lt;0,I39&lt;0),1,0)</f>
        <v>0</v>
      </c>
      <c r="CC39">
        <f>IF(I39&lt;F39,1,0)</f>
        <v>0</v>
      </c>
    </row>
    <row r="40" spans="2:82" x14ac:dyDescent="0.2">
      <c r="B40" t="s">
        <v>1713</v>
      </c>
      <c r="C40">
        <v>635</v>
      </c>
      <c r="D40" t="s">
        <v>248</v>
      </c>
      <c r="E40">
        <f t="shared" si="8"/>
        <v>0</v>
      </c>
      <c r="F40">
        <f t="shared" si="8"/>
        <v>0</v>
      </c>
      <c r="G40">
        <f t="shared" si="9"/>
        <v>0</v>
      </c>
      <c r="H40">
        <f t="shared" si="10"/>
        <v>0</v>
      </c>
      <c r="I40">
        <f t="shared" si="10"/>
        <v>0</v>
      </c>
      <c r="J40">
        <f t="shared" si="11"/>
        <v>0</v>
      </c>
      <c r="CB40">
        <f>IF(OR(F40&lt;0,I40&lt;0),1,0)</f>
        <v>0</v>
      </c>
      <c r="CC40">
        <f>IF(I40&lt;F40,1,0)</f>
        <v>0</v>
      </c>
    </row>
    <row r="41" spans="2:82" x14ac:dyDescent="0.2">
      <c r="B41" t="s">
        <v>1714</v>
      </c>
      <c r="C41">
        <v>640</v>
      </c>
      <c r="D41" t="s">
        <v>251</v>
      </c>
      <c r="E41">
        <f t="shared" si="8"/>
        <v>0</v>
      </c>
      <c r="F41">
        <f t="shared" si="8"/>
        <v>0</v>
      </c>
      <c r="G41">
        <f t="shared" si="9"/>
        <v>0</v>
      </c>
      <c r="H41">
        <f t="shared" si="10"/>
        <v>0</v>
      </c>
      <c r="I41">
        <f t="shared" si="10"/>
        <v>0</v>
      </c>
      <c r="J41">
        <f t="shared" si="11"/>
        <v>0</v>
      </c>
    </row>
    <row r="42" spans="2:82" x14ac:dyDescent="0.2">
      <c r="B42" t="s">
        <v>1715</v>
      </c>
      <c r="C42">
        <v>645</v>
      </c>
      <c r="D42" t="s">
        <v>251</v>
      </c>
      <c r="E42">
        <f t="shared" si="8"/>
        <v>0</v>
      </c>
      <c r="F42">
        <f t="shared" si="8"/>
        <v>0</v>
      </c>
      <c r="G42">
        <f t="shared" si="9"/>
        <v>0</v>
      </c>
      <c r="H42">
        <f t="shared" si="10"/>
        <v>0</v>
      </c>
      <c r="I42">
        <f t="shared" si="10"/>
        <v>0</v>
      </c>
      <c r="J42">
        <f t="shared" si="11"/>
        <v>0</v>
      </c>
    </row>
    <row r="43" spans="2:82" x14ac:dyDescent="0.2">
      <c r="B43" t="s">
        <v>1716</v>
      </c>
      <c r="C43">
        <v>650</v>
      </c>
      <c r="D43" t="s">
        <v>248</v>
      </c>
      <c r="E43">
        <f t="shared" si="8"/>
        <v>0</v>
      </c>
      <c r="F43">
        <f t="shared" si="8"/>
        <v>0</v>
      </c>
      <c r="G43">
        <f t="shared" si="9"/>
        <v>0</v>
      </c>
      <c r="H43">
        <f t="shared" si="10"/>
        <v>0</v>
      </c>
      <c r="I43">
        <f t="shared" si="10"/>
        <v>0</v>
      </c>
      <c r="J43">
        <f t="shared" si="11"/>
        <v>0</v>
      </c>
      <c r="CB43">
        <f>IF(OR(F43&lt;0,I43&lt;0),1,0)</f>
        <v>0</v>
      </c>
      <c r="CC43">
        <f>IF(I43&lt;F43,1,0)</f>
        <v>0</v>
      </c>
    </row>
    <row r="44" spans="2:82" x14ac:dyDescent="0.2">
      <c r="B44" t="s">
        <v>1717</v>
      </c>
      <c r="C44">
        <v>655</v>
      </c>
      <c r="D44" t="s">
        <v>245</v>
      </c>
      <c r="E44">
        <f t="shared" si="8"/>
        <v>0</v>
      </c>
      <c r="F44">
        <f t="shared" si="8"/>
        <v>0</v>
      </c>
      <c r="G44">
        <f t="shared" si="9"/>
        <v>0</v>
      </c>
      <c r="H44">
        <f t="shared" si="10"/>
        <v>0</v>
      </c>
      <c r="I44">
        <f t="shared" si="10"/>
        <v>0</v>
      </c>
      <c r="J44">
        <f t="shared" si="11"/>
        <v>0</v>
      </c>
      <c r="CA44">
        <f>IF(OR(F44&gt;0,I44&gt;0),1,0)</f>
        <v>0</v>
      </c>
      <c r="CD44">
        <f>IF(I44&gt;F44,1,0)</f>
        <v>0</v>
      </c>
    </row>
    <row r="45" spans="2:82" x14ac:dyDescent="0.2">
      <c r="B45" t="s">
        <v>1718</v>
      </c>
      <c r="C45">
        <v>660</v>
      </c>
      <c r="D45" t="s">
        <v>251</v>
      </c>
      <c r="E45">
        <f t="shared" si="8"/>
        <v>0</v>
      </c>
      <c r="F45">
        <f t="shared" si="8"/>
        <v>0</v>
      </c>
      <c r="G45">
        <f t="shared" si="9"/>
        <v>0</v>
      </c>
      <c r="H45">
        <f t="shared" si="10"/>
        <v>0</v>
      </c>
      <c r="I45">
        <f t="shared" si="10"/>
        <v>0</v>
      </c>
      <c r="J45">
        <f t="shared" si="11"/>
        <v>0</v>
      </c>
    </row>
    <row r="46" spans="2:82" x14ac:dyDescent="0.2">
      <c r="B46" t="s">
        <v>1719</v>
      </c>
      <c r="C46">
        <v>665</v>
      </c>
      <c r="D46" t="s">
        <v>248</v>
      </c>
      <c r="E46">
        <f t="shared" ref="E46:J46" si="12">SUM(E39:E45)</f>
        <v>0</v>
      </c>
      <c r="F46">
        <f t="shared" si="12"/>
        <v>0</v>
      </c>
      <c r="G46">
        <f t="shared" si="12"/>
        <v>0</v>
      </c>
      <c r="H46">
        <f t="shared" si="12"/>
        <v>0</v>
      </c>
      <c r="I46">
        <f t="shared" si="12"/>
        <v>0</v>
      </c>
      <c r="J46">
        <f t="shared" si="12"/>
        <v>0</v>
      </c>
    </row>
    <row r="47" spans="2:82" x14ac:dyDescent="0.2">
      <c r="B47" t="s">
        <v>380</v>
      </c>
      <c r="C47">
        <v>670</v>
      </c>
      <c r="D47" t="s">
        <v>251</v>
      </c>
      <c r="E47">
        <f>E73-E21</f>
        <v>0</v>
      </c>
      <c r="F47">
        <f>F73-F21</f>
        <v>0</v>
      </c>
      <c r="G47">
        <f>F47-E47</f>
        <v>0</v>
      </c>
      <c r="H47">
        <f>H73-H21</f>
        <v>0</v>
      </c>
      <c r="I47">
        <f>I73-I21</f>
        <v>0</v>
      </c>
      <c r="J47">
        <f>I47-H47</f>
        <v>0</v>
      </c>
    </row>
    <row r="48" spans="2:82" x14ac:dyDescent="0.2">
      <c r="B48" t="s">
        <v>1720</v>
      </c>
      <c r="C48">
        <v>675</v>
      </c>
      <c r="D48" t="s">
        <v>251</v>
      </c>
      <c r="E48">
        <f t="shared" ref="E48:J48" si="13">SUM(E46:E47)</f>
        <v>0</v>
      </c>
      <c r="F48">
        <f t="shared" si="13"/>
        <v>0</v>
      </c>
      <c r="G48">
        <f t="shared" si="13"/>
        <v>0</v>
      </c>
      <c r="H48">
        <f t="shared" si="13"/>
        <v>0</v>
      </c>
      <c r="I48">
        <f t="shared" si="13"/>
        <v>0</v>
      </c>
      <c r="J48">
        <f t="shared" si="13"/>
        <v>0</v>
      </c>
    </row>
    <row r="49" spans="2:81" x14ac:dyDescent="0.2">
      <c r="B49" t="s">
        <v>2343</v>
      </c>
    </row>
    <row r="50" spans="2:81" x14ac:dyDescent="0.2">
      <c r="B50" t="s">
        <v>2352</v>
      </c>
      <c r="C50">
        <v>680</v>
      </c>
      <c r="D50" t="s">
        <v>251</v>
      </c>
      <c r="E50">
        <f t="shared" ref="E50:J50" si="14">E48</f>
        <v>0</v>
      </c>
      <c r="F50">
        <f t="shared" si="14"/>
        <v>0</v>
      </c>
      <c r="G50">
        <f t="shared" si="14"/>
        <v>0</v>
      </c>
      <c r="H50">
        <f t="shared" si="14"/>
        <v>0</v>
      </c>
      <c r="I50">
        <f t="shared" si="14"/>
        <v>0</v>
      </c>
      <c r="J50">
        <f t="shared" si="14"/>
        <v>0</v>
      </c>
    </row>
    <row r="51" spans="2:81" x14ac:dyDescent="0.2">
      <c r="B51" t="s">
        <v>2345</v>
      </c>
      <c r="C51">
        <v>685</v>
      </c>
      <c r="D51" t="s">
        <v>251</v>
      </c>
      <c r="E51">
        <f t="shared" ref="E51:J51" si="15">E41+E42</f>
        <v>0</v>
      </c>
      <c r="F51">
        <f t="shared" si="15"/>
        <v>0</v>
      </c>
      <c r="G51">
        <f t="shared" si="15"/>
        <v>0</v>
      </c>
      <c r="H51">
        <f t="shared" si="15"/>
        <v>0</v>
      </c>
      <c r="I51">
        <f t="shared" si="15"/>
        <v>0</v>
      </c>
      <c r="J51">
        <f t="shared" si="15"/>
        <v>0</v>
      </c>
    </row>
    <row r="52" spans="2:81" x14ac:dyDescent="0.2">
      <c r="B52" t="s">
        <v>2346</v>
      </c>
      <c r="C52">
        <v>690</v>
      </c>
      <c r="D52" t="s">
        <v>251</v>
      </c>
      <c r="E52">
        <f t="shared" ref="E52:J52" si="16">SUM(E50-E51)</f>
        <v>0</v>
      </c>
      <c r="F52">
        <f t="shared" si="16"/>
        <v>0</v>
      </c>
      <c r="G52">
        <f t="shared" si="16"/>
        <v>0</v>
      </c>
      <c r="H52">
        <f t="shared" si="16"/>
        <v>0</v>
      </c>
      <c r="I52">
        <f t="shared" si="16"/>
        <v>0</v>
      </c>
      <c r="J52">
        <f t="shared" si="16"/>
        <v>0</v>
      </c>
    </row>
    <row r="53" spans="2:81" x14ac:dyDescent="0.2">
      <c r="B53" t="s">
        <v>2347</v>
      </c>
      <c r="C53">
        <v>695</v>
      </c>
      <c r="D53" t="s">
        <v>251</v>
      </c>
      <c r="E53">
        <f t="shared" ref="E53:J53" si="17">IF(E52&lt;0,0,E52)</f>
        <v>0</v>
      </c>
      <c r="F53">
        <f t="shared" si="17"/>
        <v>0</v>
      </c>
      <c r="G53">
        <f t="shared" si="17"/>
        <v>0</v>
      </c>
      <c r="H53">
        <f t="shared" si="17"/>
        <v>0</v>
      </c>
      <c r="I53">
        <f t="shared" si="17"/>
        <v>0</v>
      </c>
      <c r="J53">
        <f t="shared" si="17"/>
        <v>0</v>
      </c>
    </row>
    <row r="54" spans="2:81" x14ac:dyDescent="0.2">
      <c r="B54" t="s">
        <v>1721</v>
      </c>
    </row>
    <row r="55" spans="2:81" x14ac:dyDescent="0.2">
      <c r="B55" t="s">
        <v>1722</v>
      </c>
      <c r="C55">
        <v>700</v>
      </c>
      <c r="D55" t="s">
        <v>248</v>
      </c>
      <c r="E55">
        <f>E81-E29</f>
        <v>0</v>
      </c>
      <c r="F55">
        <f>F81-F29</f>
        <v>0</v>
      </c>
      <c r="G55">
        <f>F55-E55</f>
        <v>0</v>
      </c>
      <c r="H55">
        <f>H81-H29</f>
        <v>0</v>
      </c>
      <c r="I55">
        <f>I81-I29</f>
        <v>0</v>
      </c>
      <c r="J55">
        <f>I55-H55</f>
        <v>0</v>
      </c>
      <c r="CB55">
        <f>IF(OR(F55&lt;0,I55&lt;0),1,0)</f>
        <v>0</v>
      </c>
      <c r="CC55">
        <f>IF(I55&lt;F55,1,0)</f>
        <v>0</v>
      </c>
    </row>
    <row r="56" spans="2:81" x14ac:dyDescent="0.2">
      <c r="B56" t="s">
        <v>2348</v>
      </c>
      <c r="C56">
        <v>630</v>
      </c>
      <c r="D56" t="s">
        <v>248</v>
      </c>
    </row>
    <row r="57" spans="2:81" x14ac:dyDescent="0.2">
      <c r="B57" t="s">
        <v>2349</v>
      </c>
      <c r="C57">
        <v>640</v>
      </c>
      <c r="D57" t="s">
        <v>248</v>
      </c>
    </row>
    <row r="58" spans="2:81" x14ac:dyDescent="0.2">
      <c r="B58" t="s">
        <v>1725</v>
      </c>
      <c r="C58">
        <v>705</v>
      </c>
      <c r="D58" t="s">
        <v>248</v>
      </c>
      <c r="E58">
        <f>E84-E32</f>
        <v>0</v>
      </c>
      <c r="F58">
        <f>F84</f>
        <v>0</v>
      </c>
      <c r="G58">
        <f>F58-E58</f>
        <v>0</v>
      </c>
      <c r="H58">
        <f>H84-H32</f>
        <v>0</v>
      </c>
      <c r="I58">
        <f>I84</f>
        <v>0</v>
      </c>
      <c r="J58">
        <f>I58-H58</f>
        <v>0</v>
      </c>
      <c r="CB58">
        <f>IF(OR(F58&lt;0,I58&lt;0),1,0)</f>
        <v>0</v>
      </c>
      <c r="CC58">
        <f>IF(I58&lt;F58,1,0)</f>
        <v>0</v>
      </c>
    </row>
    <row r="60" spans="2:81" x14ac:dyDescent="0.2">
      <c r="B60" t="s">
        <v>2350</v>
      </c>
      <c r="C60" t="s">
        <v>238</v>
      </c>
      <c r="D60" t="s">
        <v>25</v>
      </c>
      <c r="F60" t="s">
        <v>2089</v>
      </c>
      <c r="I60" t="s">
        <v>241</v>
      </c>
    </row>
    <row r="61" spans="2:81" x14ac:dyDescent="0.2">
      <c r="C61" t="s">
        <v>242</v>
      </c>
      <c r="E61" t="s">
        <v>2021</v>
      </c>
      <c r="F61" t="s">
        <v>2092</v>
      </c>
      <c r="G61" t="s">
        <v>2023</v>
      </c>
      <c r="H61" t="s">
        <v>2021</v>
      </c>
      <c r="I61" t="s">
        <v>1048</v>
      </c>
      <c r="J61" t="s">
        <v>2023</v>
      </c>
    </row>
    <row r="62" spans="2:81" x14ac:dyDescent="0.2">
      <c r="B62" t="s">
        <v>2353</v>
      </c>
      <c r="E62" t="s">
        <v>2036</v>
      </c>
      <c r="F62" t="s">
        <v>2037</v>
      </c>
      <c r="G62" t="s">
        <v>2038</v>
      </c>
      <c r="H62" t="s">
        <v>2039</v>
      </c>
      <c r="I62" t="s">
        <v>2040</v>
      </c>
      <c r="J62" t="s">
        <v>2041</v>
      </c>
    </row>
    <row r="63" spans="2:81" x14ac:dyDescent="0.2">
      <c r="E63" t="s">
        <v>243</v>
      </c>
      <c r="F63" t="s">
        <v>243</v>
      </c>
      <c r="G63" t="s">
        <v>243</v>
      </c>
      <c r="H63" t="s">
        <v>243</v>
      </c>
      <c r="I63" t="s">
        <v>243</v>
      </c>
      <c r="J63" t="s">
        <v>243</v>
      </c>
    </row>
    <row r="64" spans="2:81" x14ac:dyDescent="0.2">
      <c r="B64" t="s">
        <v>2342</v>
      </c>
    </row>
    <row r="65" spans="2:82" x14ac:dyDescent="0.2">
      <c r="B65" t="s">
        <v>1712</v>
      </c>
      <c r="C65">
        <v>710</v>
      </c>
      <c r="D65" t="s">
        <v>248</v>
      </c>
      <c r="G65">
        <f t="shared" ref="G65:G71" si="18">F65-E65</f>
        <v>0</v>
      </c>
      <c r="J65">
        <f t="shared" ref="J65:J71" si="19">I65-H65</f>
        <v>0</v>
      </c>
      <c r="CB65">
        <f>IF(OR(F65&lt;0,I65&lt;0),1,0)</f>
        <v>0</v>
      </c>
      <c r="CC65">
        <f>IF(I65&lt;F65,1,0)</f>
        <v>0</v>
      </c>
    </row>
    <row r="66" spans="2:82" x14ac:dyDescent="0.2">
      <c r="B66" t="s">
        <v>1713</v>
      </c>
      <c r="C66">
        <v>715</v>
      </c>
      <c r="D66" t="s">
        <v>248</v>
      </c>
      <c r="G66">
        <f t="shared" si="18"/>
        <v>0</v>
      </c>
      <c r="J66">
        <f t="shared" si="19"/>
        <v>0</v>
      </c>
      <c r="CB66">
        <f>IF(OR(F66&lt;0,I66&lt;0),1,0)</f>
        <v>0</v>
      </c>
      <c r="CC66">
        <f>IF(I66&lt;F66,1,0)</f>
        <v>0</v>
      </c>
    </row>
    <row r="67" spans="2:82" x14ac:dyDescent="0.2">
      <c r="B67" t="s">
        <v>1714</v>
      </c>
      <c r="C67">
        <v>720</v>
      </c>
      <c r="D67" t="s">
        <v>251</v>
      </c>
      <c r="G67">
        <f t="shared" si="18"/>
        <v>0</v>
      </c>
      <c r="J67">
        <f t="shared" si="19"/>
        <v>0</v>
      </c>
    </row>
    <row r="68" spans="2:82" x14ac:dyDescent="0.2">
      <c r="B68" t="s">
        <v>1715</v>
      </c>
      <c r="C68">
        <v>725</v>
      </c>
      <c r="D68" t="s">
        <v>251</v>
      </c>
      <c r="G68">
        <f t="shared" si="18"/>
        <v>0</v>
      </c>
      <c r="J68">
        <f t="shared" si="19"/>
        <v>0</v>
      </c>
    </row>
    <row r="69" spans="2:82" x14ac:dyDescent="0.2">
      <c r="B69" t="s">
        <v>1716</v>
      </c>
      <c r="C69">
        <v>730</v>
      </c>
      <c r="D69" t="s">
        <v>248</v>
      </c>
      <c r="G69">
        <f t="shared" si="18"/>
        <v>0</v>
      </c>
      <c r="J69">
        <f t="shared" si="19"/>
        <v>0</v>
      </c>
      <c r="CB69">
        <f>IF(OR(F69&lt;0,I69&lt;0),1,0)</f>
        <v>0</v>
      </c>
      <c r="CC69">
        <f>IF(I69&lt;F69,1,0)</f>
        <v>0</v>
      </c>
    </row>
    <row r="70" spans="2:82" x14ac:dyDescent="0.2">
      <c r="B70" t="s">
        <v>1717</v>
      </c>
      <c r="C70">
        <v>735</v>
      </c>
      <c r="D70" t="s">
        <v>245</v>
      </c>
      <c r="G70">
        <f t="shared" si="18"/>
        <v>0</v>
      </c>
      <c r="J70">
        <f t="shared" si="19"/>
        <v>0</v>
      </c>
      <c r="CA70">
        <f>IF(OR(F70&gt;0,I70&gt;0),1,0)</f>
        <v>0</v>
      </c>
      <c r="CD70">
        <f>IF(I70&gt;F70,1,0)</f>
        <v>0</v>
      </c>
    </row>
    <row r="71" spans="2:82" x14ac:dyDescent="0.2">
      <c r="B71" t="s">
        <v>1718</v>
      </c>
      <c r="C71">
        <v>740</v>
      </c>
      <c r="D71" t="s">
        <v>251</v>
      </c>
      <c r="G71">
        <f t="shared" si="18"/>
        <v>0</v>
      </c>
      <c r="J71">
        <f t="shared" si="19"/>
        <v>0</v>
      </c>
    </row>
    <row r="72" spans="2:82" x14ac:dyDescent="0.2">
      <c r="B72" t="s">
        <v>1719</v>
      </c>
      <c r="C72">
        <v>745</v>
      </c>
      <c r="D72" t="s">
        <v>248</v>
      </c>
      <c r="E72">
        <f t="shared" ref="E72:J72" si="20">SUM(E65:E71)</f>
        <v>0</v>
      </c>
      <c r="F72">
        <f t="shared" si="20"/>
        <v>0</v>
      </c>
      <c r="G72">
        <f t="shared" si="20"/>
        <v>0</v>
      </c>
      <c r="H72">
        <f t="shared" si="20"/>
        <v>0</v>
      </c>
      <c r="I72">
        <f t="shared" si="20"/>
        <v>0</v>
      </c>
      <c r="J72">
        <f t="shared" si="20"/>
        <v>0</v>
      </c>
    </row>
    <row r="73" spans="2:82" x14ac:dyDescent="0.2">
      <c r="B73" t="s">
        <v>380</v>
      </c>
      <c r="C73">
        <v>750</v>
      </c>
      <c r="D73" t="s">
        <v>251</v>
      </c>
      <c r="G73">
        <f>F73-E73</f>
        <v>0</v>
      </c>
      <c r="J73">
        <f>I73-H73</f>
        <v>0</v>
      </c>
    </row>
    <row r="74" spans="2:82" x14ac:dyDescent="0.2">
      <c r="B74" t="s">
        <v>1720</v>
      </c>
      <c r="C74">
        <v>755</v>
      </c>
      <c r="D74" t="s">
        <v>251</v>
      </c>
      <c r="E74">
        <f t="shared" ref="E74:J74" si="21">SUM(E72:E73)</f>
        <v>0</v>
      </c>
      <c r="F74">
        <f t="shared" si="21"/>
        <v>0</v>
      </c>
      <c r="G74">
        <f t="shared" si="21"/>
        <v>0</v>
      </c>
      <c r="H74">
        <f t="shared" si="21"/>
        <v>0</v>
      </c>
      <c r="I74">
        <f t="shared" si="21"/>
        <v>0</v>
      </c>
      <c r="J74">
        <f t="shared" si="21"/>
        <v>0</v>
      </c>
    </row>
    <row r="75" spans="2:82" x14ac:dyDescent="0.2">
      <c r="B75" t="s">
        <v>2343</v>
      </c>
    </row>
    <row r="76" spans="2:82" x14ac:dyDescent="0.2">
      <c r="B76" t="s">
        <v>2354</v>
      </c>
      <c r="C76">
        <v>760</v>
      </c>
      <c r="D76" t="s">
        <v>251</v>
      </c>
      <c r="E76">
        <f t="shared" ref="E76:J76" si="22">E74</f>
        <v>0</v>
      </c>
      <c r="F76">
        <f t="shared" si="22"/>
        <v>0</v>
      </c>
      <c r="G76">
        <f t="shared" si="22"/>
        <v>0</v>
      </c>
      <c r="H76">
        <f t="shared" si="22"/>
        <v>0</v>
      </c>
      <c r="I76">
        <f t="shared" si="22"/>
        <v>0</v>
      </c>
      <c r="J76">
        <f t="shared" si="22"/>
        <v>0</v>
      </c>
    </row>
    <row r="77" spans="2:82" x14ac:dyDescent="0.2">
      <c r="B77" t="s">
        <v>2345</v>
      </c>
      <c r="C77">
        <v>765</v>
      </c>
      <c r="D77" t="s">
        <v>251</v>
      </c>
      <c r="E77">
        <f t="shared" ref="E77:J77" si="23">E67+E68</f>
        <v>0</v>
      </c>
      <c r="F77">
        <f t="shared" si="23"/>
        <v>0</v>
      </c>
      <c r="G77">
        <f t="shared" si="23"/>
        <v>0</v>
      </c>
      <c r="H77">
        <f t="shared" si="23"/>
        <v>0</v>
      </c>
      <c r="I77">
        <f t="shared" si="23"/>
        <v>0</v>
      </c>
      <c r="J77">
        <f t="shared" si="23"/>
        <v>0</v>
      </c>
    </row>
    <row r="78" spans="2:82" x14ac:dyDescent="0.2">
      <c r="B78" t="s">
        <v>2346</v>
      </c>
      <c r="C78">
        <v>770</v>
      </c>
      <c r="D78" t="s">
        <v>251</v>
      </c>
      <c r="E78">
        <f t="shared" ref="E78:J78" si="24">SUM(E76-E77)</f>
        <v>0</v>
      </c>
      <c r="F78">
        <f t="shared" si="24"/>
        <v>0</v>
      </c>
      <c r="G78">
        <f t="shared" si="24"/>
        <v>0</v>
      </c>
      <c r="H78">
        <f t="shared" si="24"/>
        <v>0</v>
      </c>
      <c r="I78">
        <f t="shared" si="24"/>
        <v>0</v>
      </c>
      <c r="J78">
        <f t="shared" si="24"/>
        <v>0</v>
      </c>
    </row>
    <row r="79" spans="2:82" x14ac:dyDescent="0.2">
      <c r="B79" t="s">
        <v>2347</v>
      </c>
      <c r="C79">
        <v>775</v>
      </c>
      <c r="D79" t="s">
        <v>251</v>
      </c>
      <c r="E79">
        <f t="shared" ref="E79:J79" si="25">IF(E78&lt;0,0,E78)</f>
        <v>0</v>
      </c>
      <c r="F79">
        <f t="shared" si="25"/>
        <v>0</v>
      </c>
      <c r="G79">
        <f t="shared" si="25"/>
        <v>0</v>
      </c>
      <c r="H79">
        <f t="shared" si="25"/>
        <v>0</v>
      </c>
      <c r="I79">
        <f t="shared" si="25"/>
        <v>0</v>
      </c>
      <c r="J79">
        <f t="shared" si="25"/>
        <v>0</v>
      </c>
    </row>
    <row r="80" spans="2:82" x14ac:dyDescent="0.2">
      <c r="B80" t="s">
        <v>1721</v>
      </c>
    </row>
    <row r="81" spans="2:83" x14ac:dyDescent="0.2">
      <c r="B81" t="s">
        <v>1722</v>
      </c>
      <c r="C81">
        <v>780</v>
      </c>
      <c r="D81" t="s">
        <v>248</v>
      </c>
      <c r="G81">
        <f>F81-E81</f>
        <v>0</v>
      </c>
      <c r="J81">
        <f>I81-H81</f>
        <v>0</v>
      </c>
      <c r="CB81">
        <f>IF(OR(F81&lt;0,I81&lt;0),1,0)</f>
        <v>0</v>
      </c>
      <c r="CC81">
        <f>IF(I81&lt;F81,1,0)</f>
        <v>0</v>
      </c>
    </row>
    <row r="82" spans="2:83" x14ac:dyDescent="0.2">
      <c r="B82" t="s">
        <v>2348</v>
      </c>
      <c r="C82">
        <v>630</v>
      </c>
      <c r="D82" t="s">
        <v>248</v>
      </c>
    </row>
    <row r="83" spans="2:83" x14ac:dyDescent="0.2">
      <c r="B83" t="s">
        <v>2349</v>
      </c>
      <c r="C83">
        <v>640</v>
      </c>
      <c r="D83" t="s">
        <v>248</v>
      </c>
    </row>
    <row r="84" spans="2:83" x14ac:dyDescent="0.2">
      <c r="B84" t="s">
        <v>1725</v>
      </c>
      <c r="C84">
        <v>785</v>
      </c>
      <c r="D84" t="s">
        <v>248</v>
      </c>
      <c r="G84">
        <f>F84-E84</f>
        <v>0</v>
      </c>
      <c r="J84">
        <f>I84-H84</f>
        <v>0</v>
      </c>
      <c r="CB84">
        <f>IF(OR(F84&lt;0,I84&lt;0),1,0)</f>
        <v>0</v>
      </c>
      <c r="CC84">
        <f>IF(I84&lt;F84,1,0)</f>
        <v>0</v>
      </c>
    </row>
    <row r="86" spans="2:83" x14ac:dyDescent="0.2">
      <c r="B86" t="s">
        <v>2355</v>
      </c>
      <c r="C86" t="s">
        <v>238</v>
      </c>
      <c r="D86" t="s">
        <v>2356</v>
      </c>
    </row>
    <row r="87" spans="2:83" x14ac:dyDescent="0.2">
      <c r="B87" t="s">
        <v>2357</v>
      </c>
      <c r="C87" t="s">
        <v>242</v>
      </c>
    </row>
    <row r="88" spans="2:83" x14ac:dyDescent="0.2">
      <c r="B88" t="s">
        <v>2358</v>
      </c>
    </row>
    <row r="89" spans="2:83" x14ac:dyDescent="0.2">
      <c r="B89" t="s">
        <v>2359</v>
      </c>
      <c r="C89">
        <v>980</v>
      </c>
      <c r="D89" t="s">
        <v>2360</v>
      </c>
    </row>
    <row r="90" spans="2:83" x14ac:dyDescent="0.2">
      <c r="B90" t="s">
        <v>2361</v>
      </c>
      <c r="C90">
        <v>990</v>
      </c>
      <c r="D90" t="s">
        <v>2362</v>
      </c>
    </row>
    <row r="91" spans="2:83" x14ac:dyDescent="0.2">
      <c r="B91" t="s">
        <v>2363</v>
      </c>
      <c r="C91">
        <v>1000</v>
      </c>
      <c r="D91" t="s">
        <v>2364</v>
      </c>
    </row>
    <row r="93" spans="2:83" x14ac:dyDescent="0.2">
      <c r="B93" t="s">
        <v>2365</v>
      </c>
      <c r="C93" t="s">
        <v>1560</v>
      </c>
    </row>
    <row r="94" spans="2:83" x14ac:dyDescent="0.2">
      <c r="B94" t="s">
        <v>2366</v>
      </c>
      <c r="C94">
        <v>1010</v>
      </c>
      <c r="CE94">
        <f>IF(ISBLANK(E94),1,0)</f>
        <v>1</v>
      </c>
    </row>
    <row r="95" spans="2:83" x14ac:dyDescent="0.2">
      <c r="B95" t="s">
        <v>2367</v>
      </c>
      <c r="E95" t="s">
        <v>2368</v>
      </c>
    </row>
    <row r="96" spans="2:83" x14ac:dyDescent="0.2">
      <c r="C96">
        <v>1020</v>
      </c>
      <c r="CE96">
        <f t="shared" ref="CE96:CE101" si="26">IF(AND(ISTEXT(B96),ISBLANK(E96)),1,IF(AND(ISTEXT(E96),ISBLANK(B96)),1,0))</f>
        <v>0</v>
      </c>
    </row>
    <row r="97" spans="2:83" x14ac:dyDescent="0.2">
      <c r="C97">
        <v>1030</v>
      </c>
      <c r="CE97">
        <f t="shared" si="26"/>
        <v>0</v>
      </c>
    </row>
    <row r="98" spans="2:83" x14ac:dyDescent="0.2">
      <c r="C98">
        <v>1040</v>
      </c>
      <c r="CE98">
        <f t="shared" si="26"/>
        <v>0</v>
      </c>
    </row>
    <row r="99" spans="2:83" x14ac:dyDescent="0.2">
      <c r="C99">
        <v>1050</v>
      </c>
      <c r="CE99">
        <f t="shared" si="26"/>
        <v>0</v>
      </c>
    </row>
    <row r="100" spans="2:83" x14ac:dyDescent="0.2">
      <c r="C100">
        <v>1060</v>
      </c>
      <c r="CE100">
        <f t="shared" si="26"/>
        <v>0</v>
      </c>
    </row>
    <row r="101" spans="2:83" x14ac:dyDescent="0.2">
      <c r="C101">
        <v>1070</v>
      </c>
      <c r="CE101">
        <f t="shared" si="26"/>
        <v>0</v>
      </c>
    </row>
    <row r="103" spans="2:83" x14ac:dyDescent="0.2">
      <c r="B103" t="s">
        <v>2369</v>
      </c>
      <c r="C103" t="s">
        <v>238</v>
      </c>
      <c r="D103" t="s">
        <v>25</v>
      </c>
      <c r="E103" t="s">
        <v>307</v>
      </c>
    </row>
    <row r="104" spans="2:83" x14ac:dyDescent="0.2">
      <c r="C104" t="s">
        <v>242</v>
      </c>
      <c r="E104" t="s">
        <v>2036</v>
      </c>
    </row>
    <row r="105" spans="2:83" x14ac:dyDescent="0.2">
      <c r="B105" t="s">
        <v>2370</v>
      </c>
      <c r="E105" t="s">
        <v>243</v>
      </c>
    </row>
    <row r="106" spans="2:83" x14ac:dyDescent="0.2">
      <c r="B106" t="s">
        <v>2371</v>
      </c>
      <c r="C106">
        <v>1090</v>
      </c>
      <c r="D106" t="s">
        <v>248</v>
      </c>
    </row>
    <row r="107" spans="2:83" x14ac:dyDescent="0.2">
      <c r="B107" t="s">
        <v>2372</v>
      </c>
      <c r="C107">
        <v>1100</v>
      </c>
      <c r="D107" t="s">
        <v>248</v>
      </c>
    </row>
    <row r="108" spans="2:83" x14ac:dyDescent="0.2">
      <c r="B108" t="s">
        <v>2373</v>
      </c>
      <c r="C108">
        <v>1105</v>
      </c>
      <c r="D108" t="s">
        <v>245</v>
      </c>
      <c r="CA108">
        <f>IF(E108&gt;0,1,0)</f>
        <v>0</v>
      </c>
    </row>
    <row r="109" spans="2:83" x14ac:dyDescent="0.2">
      <c r="B109" t="s">
        <v>2374</v>
      </c>
      <c r="C109">
        <v>1110</v>
      </c>
      <c r="D109" t="s">
        <v>248</v>
      </c>
      <c r="E109">
        <f>I66-E110</f>
        <v>0</v>
      </c>
    </row>
    <row r="110" spans="2:83" x14ac:dyDescent="0.2">
      <c r="B110" t="s">
        <v>2375</v>
      </c>
      <c r="C110">
        <v>1120</v>
      </c>
      <c r="D110" t="s">
        <v>248</v>
      </c>
    </row>
    <row r="111" spans="2:83" x14ac:dyDescent="0.2">
      <c r="B111" t="s">
        <v>2376</v>
      </c>
      <c r="C111">
        <v>1130</v>
      </c>
      <c r="D111" t="s">
        <v>248</v>
      </c>
    </row>
    <row r="112" spans="2:83" x14ac:dyDescent="0.2">
      <c r="B112" t="s">
        <v>2377</v>
      </c>
      <c r="C112">
        <v>1140</v>
      </c>
      <c r="D112" t="s">
        <v>248</v>
      </c>
      <c r="E112">
        <f>SUM(E106:E111)</f>
        <v>0</v>
      </c>
    </row>
  </sheetData>
  <sheetProtection sheet="1" objects="1" scenarios="1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CC140"/>
  <sheetViews>
    <sheetView zoomScale="70" zoomScaleNormal="70" workbookViewId="0"/>
  </sheetViews>
  <sheetFormatPr defaultRowHeight="12.75" x14ac:dyDescent="0.2"/>
  <sheetData>
    <row r="1" spans="1:81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81" x14ac:dyDescent="0.2">
      <c r="A2" t="s">
        <v>3727</v>
      </c>
    </row>
    <row r="3" spans="1:81" x14ac:dyDescent="0.2">
      <c r="A3" t="s">
        <v>3796</v>
      </c>
      <c r="CA3" t="s">
        <v>230</v>
      </c>
      <c r="CB3">
        <f>0</f>
        <v>0</v>
      </c>
    </row>
    <row r="4" spans="1:81" x14ac:dyDescent="0.2">
      <c r="CA4" t="s">
        <v>231</v>
      </c>
      <c r="CB4" t="s">
        <v>232</v>
      </c>
      <c r="CC4" t="s">
        <v>3379</v>
      </c>
    </row>
    <row r="5" spans="1:81" x14ac:dyDescent="0.2">
      <c r="B5" t="s">
        <v>3380</v>
      </c>
      <c r="CA5">
        <f>SUM(CA7:CA133)</f>
        <v>0</v>
      </c>
      <c r="CB5">
        <f>SUM(CB7:CB133)</f>
        <v>0</v>
      </c>
    </row>
    <row r="6" spans="1:81" x14ac:dyDescent="0.2">
      <c r="B6" t="s">
        <v>176</v>
      </c>
      <c r="C6" t="s">
        <v>242</v>
      </c>
    </row>
    <row r="8" spans="1:81" x14ac:dyDescent="0.2">
      <c r="B8" t="s">
        <v>1679</v>
      </c>
      <c r="C8">
        <v>100</v>
      </c>
      <c r="D8" t="s">
        <v>248</v>
      </c>
    </row>
    <row r="9" spans="1:81" x14ac:dyDescent="0.2">
      <c r="B9" t="s">
        <v>1680</v>
      </c>
      <c r="C9">
        <v>110</v>
      </c>
      <c r="D9" t="s">
        <v>248</v>
      </c>
    </row>
    <row r="10" spans="1:81" x14ac:dyDescent="0.2">
      <c r="B10" t="s">
        <v>340</v>
      </c>
      <c r="C10">
        <v>120</v>
      </c>
      <c r="D10" t="s">
        <v>248</v>
      </c>
    </row>
    <row r="11" spans="1:81" x14ac:dyDescent="0.2">
      <c r="B11" t="s">
        <v>1681</v>
      </c>
    </row>
    <row r="12" spans="1:81" x14ac:dyDescent="0.2">
      <c r="B12" t="s">
        <v>1633</v>
      </c>
      <c r="C12">
        <v>130</v>
      </c>
      <c r="D12" t="s">
        <v>248</v>
      </c>
    </row>
    <row r="13" spans="1:81" x14ac:dyDescent="0.2">
      <c r="B13" t="s">
        <v>1682</v>
      </c>
      <c r="C13">
        <v>140</v>
      </c>
      <c r="D13" t="s">
        <v>248</v>
      </c>
    </row>
    <row r="14" spans="1:81" x14ac:dyDescent="0.2">
      <c r="B14" t="s">
        <v>1635</v>
      </c>
      <c r="C14">
        <v>150</v>
      </c>
      <c r="D14" t="s">
        <v>248</v>
      </c>
    </row>
    <row r="15" spans="1:81" x14ac:dyDescent="0.2">
      <c r="B15" t="s">
        <v>340</v>
      </c>
      <c r="C15">
        <v>160</v>
      </c>
      <c r="D15" t="s">
        <v>248</v>
      </c>
    </row>
    <row r="16" spans="1:81" x14ac:dyDescent="0.2">
      <c r="B16" t="s">
        <v>1683</v>
      </c>
    </row>
    <row r="17" spans="2:4" x14ac:dyDescent="0.2">
      <c r="B17" t="s">
        <v>1684</v>
      </c>
      <c r="C17" t="s">
        <v>3045</v>
      </c>
      <c r="D17" t="s">
        <v>251</v>
      </c>
    </row>
    <row r="18" spans="2:4" x14ac:dyDescent="0.2">
      <c r="B18" t="s">
        <v>1685</v>
      </c>
      <c r="C18">
        <v>180</v>
      </c>
      <c r="D18" t="s">
        <v>248</v>
      </c>
    </row>
    <row r="19" spans="2:4" x14ac:dyDescent="0.2">
      <c r="B19" t="s">
        <v>1686</v>
      </c>
      <c r="C19">
        <v>190</v>
      </c>
      <c r="D19" t="s">
        <v>248</v>
      </c>
    </row>
    <row r="20" spans="2:4" x14ac:dyDescent="0.2">
      <c r="B20" t="s">
        <v>1687</v>
      </c>
      <c r="C20">
        <v>200</v>
      </c>
      <c r="D20" t="s">
        <v>248</v>
      </c>
    </row>
    <row r="24" spans="2:4" x14ac:dyDescent="0.2">
      <c r="C24" t="s">
        <v>238</v>
      </c>
      <c r="D24" t="s">
        <v>25</v>
      </c>
    </row>
    <row r="25" spans="2:4" x14ac:dyDescent="0.2">
      <c r="B25" t="s">
        <v>177</v>
      </c>
      <c r="C25" t="s">
        <v>242</v>
      </c>
    </row>
    <row r="27" spans="2:4" x14ac:dyDescent="0.2">
      <c r="B27" t="s">
        <v>1633</v>
      </c>
      <c r="C27">
        <v>210</v>
      </c>
      <c r="D27" t="s">
        <v>248</v>
      </c>
    </row>
    <row r="28" spans="2:4" x14ac:dyDescent="0.2">
      <c r="B28" t="s">
        <v>1682</v>
      </c>
      <c r="C28">
        <v>220</v>
      </c>
      <c r="D28" t="s">
        <v>248</v>
      </c>
    </row>
    <row r="29" spans="2:4" x14ac:dyDescent="0.2">
      <c r="B29" t="s">
        <v>1635</v>
      </c>
      <c r="C29">
        <v>230</v>
      </c>
      <c r="D29" t="s">
        <v>248</v>
      </c>
    </row>
    <row r="30" spans="2:4" x14ac:dyDescent="0.2">
      <c r="B30" t="s">
        <v>1477</v>
      </c>
      <c r="C30">
        <v>240</v>
      </c>
      <c r="D30" t="s">
        <v>248</v>
      </c>
    </row>
    <row r="31" spans="2:4" x14ac:dyDescent="0.2">
      <c r="B31" t="s">
        <v>1689</v>
      </c>
      <c r="C31">
        <v>250</v>
      </c>
      <c r="D31" t="s">
        <v>245</v>
      </c>
    </row>
    <row r="32" spans="2:4" x14ac:dyDescent="0.2">
      <c r="B32" t="s">
        <v>340</v>
      </c>
      <c r="C32">
        <v>260</v>
      </c>
      <c r="D32" t="s">
        <v>248</v>
      </c>
    </row>
    <row r="36" spans="2:4" x14ac:dyDescent="0.2">
      <c r="C36" t="s">
        <v>238</v>
      </c>
      <c r="D36" t="s">
        <v>25</v>
      </c>
    </row>
    <row r="37" spans="2:4" x14ac:dyDescent="0.2">
      <c r="B37" t="s">
        <v>3381</v>
      </c>
      <c r="C37" t="s">
        <v>242</v>
      </c>
    </row>
    <row r="39" spans="2:4" x14ac:dyDescent="0.2">
      <c r="B39" t="s">
        <v>3382</v>
      </c>
      <c r="C39">
        <v>270</v>
      </c>
      <c r="D39" t="s">
        <v>248</v>
      </c>
    </row>
    <row r="40" spans="2:4" x14ac:dyDescent="0.2">
      <c r="B40" t="s">
        <v>3383</v>
      </c>
      <c r="C40">
        <v>280</v>
      </c>
      <c r="D40" t="s">
        <v>248</v>
      </c>
    </row>
    <row r="41" spans="2:4" x14ac:dyDescent="0.2">
      <c r="B41" t="s">
        <v>340</v>
      </c>
      <c r="C41">
        <v>290</v>
      </c>
      <c r="D41" t="s">
        <v>248</v>
      </c>
    </row>
    <row r="45" spans="2:4" x14ac:dyDescent="0.2">
      <c r="C45" t="s">
        <v>238</v>
      </c>
      <c r="D45" t="s">
        <v>25</v>
      </c>
    </row>
    <row r="46" spans="2:4" x14ac:dyDescent="0.2">
      <c r="B46" t="s">
        <v>182</v>
      </c>
      <c r="C46" t="s">
        <v>242</v>
      </c>
    </row>
    <row r="48" spans="2:4" x14ac:dyDescent="0.2">
      <c r="B48" t="s">
        <v>1695</v>
      </c>
      <c r="C48">
        <v>300</v>
      </c>
      <c r="D48" t="s">
        <v>248</v>
      </c>
    </row>
    <row r="49" spans="2:4" x14ac:dyDescent="0.2">
      <c r="B49" t="s">
        <v>1696</v>
      </c>
      <c r="C49">
        <v>310</v>
      </c>
      <c r="D49" t="s">
        <v>248</v>
      </c>
    </row>
    <row r="50" spans="2:4" x14ac:dyDescent="0.2">
      <c r="B50" t="s">
        <v>340</v>
      </c>
      <c r="C50">
        <v>320</v>
      </c>
      <c r="D50" t="s">
        <v>248</v>
      </c>
    </row>
    <row r="51" spans="2:4" x14ac:dyDescent="0.2">
      <c r="B51" t="s">
        <v>1697</v>
      </c>
    </row>
    <row r="52" spans="2:4" x14ac:dyDescent="0.2">
      <c r="B52" t="s">
        <v>3384</v>
      </c>
    </row>
    <row r="53" spans="2:4" x14ac:dyDescent="0.2">
      <c r="B53" t="s">
        <v>1633</v>
      </c>
      <c r="C53">
        <v>330</v>
      </c>
      <c r="D53" t="s">
        <v>248</v>
      </c>
    </row>
    <row r="54" spans="2:4" x14ac:dyDescent="0.2">
      <c r="B54" t="s">
        <v>1682</v>
      </c>
      <c r="C54">
        <v>340</v>
      </c>
      <c r="D54" t="s">
        <v>248</v>
      </c>
    </row>
    <row r="55" spans="2:4" x14ac:dyDescent="0.2">
      <c r="B55" t="s">
        <v>1635</v>
      </c>
      <c r="C55">
        <v>350</v>
      </c>
      <c r="D55" t="s">
        <v>248</v>
      </c>
    </row>
    <row r="56" spans="2:4" x14ac:dyDescent="0.2">
      <c r="B56" t="s">
        <v>340</v>
      </c>
      <c r="C56">
        <v>360</v>
      </c>
      <c r="D56" t="s">
        <v>248</v>
      </c>
    </row>
    <row r="63" spans="2:4" x14ac:dyDescent="0.2">
      <c r="B63" t="s">
        <v>1699</v>
      </c>
    </row>
    <row r="64" spans="2:4" x14ac:dyDescent="0.2">
      <c r="B64" t="s">
        <v>1684</v>
      </c>
      <c r="C64">
        <v>370</v>
      </c>
      <c r="D64" t="s">
        <v>251</v>
      </c>
    </row>
    <row r="65" spans="2:4" x14ac:dyDescent="0.2">
      <c r="B65" t="s">
        <v>1700</v>
      </c>
      <c r="C65">
        <v>380</v>
      </c>
      <c r="D65" t="s">
        <v>248</v>
      </c>
    </row>
    <row r="66" spans="2:4" x14ac:dyDescent="0.2">
      <c r="B66" t="s">
        <v>1701</v>
      </c>
      <c r="C66">
        <v>390</v>
      </c>
      <c r="D66" t="s">
        <v>248</v>
      </c>
    </row>
    <row r="67" spans="2:4" x14ac:dyDescent="0.2">
      <c r="B67" t="s">
        <v>1702</v>
      </c>
      <c r="C67">
        <v>400</v>
      </c>
      <c r="D67" t="s">
        <v>248</v>
      </c>
    </row>
    <row r="71" spans="2:4" x14ac:dyDescent="0.2">
      <c r="C71" t="s">
        <v>238</v>
      </c>
      <c r="D71" t="s">
        <v>25</v>
      </c>
    </row>
    <row r="72" spans="2:4" x14ac:dyDescent="0.2">
      <c r="B72" t="s">
        <v>183</v>
      </c>
      <c r="C72" t="s">
        <v>242</v>
      </c>
    </row>
    <row r="74" spans="2:4" x14ac:dyDescent="0.2">
      <c r="B74" t="s">
        <v>1633</v>
      </c>
      <c r="C74">
        <v>410</v>
      </c>
      <c r="D74" t="s">
        <v>248</v>
      </c>
    </row>
    <row r="75" spans="2:4" x14ac:dyDescent="0.2">
      <c r="B75" t="s">
        <v>1682</v>
      </c>
      <c r="C75">
        <v>420</v>
      </c>
      <c r="D75" t="s">
        <v>248</v>
      </c>
    </row>
    <row r="76" spans="2:4" x14ac:dyDescent="0.2">
      <c r="B76" t="s">
        <v>1635</v>
      </c>
      <c r="C76">
        <v>430</v>
      </c>
      <c r="D76" t="s">
        <v>248</v>
      </c>
    </row>
    <row r="77" spans="2:4" x14ac:dyDescent="0.2">
      <c r="B77" t="s">
        <v>1477</v>
      </c>
      <c r="C77">
        <v>440</v>
      </c>
      <c r="D77" t="s">
        <v>248</v>
      </c>
    </row>
    <row r="78" spans="2:4" x14ac:dyDescent="0.2">
      <c r="B78" t="s">
        <v>1689</v>
      </c>
      <c r="C78">
        <v>450</v>
      </c>
      <c r="D78" t="s">
        <v>245</v>
      </c>
    </row>
    <row r="79" spans="2:4" x14ac:dyDescent="0.2">
      <c r="B79" t="s">
        <v>340</v>
      </c>
      <c r="C79">
        <v>460</v>
      </c>
      <c r="D79" t="s">
        <v>248</v>
      </c>
    </row>
    <row r="83" spans="2:80" x14ac:dyDescent="0.2">
      <c r="C83" t="s">
        <v>238</v>
      </c>
      <c r="D83" t="s">
        <v>25</v>
      </c>
    </row>
    <row r="84" spans="2:80" x14ac:dyDescent="0.2">
      <c r="B84" t="s">
        <v>3385</v>
      </c>
      <c r="C84" t="s">
        <v>242</v>
      </c>
    </row>
    <row r="86" spans="2:80" x14ac:dyDescent="0.2">
      <c r="B86" t="s">
        <v>3386</v>
      </c>
      <c r="C86">
        <v>470</v>
      </c>
      <c r="D86" t="s">
        <v>248</v>
      </c>
    </row>
    <row r="87" spans="2:80" x14ac:dyDescent="0.2">
      <c r="B87" t="s">
        <v>3387</v>
      </c>
      <c r="C87">
        <v>480</v>
      </c>
      <c r="D87" t="s">
        <v>248</v>
      </c>
    </row>
    <row r="88" spans="2:80" x14ac:dyDescent="0.2">
      <c r="B88" t="s">
        <v>340</v>
      </c>
      <c r="C88">
        <v>490</v>
      </c>
      <c r="D88" t="s">
        <v>248</v>
      </c>
    </row>
    <row r="92" spans="2:80" x14ac:dyDescent="0.2">
      <c r="B92" t="s">
        <v>188</v>
      </c>
      <c r="C92" t="s">
        <v>238</v>
      </c>
      <c r="D92" t="s">
        <v>25</v>
      </c>
      <c r="E92" t="s">
        <v>3279</v>
      </c>
      <c r="F92" t="s">
        <v>3280</v>
      </c>
      <c r="G92" t="s">
        <v>2025</v>
      </c>
      <c r="H92" t="s">
        <v>2026</v>
      </c>
      <c r="I92" t="s">
        <v>2027</v>
      </c>
      <c r="J92" t="s">
        <v>2028</v>
      </c>
      <c r="K92" t="s">
        <v>2029</v>
      </c>
      <c r="L92" t="s">
        <v>2030</v>
      </c>
      <c r="M92" t="s">
        <v>2031</v>
      </c>
      <c r="N92" t="s">
        <v>2032</v>
      </c>
      <c r="O92" t="s">
        <v>2033</v>
      </c>
      <c r="P92" t="s">
        <v>2034</v>
      </c>
      <c r="Q92" t="s">
        <v>2035</v>
      </c>
      <c r="R92" t="s">
        <v>3281</v>
      </c>
    </row>
    <row r="93" spans="2:80" x14ac:dyDescent="0.2">
      <c r="C93" t="s">
        <v>242</v>
      </c>
      <c r="E93" t="s">
        <v>2036</v>
      </c>
      <c r="F93" t="s">
        <v>2037</v>
      </c>
      <c r="G93" t="s">
        <v>2038</v>
      </c>
      <c r="H93" t="s">
        <v>2039</v>
      </c>
      <c r="I93" t="s">
        <v>2040</v>
      </c>
      <c r="J93" t="s">
        <v>2041</v>
      </c>
      <c r="K93" t="s">
        <v>2042</v>
      </c>
      <c r="L93" t="s">
        <v>2043</v>
      </c>
      <c r="M93" t="s">
        <v>2044</v>
      </c>
      <c r="N93" t="s">
        <v>2045</v>
      </c>
      <c r="O93" t="s">
        <v>2046</v>
      </c>
      <c r="P93" t="s">
        <v>2047</v>
      </c>
      <c r="Q93" t="s">
        <v>2048</v>
      </c>
      <c r="R93" t="s">
        <v>2049</v>
      </c>
    </row>
    <row r="94" spans="2:80" x14ac:dyDescent="0.2">
      <c r="B94" t="s">
        <v>1710</v>
      </c>
      <c r="E94" t="s">
        <v>243</v>
      </c>
      <c r="F94" t="s">
        <v>243</v>
      </c>
      <c r="G94" t="s">
        <v>243</v>
      </c>
      <c r="H94" t="s">
        <v>243</v>
      </c>
      <c r="I94" t="s">
        <v>243</v>
      </c>
      <c r="J94" t="s">
        <v>243</v>
      </c>
      <c r="K94" t="s">
        <v>243</v>
      </c>
      <c r="L94" t="s">
        <v>243</v>
      </c>
      <c r="M94" t="s">
        <v>243</v>
      </c>
      <c r="N94" t="s">
        <v>243</v>
      </c>
      <c r="O94" t="s">
        <v>243</v>
      </c>
      <c r="P94" t="s">
        <v>243</v>
      </c>
      <c r="Q94" t="s">
        <v>243</v>
      </c>
      <c r="R94" t="s">
        <v>243</v>
      </c>
    </row>
    <row r="95" spans="2:80" x14ac:dyDescent="0.2">
      <c r="B95" t="s">
        <v>1711</v>
      </c>
    </row>
    <row r="96" spans="2:80" x14ac:dyDescent="0.2">
      <c r="B96" t="s">
        <v>1712</v>
      </c>
      <c r="C96">
        <v>510</v>
      </c>
      <c r="D96" t="s">
        <v>248</v>
      </c>
      <c r="E96">
        <f t="shared" ref="E96:E102" si="0">SUM(F96:Q96)</f>
        <v>0</v>
      </c>
      <c r="BA96">
        <f t="shared" ref="BA96:BA105" ca="1" si="1">IF(OR($BA$1="13",$BA$1="16"),SUM(OFFSET(E96,0,1,1,12)),SUM(OFFSET(E96,0,1,1,$BA$1)))</f>
        <v>0</v>
      </c>
      <c r="BB96">
        <f t="shared" ref="BB96:BB105" ca="1" si="2">IF(OR($BA$1="13",$BA$1="16"),(OFFSET(E96,0,12,1,1)),(OFFSET(E96,0,$BA$1,1,1)))</f>
        <v>0</v>
      </c>
      <c r="CB96">
        <f>IF(OR(E96&lt;0,F96&lt;0,G96&lt;0,H96&lt;0,I96&lt;0,J96&lt;0,K96&lt;0,L96&lt;0,M96&lt;0,N96&lt;0,O96&lt;0,P96&lt;0,Q96&lt;0,R96&lt;0),1,0)</f>
        <v>0</v>
      </c>
    </row>
    <row r="97" spans="2:80" x14ac:dyDescent="0.2">
      <c r="B97" t="s">
        <v>1713</v>
      </c>
      <c r="C97">
        <v>520</v>
      </c>
      <c r="D97" t="s">
        <v>248</v>
      </c>
      <c r="E97">
        <f t="shared" si="0"/>
        <v>0</v>
      </c>
      <c r="BA97">
        <f t="shared" ca="1" si="1"/>
        <v>0</v>
      </c>
      <c r="BB97">
        <f t="shared" ca="1" si="2"/>
        <v>0</v>
      </c>
      <c r="CB97">
        <f>IF(OR(E97&lt;0,F97&lt;0,G97&lt;0,H97&lt;0,I97&lt;0,J97&lt;0,K97&lt;0,L97&lt;0,M97&lt;0,N97&lt;0,O97&lt;0,P97&lt;0,Q97&lt;0,R97&lt;0),1,0)</f>
        <v>0</v>
      </c>
    </row>
    <row r="98" spans="2:80" x14ac:dyDescent="0.2">
      <c r="B98" t="s">
        <v>1714</v>
      </c>
      <c r="C98">
        <v>530</v>
      </c>
      <c r="D98" t="s">
        <v>251</v>
      </c>
      <c r="E98">
        <f t="shared" si="0"/>
        <v>0</v>
      </c>
      <c r="BA98">
        <f t="shared" ca="1" si="1"/>
        <v>0</v>
      </c>
      <c r="BB98">
        <f t="shared" ca="1" si="2"/>
        <v>0</v>
      </c>
    </row>
    <row r="99" spans="2:80" x14ac:dyDescent="0.2">
      <c r="B99" t="s">
        <v>1715</v>
      </c>
      <c r="C99">
        <v>540</v>
      </c>
      <c r="D99" t="s">
        <v>251</v>
      </c>
      <c r="E99">
        <f t="shared" si="0"/>
        <v>0</v>
      </c>
      <c r="BA99">
        <f t="shared" ca="1" si="1"/>
        <v>0</v>
      </c>
      <c r="BB99">
        <f t="shared" ca="1" si="2"/>
        <v>0</v>
      </c>
    </row>
    <row r="100" spans="2:80" x14ac:dyDescent="0.2">
      <c r="B100" t="s">
        <v>1716</v>
      </c>
      <c r="C100">
        <v>550</v>
      </c>
      <c r="D100" t="s">
        <v>248</v>
      </c>
      <c r="E100">
        <f t="shared" si="0"/>
        <v>0</v>
      </c>
      <c r="BA100">
        <f t="shared" ca="1" si="1"/>
        <v>0</v>
      </c>
      <c r="BB100">
        <f t="shared" ca="1" si="2"/>
        <v>0</v>
      </c>
      <c r="CB100">
        <f>IF(OR(E100&lt;0,F100&lt;0,G100&lt;0,H100&lt;0,I100&lt;0,J100&lt;0,K100&lt;0,L100&lt;0,M100&lt;0,N100&lt;0,O100&lt;0,P100&lt;0,Q100&lt;0,R100&lt;0),1,0)</f>
        <v>0</v>
      </c>
    </row>
    <row r="101" spans="2:80" x14ac:dyDescent="0.2">
      <c r="B101" t="s">
        <v>1717</v>
      </c>
      <c r="C101">
        <v>560</v>
      </c>
      <c r="D101" t="s">
        <v>245</v>
      </c>
      <c r="E101">
        <f t="shared" si="0"/>
        <v>0</v>
      </c>
      <c r="BA101">
        <f t="shared" ca="1" si="1"/>
        <v>0</v>
      </c>
      <c r="BB101">
        <f t="shared" ca="1" si="2"/>
        <v>0</v>
      </c>
      <c r="CA101">
        <f>IF(OR(E101&gt;0,F101&gt;0,G101&gt;0,H101&gt;0,I101&gt;0,J101&gt;0,K101&gt;0,L101&gt;0,M101&gt;0,N101&gt;0,O101&gt;0,P101&gt;0,Q101&gt;0,R101&gt;0),1,0)</f>
        <v>0</v>
      </c>
    </row>
    <row r="102" spans="2:80" x14ac:dyDescent="0.2">
      <c r="B102" t="s">
        <v>1718</v>
      </c>
      <c r="C102">
        <v>570</v>
      </c>
      <c r="D102" t="s">
        <v>251</v>
      </c>
      <c r="E102">
        <f t="shared" si="0"/>
        <v>0</v>
      </c>
      <c r="BA102">
        <f t="shared" ca="1" si="1"/>
        <v>0</v>
      </c>
      <c r="BB102">
        <f t="shared" ca="1" si="2"/>
        <v>0</v>
      </c>
    </row>
    <row r="103" spans="2:80" x14ac:dyDescent="0.2">
      <c r="B103" t="s">
        <v>1719</v>
      </c>
      <c r="C103">
        <v>580</v>
      </c>
      <c r="D103" t="s">
        <v>248</v>
      </c>
      <c r="E103">
        <f t="shared" ref="E103:R103" si="3">SUM(E96:E102)</f>
        <v>0</v>
      </c>
      <c r="F103">
        <f t="shared" si="3"/>
        <v>0</v>
      </c>
      <c r="G103">
        <f t="shared" si="3"/>
        <v>0</v>
      </c>
      <c r="H103">
        <f t="shared" si="3"/>
        <v>0</v>
      </c>
      <c r="I103">
        <f t="shared" si="3"/>
        <v>0</v>
      </c>
      <c r="J103">
        <f t="shared" si="3"/>
        <v>0</v>
      </c>
      <c r="K103">
        <f t="shared" si="3"/>
        <v>0</v>
      </c>
      <c r="L103">
        <f t="shared" si="3"/>
        <v>0</v>
      </c>
      <c r="M103">
        <f t="shared" si="3"/>
        <v>0</v>
      </c>
      <c r="N103">
        <f t="shared" si="3"/>
        <v>0</v>
      </c>
      <c r="O103">
        <f t="shared" si="3"/>
        <v>0</v>
      </c>
      <c r="P103">
        <f t="shared" si="3"/>
        <v>0</v>
      </c>
      <c r="Q103">
        <f t="shared" si="3"/>
        <v>0</v>
      </c>
      <c r="R103">
        <f t="shared" si="3"/>
        <v>0</v>
      </c>
      <c r="BA103">
        <f t="shared" ca="1" si="1"/>
        <v>0</v>
      </c>
      <c r="BB103">
        <f t="shared" ca="1" si="2"/>
        <v>0</v>
      </c>
      <c r="CB103">
        <f>IF(OR(E103&lt;0,F103&lt;0,G103&lt;0,H103&lt;0,I103&lt;0,J103&lt;0,K103&lt;0,L103&lt;0,M103&lt;0,N103&lt;0,O103&lt;0,P103&lt;0,Q103&lt;0,R103&lt;0),1,0)</f>
        <v>0</v>
      </c>
    </row>
    <row r="104" spans="2:80" x14ac:dyDescent="0.2">
      <c r="B104" t="s">
        <v>380</v>
      </c>
      <c r="C104">
        <v>590</v>
      </c>
      <c r="D104" t="s">
        <v>251</v>
      </c>
      <c r="E104">
        <f>SUM(F104:Q104)</f>
        <v>0</v>
      </c>
      <c r="BA104">
        <f t="shared" ca="1" si="1"/>
        <v>0</v>
      </c>
      <c r="BB104">
        <f t="shared" ca="1" si="2"/>
        <v>0</v>
      </c>
    </row>
    <row r="105" spans="2:80" x14ac:dyDescent="0.2">
      <c r="B105" t="s">
        <v>1720</v>
      </c>
      <c r="C105">
        <v>600</v>
      </c>
      <c r="D105" t="s">
        <v>251</v>
      </c>
      <c r="E105">
        <f t="shared" ref="E105:R105" si="4">SUM(E103:E104)</f>
        <v>0</v>
      </c>
      <c r="F105">
        <f t="shared" si="4"/>
        <v>0</v>
      </c>
      <c r="G105">
        <f t="shared" si="4"/>
        <v>0</v>
      </c>
      <c r="H105">
        <f t="shared" si="4"/>
        <v>0</v>
      </c>
      <c r="I105">
        <f t="shared" si="4"/>
        <v>0</v>
      </c>
      <c r="J105">
        <f t="shared" si="4"/>
        <v>0</v>
      </c>
      <c r="K105">
        <f t="shared" si="4"/>
        <v>0</v>
      </c>
      <c r="L105">
        <f t="shared" si="4"/>
        <v>0</v>
      </c>
      <c r="M105">
        <f t="shared" si="4"/>
        <v>0</v>
      </c>
      <c r="N105">
        <f t="shared" si="4"/>
        <v>0</v>
      </c>
      <c r="O105">
        <f t="shared" si="4"/>
        <v>0</v>
      </c>
      <c r="P105">
        <f t="shared" si="4"/>
        <v>0</v>
      </c>
      <c r="Q105">
        <f t="shared" si="4"/>
        <v>0</v>
      </c>
      <c r="R105">
        <f t="shared" si="4"/>
        <v>0</v>
      </c>
      <c r="BA105">
        <f t="shared" ca="1" si="1"/>
        <v>0</v>
      </c>
      <c r="BB105">
        <f t="shared" ca="1" si="2"/>
        <v>0</v>
      </c>
    </row>
    <row r="106" spans="2:80" x14ac:dyDescent="0.2">
      <c r="B106" t="s">
        <v>2343</v>
      </c>
    </row>
    <row r="107" spans="2:80" x14ac:dyDescent="0.2">
      <c r="B107" t="s">
        <v>2344</v>
      </c>
      <c r="C107">
        <v>605</v>
      </c>
      <c r="D107" t="s">
        <v>251</v>
      </c>
      <c r="E107">
        <f t="shared" ref="E107:R107" si="5">SUM(E105)</f>
        <v>0</v>
      </c>
      <c r="F107">
        <f t="shared" si="5"/>
        <v>0</v>
      </c>
      <c r="G107">
        <f t="shared" si="5"/>
        <v>0</v>
      </c>
      <c r="H107">
        <f t="shared" si="5"/>
        <v>0</v>
      </c>
      <c r="I107">
        <f t="shared" si="5"/>
        <v>0</v>
      </c>
      <c r="J107">
        <f t="shared" si="5"/>
        <v>0</v>
      </c>
      <c r="K107">
        <f t="shared" si="5"/>
        <v>0</v>
      </c>
      <c r="L107">
        <f t="shared" si="5"/>
        <v>0</v>
      </c>
      <c r="M107">
        <f t="shared" si="5"/>
        <v>0</v>
      </c>
      <c r="N107">
        <f t="shared" si="5"/>
        <v>0</v>
      </c>
      <c r="O107">
        <f t="shared" si="5"/>
        <v>0</v>
      </c>
      <c r="P107">
        <f t="shared" si="5"/>
        <v>0</v>
      </c>
      <c r="Q107">
        <f t="shared" si="5"/>
        <v>0</v>
      </c>
      <c r="R107">
        <f t="shared" si="5"/>
        <v>0</v>
      </c>
      <c r="BA107">
        <f ca="1">IF(OR($BA$1="13",$BA$1="16"),SUM(OFFSET(E107,0,1,1,12)),SUM(OFFSET(E107,0,1,1,$BA$1)))</f>
        <v>0</v>
      </c>
      <c r="BB107">
        <f ca="1">IF(OR($BA$1="13",$BA$1="16"),(OFFSET(E107,0,12,1,1)),(OFFSET(E107,0,$BA$1,1,1)))</f>
        <v>0</v>
      </c>
    </row>
    <row r="108" spans="2:80" x14ac:dyDescent="0.2">
      <c r="B108" t="s">
        <v>2345</v>
      </c>
      <c r="C108">
        <v>608</v>
      </c>
      <c r="D108" t="s">
        <v>251</v>
      </c>
      <c r="E108">
        <f>SUM(F108:Q108)</f>
        <v>0</v>
      </c>
      <c r="F108">
        <f t="shared" ref="F108:R108" si="6">F98+F99</f>
        <v>0</v>
      </c>
      <c r="G108">
        <f t="shared" si="6"/>
        <v>0</v>
      </c>
      <c r="H108">
        <f t="shared" si="6"/>
        <v>0</v>
      </c>
      <c r="I108">
        <f t="shared" si="6"/>
        <v>0</v>
      </c>
      <c r="J108">
        <f t="shared" si="6"/>
        <v>0</v>
      </c>
      <c r="K108">
        <f t="shared" si="6"/>
        <v>0</v>
      </c>
      <c r="L108">
        <f t="shared" si="6"/>
        <v>0</v>
      </c>
      <c r="M108">
        <f t="shared" si="6"/>
        <v>0</v>
      </c>
      <c r="N108">
        <f t="shared" si="6"/>
        <v>0</v>
      </c>
      <c r="O108">
        <f t="shared" si="6"/>
        <v>0</v>
      </c>
      <c r="P108">
        <f t="shared" si="6"/>
        <v>0</v>
      </c>
      <c r="Q108">
        <f t="shared" si="6"/>
        <v>0</v>
      </c>
      <c r="R108">
        <f t="shared" si="6"/>
        <v>0</v>
      </c>
      <c r="BA108">
        <f ca="1">IF(OR($BA$1="13",$BA$1="16"),SUM(OFFSET(E108,0,1,1,12)),SUM(OFFSET(E108,0,1,1,$BA$1)))</f>
        <v>0</v>
      </c>
      <c r="BB108">
        <f ca="1">IF(OR($BA$1="13",$BA$1="16"),(OFFSET(E108,0,12,1,1)),(OFFSET(E108,0,$BA$1,1,1)))</f>
        <v>0</v>
      </c>
    </row>
    <row r="109" spans="2:80" x14ac:dyDescent="0.2">
      <c r="B109" t="s">
        <v>3388</v>
      </c>
      <c r="C109">
        <v>612</v>
      </c>
      <c r="D109" t="s">
        <v>251</v>
      </c>
      <c r="E109">
        <f>SUM(F109:Q109)</f>
        <v>0</v>
      </c>
      <c r="F109">
        <f t="shared" ref="F109:R109" si="7">SUM(F107-F108)</f>
        <v>0</v>
      </c>
      <c r="G109">
        <f t="shared" si="7"/>
        <v>0</v>
      </c>
      <c r="H109">
        <f t="shared" si="7"/>
        <v>0</v>
      </c>
      <c r="I109">
        <f t="shared" si="7"/>
        <v>0</v>
      </c>
      <c r="J109">
        <f t="shared" si="7"/>
        <v>0</v>
      </c>
      <c r="K109">
        <f t="shared" si="7"/>
        <v>0</v>
      </c>
      <c r="L109">
        <f t="shared" si="7"/>
        <v>0</v>
      </c>
      <c r="M109">
        <f t="shared" si="7"/>
        <v>0</v>
      </c>
      <c r="N109">
        <f t="shared" si="7"/>
        <v>0</v>
      </c>
      <c r="O109">
        <f t="shared" si="7"/>
        <v>0</v>
      </c>
      <c r="P109">
        <f t="shared" si="7"/>
        <v>0</v>
      </c>
      <c r="Q109">
        <f t="shared" si="7"/>
        <v>0</v>
      </c>
      <c r="R109">
        <f t="shared" si="7"/>
        <v>0</v>
      </c>
      <c r="BA109">
        <f ca="1">IF(OR($BA$1="13",$BA$1="16"),SUM(OFFSET(E109,0,1,1,12)),SUM(OFFSET(E109,0,1,1,$BA$1)))</f>
        <v>0</v>
      </c>
      <c r="BB109">
        <f ca="1">IF(OR($BA$1="13",$BA$1="16"),(OFFSET(E109,0,12,1,1)),(OFFSET(E109,0,$BA$1,1,1)))</f>
        <v>0</v>
      </c>
    </row>
    <row r="110" spans="2:80" x14ac:dyDescent="0.2">
      <c r="B110" t="s">
        <v>2347</v>
      </c>
      <c r="C110">
        <v>614</v>
      </c>
      <c r="D110" t="s">
        <v>251</v>
      </c>
      <c r="E110">
        <f>SUM(F110:Q110)</f>
        <v>0</v>
      </c>
      <c r="F110">
        <f t="shared" ref="F110:R110" si="8">IF(F109&lt;0,0,F109)</f>
        <v>0</v>
      </c>
      <c r="G110">
        <f t="shared" si="8"/>
        <v>0</v>
      </c>
      <c r="H110">
        <f t="shared" si="8"/>
        <v>0</v>
      </c>
      <c r="I110">
        <f t="shared" si="8"/>
        <v>0</v>
      </c>
      <c r="J110">
        <f t="shared" si="8"/>
        <v>0</v>
      </c>
      <c r="K110">
        <f t="shared" si="8"/>
        <v>0</v>
      </c>
      <c r="L110">
        <f t="shared" si="8"/>
        <v>0</v>
      </c>
      <c r="M110">
        <f t="shared" si="8"/>
        <v>0</v>
      </c>
      <c r="N110">
        <f t="shared" si="8"/>
        <v>0</v>
      </c>
      <c r="O110">
        <f t="shared" si="8"/>
        <v>0</v>
      </c>
      <c r="P110">
        <f t="shared" si="8"/>
        <v>0</v>
      </c>
      <c r="Q110">
        <f t="shared" si="8"/>
        <v>0</v>
      </c>
      <c r="R110">
        <f t="shared" si="8"/>
        <v>0</v>
      </c>
      <c r="BA110">
        <f ca="1">IF(OR($BA$1="13",$BA$1="16"),SUM(OFFSET(E110,0,1,1,12)),SUM(OFFSET(E110,0,1,1,$BA$1)))</f>
        <v>0</v>
      </c>
      <c r="BB110">
        <f ca="1">IF(OR($BA$1="13",$BA$1="16"),(OFFSET(E110,0,12,1,1)),(OFFSET(E110,0,$BA$1,1,1)))</f>
        <v>0</v>
      </c>
    </row>
    <row r="111" spans="2:80" x14ac:dyDescent="0.2">
      <c r="B111" t="s">
        <v>1721</v>
      </c>
    </row>
    <row r="112" spans="2:80" x14ac:dyDescent="0.2">
      <c r="B112" t="s">
        <v>1722</v>
      </c>
      <c r="C112">
        <v>620</v>
      </c>
      <c r="D112" t="s">
        <v>248</v>
      </c>
      <c r="E112">
        <f>SUM(F112:Q112)</f>
        <v>0</v>
      </c>
      <c r="BA112">
        <f ca="1">IF(OR($BA$1="13",$BA$1="16"),SUM(OFFSET(E112,0,1,1,12)),SUM(OFFSET(E112,0,1,1,$BA$1)))</f>
        <v>0</v>
      </c>
      <c r="BB112">
        <f ca="1">IF(OR($BA$1="13",$BA$1="16"),(OFFSET(E112,0,12,1,1)),(OFFSET(E112,0,$BA$1,1,1)))</f>
        <v>0</v>
      </c>
      <c r="CB112">
        <f>IF(OR(E112&lt;0,F112&lt;0,G112&lt;0,H112&lt;0,I112&lt;0,J112&lt;0,K112&lt;0,L112&lt;0,M112&lt;0,N112&lt;0,O112&lt;0,P112&lt;0,Q112&lt;0,R112&lt;0),1,0)</f>
        <v>0</v>
      </c>
    </row>
    <row r="113" spans="2:80" x14ac:dyDescent="0.2">
      <c r="B113" t="s">
        <v>2348</v>
      </c>
      <c r="C113">
        <v>630</v>
      </c>
      <c r="D113" t="s">
        <v>248</v>
      </c>
    </row>
    <row r="114" spans="2:80" x14ac:dyDescent="0.2">
      <c r="B114" t="s">
        <v>2349</v>
      </c>
      <c r="C114">
        <v>640</v>
      </c>
      <c r="D114" t="s">
        <v>248</v>
      </c>
    </row>
    <row r="115" spans="2:80" x14ac:dyDescent="0.2">
      <c r="B115" t="s">
        <v>3389</v>
      </c>
      <c r="C115">
        <v>650</v>
      </c>
      <c r="D115" t="s">
        <v>248</v>
      </c>
      <c r="E115">
        <f>SUM(F115:Q115)</f>
        <v>0</v>
      </c>
      <c r="BA115">
        <f ca="1">IF(OR($BA$1="13",$BA$1="16"),SUM(OFFSET(E115,0,1,1,12)),SUM(OFFSET(E115,0,1,1,$BA$1)))</f>
        <v>0</v>
      </c>
      <c r="BB115">
        <f ca="1">IF(OR($BA$1="13",$BA$1="16"),(OFFSET(E115,0,12,1,1)),(OFFSET(E115,0,$BA$1,1,1)))</f>
        <v>0</v>
      </c>
      <c r="CB115">
        <f>IF(OR(E115&lt;0,F115&lt;0,G115&lt;0,H115&lt;0,I115&lt;0,J115&lt;0,K115&lt;0,L115&lt;0,M115&lt;0,N115&lt;0,O115&lt;0,P115&lt;0,Q115&lt;0,R115&lt;0),1,0)</f>
        <v>0</v>
      </c>
    </row>
    <row r="117" spans="2:80" x14ac:dyDescent="0.2">
      <c r="B117" t="s">
        <v>1726</v>
      </c>
      <c r="D117" t="s">
        <v>25</v>
      </c>
    </row>
    <row r="118" spans="2:80" x14ac:dyDescent="0.2">
      <c r="B118" t="s">
        <v>1727</v>
      </c>
      <c r="C118">
        <v>660</v>
      </c>
      <c r="D118" t="s">
        <v>248</v>
      </c>
    </row>
    <row r="119" spans="2:80" x14ac:dyDescent="0.2">
      <c r="B119" t="s">
        <v>1728</v>
      </c>
      <c r="C119">
        <v>670</v>
      </c>
      <c r="D119" t="s">
        <v>248</v>
      </c>
    </row>
    <row r="120" spans="2:80" x14ac:dyDescent="0.2">
      <c r="B120" t="s">
        <v>1714</v>
      </c>
      <c r="C120">
        <v>680</v>
      </c>
      <c r="D120" t="s">
        <v>248</v>
      </c>
    </row>
    <row r="121" spans="2:80" x14ac:dyDescent="0.2">
      <c r="B121" t="s">
        <v>1715</v>
      </c>
      <c r="C121">
        <v>690</v>
      </c>
      <c r="D121" t="s">
        <v>248</v>
      </c>
    </row>
    <row r="122" spans="2:80" x14ac:dyDescent="0.2">
      <c r="B122" t="s">
        <v>1729</v>
      </c>
      <c r="C122">
        <v>700</v>
      </c>
      <c r="D122" t="s">
        <v>248</v>
      </c>
    </row>
    <row r="123" spans="2:80" x14ac:dyDescent="0.2">
      <c r="B123" t="s">
        <v>1718</v>
      </c>
      <c r="C123">
        <v>710</v>
      </c>
      <c r="D123" t="s">
        <v>248</v>
      </c>
    </row>
    <row r="124" spans="2:80" x14ac:dyDescent="0.2">
      <c r="B124" t="s">
        <v>1730</v>
      </c>
      <c r="C124">
        <v>720</v>
      </c>
      <c r="D124" t="s">
        <v>248</v>
      </c>
    </row>
    <row r="125" spans="2:80" x14ac:dyDescent="0.2">
      <c r="B125" t="s">
        <v>1731</v>
      </c>
      <c r="C125">
        <v>730</v>
      </c>
      <c r="D125" t="s">
        <v>245</v>
      </c>
    </row>
    <row r="126" spans="2:80" x14ac:dyDescent="0.2">
      <c r="B126" t="s">
        <v>1732</v>
      </c>
      <c r="C126">
        <v>740</v>
      </c>
      <c r="D126" t="s">
        <v>251</v>
      </c>
    </row>
    <row r="128" spans="2:80" x14ac:dyDescent="0.2">
      <c r="B128" t="s">
        <v>1733</v>
      </c>
    </row>
    <row r="129" spans="2:81" x14ac:dyDescent="0.2">
      <c r="B129" t="s">
        <v>3390</v>
      </c>
      <c r="C129">
        <v>750</v>
      </c>
      <c r="D129" t="s">
        <v>248</v>
      </c>
    </row>
    <row r="130" spans="2:81" x14ac:dyDescent="0.2">
      <c r="B130" t="s">
        <v>3391</v>
      </c>
      <c r="C130">
        <v>760</v>
      </c>
      <c r="D130" t="s">
        <v>248</v>
      </c>
    </row>
    <row r="131" spans="2:81" x14ac:dyDescent="0.2">
      <c r="B131" t="s">
        <v>3392</v>
      </c>
      <c r="C131">
        <v>770</v>
      </c>
      <c r="D131" t="s">
        <v>248</v>
      </c>
    </row>
    <row r="132" spans="2:81" x14ac:dyDescent="0.2">
      <c r="B132" t="s">
        <v>3393</v>
      </c>
      <c r="C132">
        <v>780</v>
      </c>
      <c r="D132" t="s">
        <v>248</v>
      </c>
    </row>
    <row r="133" spans="2:81" x14ac:dyDescent="0.2">
      <c r="B133" t="s">
        <v>1028</v>
      </c>
    </row>
    <row r="134" spans="2:81" x14ac:dyDescent="0.2">
      <c r="B134" t="s">
        <v>3394</v>
      </c>
      <c r="C134">
        <v>660</v>
      </c>
      <c r="D134" t="s">
        <v>248</v>
      </c>
      <c r="CC134">
        <f>IF(E105&lt;&gt;0,IF(E134&gt;0,0,1),IF(E134=0,0,1))</f>
        <v>0</v>
      </c>
    </row>
    <row r="135" spans="2:81" x14ac:dyDescent="0.2">
      <c r="B135" t="s">
        <v>3395</v>
      </c>
      <c r="E135" t="s">
        <v>3396</v>
      </c>
    </row>
    <row r="136" spans="2:81" x14ac:dyDescent="0.2">
      <c r="C136">
        <v>670</v>
      </c>
      <c r="D136" t="s">
        <v>3397</v>
      </c>
    </row>
    <row r="137" spans="2:81" x14ac:dyDescent="0.2">
      <c r="C137">
        <v>675</v>
      </c>
      <c r="D137" t="s">
        <v>3397</v>
      </c>
    </row>
    <row r="138" spans="2:81" x14ac:dyDescent="0.2">
      <c r="C138">
        <v>680</v>
      </c>
      <c r="D138" t="s">
        <v>3397</v>
      </c>
    </row>
    <row r="139" spans="2:81" x14ac:dyDescent="0.2">
      <c r="C139">
        <v>685</v>
      </c>
      <c r="D139" t="s">
        <v>3397</v>
      </c>
    </row>
    <row r="140" spans="2:81" x14ac:dyDescent="0.2">
      <c r="B140" t="s">
        <v>3398</v>
      </c>
      <c r="C140">
        <v>690</v>
      </c>
      <c r="D140" t="s">
        <v>3397</v>
      </c>
    </row>
  </sheetData>
  <sheetProtection sheet="1" objects="1" scenarios="1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CN173"/>
  <sheetViews>
    <sheetView zoomScale="70" zoomScaleNormal="70" workbookViewId="0"/>
  </sheetViews>
  <sheetFormatPr defaultRowHeight="12.75" x14ac:dyDescent="0.2"/>
  <sheetData>
    <row r="1" spans="1:91" x14ac:dyDescent="0.2">
      <c r="A1" s="96" t="s">
        <v>3753</v>
      </c>
      <c r="E1" s="1178" t="str">
        <f>HYPERLINK(CHAR(35)&amp;"1415TRU_Index_P13"&amp;"!A1","GoTo Index tab")</f>
        <v>GoTo Index tab</v>
      </c>
      <c r="CH1" t="s">
        <v>2190</v>
      </c>
    </row>
    <row r="2" spans="1:91" x14ac:dyDescent="0.2">
      <c r="A2" t="s">
        <v>3727</v>
      </c>
      <c r="CA2" t="s">
        <v>230</v>
      </c>
      <c r="CB2">
        <f>0</f>
        <v>0</v>
      </c>
      <c r="CE2" t="s">
        <v>2274</v>
      </c>
      <c r="CH2" t="s">
        <v>2378</v>
      </c>
      <c r="CL2" t="s">
        <v>2379</v>
      </c>
      <c r="CM2" t="s">
        <v>2380</v>
      </c>
    </row>
    <row r="3" spans="1:91" x14ac:dyDescent="0.2">
      <c r="A3" t="s">
        <v>3797</v>
      </c>
      <c r="CA3" t="s">
        <v>231</v>
      </c>
      <c r="CB3" t="s">
        <v>232</v>
      </c>
      <c r="CC3" t="s">
        <v>2381</v>
      </c>
      <c r="CD3" t="s">
        <v>2382</v>
      </c>
      <c r="CE3" t="s">
        <v>2192</v>
      </c>
      <c r="CF3" t="s">
        <v>2193</v>
      </c>
      <c r="CG3" t="s">
        <v>2383</v>
      </c>
      <c r="CH3" t="s">
        <v>300</v>
      </c>
      <c r="CI3" t="s">
        <v>307</v>
      </c>
      <c r="CJ3" t="s">
        <v>2384</v>
      </c>
    </row>
    <row r="4" spans="1:91" x14ac:dyDescent="0.2">
      <c r="B4" t="s">
        <v>219</v>
      </c>
      <c r="CA4">
        <f t="shared" ref="CA4:CI4" si="0">SUM(CA9:CA173)</f>
        <v>0</v>
      </c>
      <c r="CB4">
        <f t="shared" si="0"/>
        <v>0</v>
      </c>
      <c r="CC4">
        <f t="shared" si="0"/>
        <v>0</v>
      </c>
      <c r="CD4">
        <f t="shared" si="0"/>
        <v>0</v>
      </c>
      <c r="CE4">
        <f t="shared" si="0"/>
        <v>4</v>
      </c>
      <c r="CF4">
        <f t="shared" si="0"/>
        <v>0</v>
      </c>
      <c r="CG4">
        <f t="shared" si="0"/>
        <v>0</v>
      </c>
      <c r="CH4">
        <f t="shared" si="0"/>
        <v>0</v>
      </c>
      <c r="CI4">
        <f t="shared" si="0"/>
        <v>0</v>
      </c>
      <c r="CJ4">
        <f>SUM(CH4:CI4)</f>
        <v>0</v>
      </c>
      <c r="CL4">
        <f>SUM(CL5:CL172)</f>
        <v>0</v>
      </c>
      <c r="CM4">
        <f>SUM(CM5:CM172)</f>
        <v>0</v>
      </c>
    </row>
    <row r="6" spans="1:91" x14ac:dyDescent="0.2">
      <c r="B6" t="s">
        <v>2385</v>
      </c>
      <c r="C6" t="s">
        <v>1560</v>
      </c>
      <c r="D6" t="s">
        <v>25</v>
      </c>
      <c r="E6" t="s">
        <v>2386</v>
      </c>
      <c r="F6" t="s">
        <v>241</v>
      </c>
      <c r="G6" t="s">
        <v>2023</v>
      </c>
    </row>
    <row r="7" spans="1:91" x14ac:dyDescent="0.2">
      <c r="E7" t="s">
        <v>2036</v>
      </c>
      <c r="F7" t="s">
        <v>2037</v>
      </c>
      <c r="G7" t="s">
        <v>2038</v>
      </c>
    </row>
    <row r="8" spans="1:91" x14ac:dyDescent="0.2">
      <c r="E8" t="s">
        <v>243</v>
      </c>
      <c r="F8" t="s">
        <v>243</v>
      </c>
      <c r="G8" t="s">
        <v>912</v>
      </c>
    </row>
    <row r="9" spans="1:91" x14ac:dyDescent="0.2">
      <c r="B9" t="s">
        <v>2387</v>
      </c>
      <c r="C9">
        <v>100</v>
      </c>
      <c r="D9" t="s">
        <v>248</v>
      </c>
      <c r="G9">
        <f>F9-E9</f>
        <v>0</v>
      </c>
    </row>
    <row r="10" spans="1:91" x14ac:dyDescent="0.2">
      <c r="B10" t="s">
        <v>2388</v>
      </c>
      <c r="C10">
        <v>110</v>
      </c>
      <c r="D10" t="s">
        <v>251</v>
      </c>
      <c r="G10">
        <f>F10-E10</f>
        <v>0</v>
      </c>
    </row>
    <row r="11" spans="1:91" x14ac:dyDescent="0.2">
      <c r="B11" t="s">
        <v>2389</v>
      </c>
      <c r="C11">
        <v>120</v>
      </c>
      <c r="D11" t="s">
        <v>251</v>
      </c>
      <c r="G11">
        <f>F11-E11</f>
        <v>0</v>
      </c>
    </row>
    <row r="12" spans="1:91" x14ac:dyDescent="0.2">
      <c r="B12" t="s">
        <v>2390</v>
      </c>
      <c r="C12">
        <v>130</v>
      </c>
      <c r="D12" t="s">
        <v>245</v>
      </c>
      <c r="G12">
        <f>F12-E12</f>
        <v>0</v>
      </c>
      <c r="CA12">
        <f>IF(F12&gt;0,1,0)</f>
        <v>0</v>
      </c>
    </row>
    <row r="14" spans="1:91" x14ac:dyDescent="0.2">
      <c r="B14" t="s">
        <v>2391</v>
      </c>
      <c r="C14">
        <v>150</v>
      </c>
      <c r="D14" t="s">
        <v>251</v>
      </c>
      <c r="E14">
        <f>SUM(E10:E13)</f>
        <v>0</v>
      </c>
      <c r="F14">
        <f>SUM(F10:F13)</f>
        <v>0</v>
      </c>
      <c r="G14">
        <f>SUM(G10:G13)</f>
        <v>0</v>
      </c>
    </row>
    <row r="15" spans="1:91" x14ac:dyDescent="0.2">
      <c r="B15" t="s">
        <v>2392</v>
      </c>
      <c r="C15">
        <v>160</v>
      </c>
      <c r="D15" t="s">
        <v>251</v>
      </c>
      <c r="G15">
        <f>F15-E15</f>
        <v>0</v>
      </c>
    </row>
    <row r="16" spans="1:91" x14ac:dyDescent="0.2">
      <c r="B16" t="s">
        <v>2393</v>
      </c>
      <c r="C16">
        <v>170</v>
      </c>
      <c r="D16" t="s">
        <v>251</v>
      </c>
      <c r="G16">
        <f>F16-E16</f>
        <v>0</v>
      </c>
    </row>
    <row r="17" spans="2:81" x14ac:dyDescent="0.2">
      <c r="B17" t="s">
        <v>2394</v>
      </c>
      <c r="C17">
        <v>180</v>
      </c>
      <c r="D17" t="s">
        <v>245</v>
      </c>
      <c r="G17">
        <f>F17-E17</f>
        <v>0</v>
      </c>
      <c r="CA17">
        <f>IF(F17&gt;0,1,0)</f>
        <v>0</v>
      </c>
    </row>
    <row r="18" spans="2:81" x14ac:dyDescent="0.2">
      <c r="B18" t="s">
        <v>2395</v>
      </c>
      <c r="C18">
        <v>185</v>
      </c>
      <c r="D18" t="s">
        <v>251</v>
      </c>
      <c r="G18">
        <f>F18-E18</f>
        <v>0</v>
      </c>
    </row>
    <row r="19" spans="2:81" x14ac:dyDescent="0.2">
      <c r="B19" t="s">
        <v>2396</v>
      </c>
      <c r="C19">
        <v>190</v>
      </c>
      <c r="D19" t="s">
        <v>251</v>
      </c>
    </row>
    <row r="20" spans="2:81" x14ac:dyDescent="0.2">
      <c r="B20" t="s">
        <v>2397</v>
      </c>
      <c r="C20">
        <v>200</v>
      </c>
      <c r="D20" t="s">
        <v>251</v>
      </c>
      <c r="E20">
        <f>SUM(E15:E19)</f>
        <v>0</v>
      </c>
      <c r="F20">
        <f>SUM(F15:F19)</f>
        <v>0</v>
      </c>
      <c r="G20">
        <f>SUM(G15:G19)</f>
        <v>0</v>
      </c>
    </row>
    <row r="21" spans="2:81" x14ac:dyDescent="0.2">
      <c r="B21" t="s">
        <v>2398</v>
      </c>
      <c r="C21">
        <v>210</v>
      </c>
      <c r="D21" t="s">
        <v>248</v>
      </c>
      <c r="F21">
        <f>F20+F14</f>
        <v>0</v>
      </c>
      <c r="G21">
        <f>F21-E21</f>
        <v>0</v>
      </c>
      <c r="CB21">
        <f>IF(F21&lt;0,1,0)</f>
        <v>0</v>
      </c>
    </row>
    <row r="22" spans="2:81" x14ac:dyDescent="0.2">
      <c r="B22" t="s">
        <v>2399</v>
      </c>
      <c r="C22">
        <v>212</v>
      </c>
      <c r="D22" t="s">
        <v>251</v>
      </c>
      <c r="F22">
        <f>F21/2</f>
        <v>0</v>
      </c>
      <c r="G22">
        <f>F22-E22</f>
        <v>0</v>
      </c>
    </row>
    <row r="23" spans="2:81" x14ac:dyDescent="0.2">
      <c r="B23" t="s">
        <v>2400</v>
      </c>
      <c r="C23">
        <v>214</v>
      </c>
      <c r="D23" t="s">
        <v>245</v>
      </c>
      <c r="G23">
        <f>F23-E23</f>
        <v>0</v>
      </c>
      <c r="CA23">
        <f>IF(F23&gt;0,1,0)</f>
        <v>0</v>
      </c>
    </row>
    <row r="24" spans="2:81" x14ac:dyDescent="0.2">
      <c r="B24" t="s">
        <v>2401</v>
      </c>
      <c r="C24">
        <v>216</v>
      </c>
      <c r="D24" t="s">
        <v>251</v>
      </c>
      <c r="G24">
        <f>F24-E24</f>
        <v>0</v>
      </c>
    </row>
    <row r="25" spans="2:81" x14ac:dyDescent="0.2">
      <c r="B25" t="s">
        <v>2402</v>
      </c>
      <c r="C25">
        <v>218</v>
      </c>
      <c r="D25" t="s">
        <v>251</v>
      </c>
      <c r="E25">
        <f>SUM(E22:E24)</f>
        <v>0</v>
      </c>
      <c r="F25">
        <f>SUM(F22:F24)</f>
        <v>0</v>
      </c>
      <c r="G25">
        <f>SUM(G22:G24)</f>
        <v>0</v>
      </c>
      <c r="I25" t="s">
        <v>2403</v>
      </c>
    </row>
    <row r="26" spans="2:81" x14ac:dyDescent="0.2">
      <c r="B26" t="s">
        <v>2404</v>
      </c>
      <c r="C26">
        <v>219</v>
      </c>
      <c r="D26" t="s">
        <v>248</v>
      </c>
      <c r="E26">
        <f>IF(I26=0,0,E9/I26*12)</f>
        <v>0</v>
      </c>
      <c r="F26">
        <f>IF(I26=0,0,F9/I26*12)</f>
        <v>0</v>
      </c>
      <c r="G26">
        <f>F26-E26</f>
        <v>0</v>
      </c>
      <c r="I26">
        <f>IF(OR(RIGHT(B2,3)="RY2",RIGHT(B2,3)="RY8",RIGHT(B2,3)="RD1"),7,IF(OR(RIGHT(B2,3)="RV8",RIGHT(B2,3)="RC3",RIGHT(B2,3)="R1K"),6,IF(RIGHT(B2,3)="RVL",3,IF(RIGHT(B2,3)="RJ7",10,12))))</f>
        <v>12</v>
      </c>
    </row>
    <row r="27" spans="2:81" x14ac:dyDescent="0.2">
      <c r="B27" t="s">
        <v>2405</v>
      </c>
      <c r="C27">
        <v>220</v>
      </c>
      <c r="D27" t="s">
        <v>912</v>
      </c>
      <c r="E27">
        <f>IF(OR(E9=0),0,E26/E25*100)</f>
        <v>0</v>
      </c>
      <c r="F27">
        <f>IF(OR(F9=0),0,F26/F25*100)</f>
        <v>0</v>
      </c>
      <c r="G27">
        <f>F27-E27</f>
        <v>0</v>
      </c>
      <c r="CC27">
        <f>IF(AND(F25&lt;=0,F9=0),0,IF(F25&lt;=0,1,IF(OR(F27&lt;3.495,F27&gt;3.504),1,0)))</f>
        <v>0</v>
      </c>
    </row>
    <row r="33" spans="2:90" x14ac:dyDescent="0.2">
      <c r="B33" t="s">
        <v>215</v>
      </c>
      <c r="C33" t="s">
        <v>238</v>
      </c>
      <c r="D33" t="s">
        <v>25</v>
      </c>
      <c r="E33" t="s">
        <v>2021</v>
      </c>
      <c r="F33" t="s">
        <v>241</v>
      </c>
      <c r="G33" t="s">
        <v>2023</v>
      </c>
    </row>
    <row r="34" spans="2:90" x14ac:dyDescent="0.2">
      <c r="C34" t="s">
        <v>242</v>
      </c>
      <c r="E34" t="s">
        <v>2036</v>
      </c>
      <c r="F34" t="s">
        <v>2037</v>
      </c>
      <c r="G34" t="s">
        <v>2038</v>
      </c>
    </row>
    <row r="35" spans="2:90" x14ac:dyDescent="0.2">
      <c r="E35" t="s">
        <v>243</v>
      </c>
      <c r="F35" t="s">
        <v>243</v>
      </c>
      <c r="G35" t="s">
        <v>243</v>
      </c>
    </row>
    <row r="36" spans="2:90" x14ac:dyDescent="0.2">
      <c r="B36" t="s">
        <v>1970</v>
      </c>
      <c r="C36">
        <v>240</v>
      </c>
      <c r="D36" t="s">
        <v>251</v>
      </c>
      <c r="G36">
        <f>F36-E36</f>
        <v>0</v>
      </c>
    </row>
    <row r="38" spans="2:90" x14ac:dyDescent="0.2">
      <c r="B38" t="s">
        <v>1972</v>
      </c>
      <c r="C38">
        <v>250</v>
      </c>
      <c r="D38" t="s">
        <v>248</v>
      </c>
      <c r="G38">
        <f>F38-E38</f>
        <v>0</v>
      </c>
      <c r="CB38">
        <f>IF(F38&lt;0,1,0)</f>
        <v>0</v>
      </c>
    </row>
    <row r="39" spans="2:90" x14ac:dyDescent="0.2">
      <c r="B39" t="s">
        <v>477</v>
      </c>
      <c r="C39">
        <v>260</v>
      </c>
      <c r="D39" t="s">
        <v>245</v>
      </c>
      <c r="G39">
        <f>F39-E39</f>
        <v>0</v>
      </c>
    </row>
    <row r="40" spans="2:90" x14ac:dyDescent="0.2">
      <c r="B40" t="s">
        <v>1973</v>
      </c>
      <c r="C40">
        <v>270</v>
      </c>
      <c r="D40" t="s">
        <v>251</v>
      </c>
      <c r="E40">
        <f>SUM(E36:E39)</f>
        <v>0</v>
      </c>
      <c r="F40">
        <f>SUM(F36:F39)</f>
        <v>0</v>
      </c>
      <c r="G40">
        <f>SUM(G36:G39)</f>
        <v>0</v>
      </c>
    </row>
    <row r="41" spans="2:90" x14ac:dyDescent="0.2">
      <c r="B41" t="s">
        <v>1969</v>
      </c>
      <c r="C41">
        <v>275</v>
      </c>
      <c r="D41" t="s">
        <v>251</v>
      </c>
      <c r="E41">
        <f>E40</f>
        <v>0</v>
      </c>
      <c r="G41">
        <f>F41-E41</f>
        <v>0</v>
      </c>
    </row>
    <row r="42" spans="2:90" x14ac:dyDescent="0.2">
      <c r="B42" t="s">
        <v>1974</v>
      </c>
      <c r="C42">
        <v>280</v>
      </c>
      <c r="D42" t="s">
        <v>248</v>
      </c>
      <c r="F42">
        <f>F41-F40</f>
        <v>0</v>
      </c>
      <c r="CL42">
        <f>IF(F42&lt;0,1,0)</f>
        <v>0</v>
      </c>
    </row>
    <row r="45" spans="2:90" x14ac:dyDescent="0.2">
      <c r="B45" t="s">
        <v>2406</v>
      </c>
      <c r="C45" t="s">
        <v>238</v>
      </c>
      <c r="D45" t="s">
        <v>25</v>
      </c>
      <c r="F45" t="s">
        <v>2089</v>
      </c>
      <c r="I45" t="s">
        <v>241</v>
      </c>
    </row>
    <row r="46" spans="2:90" x14ac:dyDescent="0.2">
      <c r="C46" t="s">
        <v>242</v>
      </c>
      <c r="E46" t="s">
        <v>2021</v>
      </c>
      <c r="F46" t="s">
        <v>2092</v>
      </c>
      <c r="G46" t="s">
        <v>2023</v>
      </c>
      <c r="H46" t="s">
        <v>2021</v>
      </c>
      <c r="I46" t="s">
        <v>1048</v>
      </c>
      <c r="J46" t="s">
        <v>2023</v>
      </c>
    </row>
    <row r="47" spans="2:90" x14ac:dyDescent="0.2">
      <c r="E47" t="s">
        <v>2036</v>
      </c>
      <c r="F47" t="s">
        <v>2037</v>
      </c>
      <c r="G47" t="s">
        <v>2038</v>
      </c>
      <c r="H47" t="s">
        <v>2039</v>
      </c>
      <c r="I47" t="s">
        <v>2040</v>
      </c>
      <c r="J47" t="s">
        <v>2041</v>
      </c>
    </row>
    <row r="48" spans="2:90" x14ac:dyDescent="0.2">
      <c r="E48" t="s">
        <v>243</v>
      </c>
      <c r="F48" t="s">
        <v>243</v>
      </c>
      <c r="G48" t="s">
        <v>243</v>
      </c>
      <c r="H48" t="s">
        <v>243</v>
      </c>
      <c r="I48" t="s">
        <v>243</v>
      </c>
      <c r="J48" t="s">
        <v>243</v>
      </c>
    </row>
    <row r="49" spans="2:91" x14ac:dyDescent="0.2">
      <c r="B49" t="s">
        <v>2407</v>
      </c>
      <c r="C49">
        <v>290</v>
      </c>
      <c r="D49" t="s">
        <v>248</v>
      </c>
      <c r="G49">
        <f t="shared" ref="G49:G60" si="1">F49-E49</f>
        <v>0</v>
      </c>
      <c r="J49">
        <f t="shared" ref="J49:J60" si="2">I49-H49</f>
        <v>0</v>
      </c>
    </row>
    <row r="50" spans="2:91" x14ac:dyDescent="0.2">
      <c r="B50" t="s">
        <v>1979</v>
      </c>
      <c r="C50">
        <v>294</v>
      </c>
      <c r="D50" t="s">
        <v>248</v>
      </c>
      <c r="G50">
        <f t="shared" si="1"/>
        <v>0</v>
      </c>
      <c r="J50">
        <f t="shared" si="2"/>
        <v>0</v>
      </c>
    </row>
    <row r="51" spans="2:91" x14ac:dyDescent="0.2">
      <c r="B51" t="s">
        <v>1980</v>
      </c>
      <c r="C51">
        <v>296</v>
      </c>
      <c r="D51" t="s">
        <v>248</v>
      </c>
      <c r="F51">
        <f>SUM(F49:F50)</f>
        <v>0</v>
      </c>
      <c r="G51">
        <f t="shared" si="1"/>
        <v>0</v>
      </c>
      <c r="I51">
        <f>SUM(I49:I50)</f>
        <v>0</v>
      </c>
      <c r="J51">
        <f t="shared" si="2"/>
        <v>0</v>
      </c>
    </row>
    <row r="52" spans="2:91" x14ac:dyDescent="0.2">
      <c r="B52" t="s">
        <v>1981</v>
      </c>
      <c r="C52">
        <v>300</v>
      </c>
      <c r="D52" t="s">
        <v>245</v>
      </c>
      <c r="G52">
        <f t="shared" si="1"/>
        <v>0</v>
      </c>
      <c r="J52">
        <f t="shared" si="2"/>
        <v>0</v>
      </c>
      <c r="CA52">
        <f>IF(OR(F52&gt;0,I52&gt;0),1,0)</f>
        <v>0</v>
      </c>
      <c r="CF52">
        <f>IF(F52&lt;I52,1,0)</f>
        <v>0</v>
      </c>
    </row>
    <row r="53" spans="2:91" x14ac:dyDescent="0.2">
      <c r="B53" t="s">
        <v>1982</v>
      </c>
      <c r="C53">
        <v>310</v>
      </c>
      <c r="D53" t="s">
        <v>245</v>
      </c>
      <c r="G53">
        <f t="shared" si="1"/>
        <v>0</v>
      </c>
      <c r="J53">
        <f t="shared" si="2"/>
        <v>0</v>
      </c>
      <c r="CA53">
        <f>IF(OR(F53&gt;0,I53&gt;0),1,0)</f>
        <v>0</v>
      </c>
      <c r="CF53">
        <f>IF(F53&lt;I53,1,0)</f>
        <v>0</v>
      </c>
    </row>
    <row r="54" spans="2:91" x14ac:dyDescent="0.2">
      <c r="B54" t="s">
        <v>1983</v>
      </c>
      <c r="C54">
        <v>314</v>
      </c>
      <c r="D54" t="s">
        <v>245</v>
      </c>
      <c r="G54">
        <f t="shared" si="1"/>
        <v>0</v>
      </c>
      <c r="J54">
        <f t="shared" si="2"/>
        <v>0</v>
      </c>
      <c r="CA54">
        <f>IF(OR(F54&gt;0,I54&gt;0),1,0)</f>
        <v>0</v>
      </c>
      <c r="CF54">
        <f>IF(F54&lt;I54,1,0)</f>
        <v>0</v>
      </c>
    </row>
    <row r="55" spans="2:91" x14ac:dyDescent="0.2">
      <c r="B55" t="s">
        <v>1984</v>
      </c>
      <c r="C55">
        <v>316</v>
      </c>
      <c r="D55" t="s">
        <v>245</v>
      </c>
      <c r="G55">
        <f t="shared" si="1"/>
        <v>0</v>
      </c>
      <c r="J55">
        <f t="shared" si="2"/>
        <v>0</v>
      </c>
      <c r="CA55">
        <f>IF(OR(F55&gt;0,I55&gt;0),1,0)</f>
        <v>0</v>
      </c>
      <c r="CF55">
        <f>IF(F55&lt;I55,1,0)</f>
        <v>0</v>
      </c>
    </row>
    <row r="56" spans="2:91" x14ac:dyDescent="0.2">
      <c r="B56" t="s">
        <v>1985</v>
      </c>
      <c r="C56">
        <v>320</v>
      </c>
      <c r="D56" t="s">
        <v>248</v>
      </c>
      <c r="G56">
        <f t="shared" si="1"/>
        <v>0</v>
      </c>
      <c r="J56">
        <f t="shared" si="2"/>
        <v>0</v>
      </c>
      <c r="CB56">
        <f>IF(OR(F56&lt;0,I56&lt;0),1,0)</f>
        <v>0</v>
      </c>
      <c r="CE56">
        <f>IF(F56&gt;I56,1,0)</f>
        <v>0</v>
      </c>
      <c r="CH56">
        <f>IF(SUM(F52:F56)&lt;&gt;CJ56,1,0)</f>
        <v>0</v>
      </c>
      <c r="CI56">
        <f>IF(SUM(I52:I56)&lt;&gt;CK56,1,0)</f>
        <v>0</v>
      </c>
    </row>
    <row r="57" spans="2:91" x14ac:dyDescent="0.2">
      <c r="B57" t="s">
        <v>1986</v>
      </c>
      <c r="C57">
        <v>322</v>
      </c>
      <c r="D57" t="s">
        <v>245</v>
      </c>
      <c r="G57">
        <f t="shared" si="1"/>
        <v>0</v>
      </c>
      <c r="J57">
        <f t="shared" si="2"/>
        <v>0</v>
      </c>
      <c r="CA57">
        <f>IF(OR(F57&gt;0,I57&gt;0),1,0)</f>
        <v>0</v>
      </c>
      <c r="CF57">
        <f>IF(F57&lt;I57,1,0)</f>
        <v>0</v>
      </c>
    </row>
    <row r="58" spans="2:91" x14ac:dyDescent="0.2">
      <c r="B58" t="s">
        <v>1987</v>
      </c>
      <c r="C58">
        <v>325</v>
      </c>
      <c r="D58" t="s">
        <v>245</v>
      </c>
      <c r="G58">
        <f t="shared" si="1"/>
        <v>0</v>
      </c>
      <c r="J58">
        <f t="shared" si="2"/>
        <v>0</v>
      </c>
      <c r="CA58">
        <f>IF(OR(F58&gt;0,I58&gt;0),1,0)</f>
        <v>0</v>
      </c>
      <c r="CF58">
        <f>IF(F58&lt;I58,1,0)</f>
        <v>0</v>
      </c>
      <c r="CH58">
        <f>IF(SUM(F57:F58)&lt;&gt;CJ58,1,0)</f>
        <v>0</v>
      </c>
      <c r="CI58">
        <f>IF(SUM(I57:I58)&lt;&gt;CK58,1,0)</f>
        <v>0</v>
      </c>
    </row>
    <row r="59" spans="2:91" x14ac:dyDescent="0.2">
      <c r="B59" t="s">
        <v>1988</v>
      </c>
      <c r="C59">
        <v>330</v>
      </c>
      <c r="D59" t="s">
        <v>251</v>
      </c>
      <c r="E59">
        <f>SUM(E51:E58)</f>
        <v>0</v>
      </c>
      <c r="F59">
        <f>SUM(F51:F58)</f>
        <v>0</v>
      </c>
      <c r="G59">
        <f t="shared" si="1"/>
        <v>0</v>
      </c>
      <c r="H59">
        <f>SUM(H51:H58)</f>
        <v>0</v>
      </c>
      <c r="I59">
        <f>SUM(I51:I58)</f>
        <v>0</v>
      </c>
      <c r="J59">
        <f t="shared" si="2"/>
        <v>0</v>
      </c>
    </row>
    <row r="60" spans="2:91" x14ac:dyDescent="0.2">
      <c r="B60" t="s">
        <v>1989</v>
      </c>
      <c r="C60">
        <v>335</v>
      </c>
      <c r="D60" t="s">
        <v>251</v>
      </c>
      <c r="F60" s="619">
        <f>F59</f>
        <v>0</v>
      </c>
      <c r="G60">
        <f t="shared" si="1"/>
        <v>0</v>
      </c>
      <c r="J60">
        <f t="shared" si="2"/>
        <v>0</v>
      </c>
    </row>
    <row r="61" spans="2:91" x14ac:dyDescent="0.2">
      <c r="B61" t="s">
        <v>1990</v>
      </c>
      <c r="C61">
        <v>340</v>
      </c>
      <c r="D61" t="s">
        <v>251</v>
      </c>
      <c r="E61">
        <f t="shared" ref="E61:J61" si="3">E60-E59</f>
        <v>0</v>
      </c>
      <c r="F61">
        <f t="shared" si="3"/>
        <v>0</v>
      </c>
      <c r="G61">
        <f t="shared" si="3"/>
        <v>0</v>
      </c>
      <c r="H61">
        <f t="shared" si="3"/>
        <v>0</v>
      </c>
      <c r="I61">
        <f t="shared" si="3"/>
        <v>0</v>
      </c>
      <c r="J61">
        <f t="shared" si="3"/>
        <v>0</v>
      </c>
      <c r="CM61">
        <f>IF(I61&lt;0,1,0)</f>
        <v>0</v>
      </c>
    </row>
    <row r="64" spans="2:91" x14ac:dyDescent="0.2">
      <c r="D64" t="s">
        <v>25</v>
      </c>
      <c r="E64" t="s">
        <v>1746</v>
      </c>
      <c r="G64" t="s">
        <v>2408</v>
      </c>
      <c r="J64" t="s">
        <v>241</v>
      </c>
    </row>
    <row r="65" spans="2:91" x14ac:dyDescent="0.2">
      <c r="B65" t="s">
        <v>2409</v>
      </c>
      <c r="E65" t="s">
        <v>2410</v>
      </c>
    </row>
    <row r="66" spans="2:91" x14ac:dyDescent="0.2">
      <c r="C66" t="s">
        <v>238</v>
      </c>
      <c r="E66" t="s">
        <v>2091</v>
      </c>
      <c r="F66" t="s">
        <v>2021</v>
      </c>
      <c r="G66" t="s">
        <v>2092</v>
      </c>
      <c r="H66" t="s">
        <v>2023</v>
      </c>
      <c r="I66" t="s">
        <v>2021</v>
      </c>
      <c r="J66" t="s">
        <v>1048</v>
      </c>
      <c r="K66" t="s">
        <v>2023</v>
      </c>
    </row>
    <row r="67" spans="2:91" x14ac:dyDescent="0.2">
      <c r="C67" t="s">
        <v>242</v>
      </c>
      <c r="E67" t="s">
        <v>2036</v>
      </c>
      <c r="F67" t="s">
        <v>2037</v>
      </c>
      <c r="G67" t="s">
        <v>2038</v>
      </c>
      <c r="H67" t="s">
        <v>2039</v>
      </c>
      <c r="I67" t="s">
        <v>2040</v>
      </c>
      <c r="J67" t="s">
        <v>2041</v>
      </c>
      <c r="K67" t="s">
        <v>2042</v>
      </c>
    </row>
    <row r="68" spans="2:91" x14ac:dyDescent="0.2">
      <c r="E68" t="s">
        <v>243</v>
      </c>
      <c r="F68" t="s">
        <v>243</v>
      </c>
      <c r="G68" t="s">
        <v>243</v>
      </c>
      <c r="H68" t="s">
        <v>243</v>
      </c>
      <c r="I68" t="s">
        <v>243</v>
      </c>
      <c r="J68" t="s">
        <v>243</v>
      </c>
      <c r="K68" t="s">
        <v>243</v>
      </c>
    </row>
    <row r="70" spans="2:91" x14ac:dyDescent="0.2">
      <c r="B70" t="s">
        <v>2119</v>
      </c>
    </row>
    <row r="71" spans="2:91" x14ac:dyDescent="0.2">
      <c r="B71" t="s">
        <v>2411</v>
      </c>
    </row>
    <row r="72" spans="2:91" x14ac:dyDescent="0.2">
      <c r="B72" t="s">
        <v>2412</v>
      </c>
      <c r="C72">
        <v>350</v>
      </c>
      <c r="D72" t="s">
        <v>251</v>
      </c>
    </row>
    <row r="73" spans="2:91" x14ac:dyDescent="0.2">
      <c r="B73" t="s">
        <v>2413</v>
      </c>
    </row>
    <row r="74" spans="2:91" x14ac:dyDescent="0.2">
      <c r="B74" t="s">
        <v>2414</v>
      </c>
      <c r="C74">
        <v>354</v>
      </c>
    </row>
    <row r="75" spans="2:91" x14ac:dyDescent="0.2">
      <c r="B75" t="s">
        <v>2415</v>
      </c>
      <c r="C75">
        <v>356</v>
      </c>
    </row>
    <row r="76" spans="2:91" x14ac:dyDescent="0.2">
      <c r="B76" t="s">
        <v>2416</v>
      </c>
      <c r="C76">
        <v>360</v>
      </c>
      <c r="D76" t="s">
        <v>251</v>
      </c>
    </row>
    <row r="77" spans="2:91" x14ac:dyDescent="0.2">
      <c r="B77" t="s">
        <v>2417</v>
      </c>
      <c r="C77">
        <v>370</v>
      </c>
      <c r="D77" t="s">
        <v>251</v>
      </c>
      <c r="CM77">
        <f>IF(J77&lt;0,1,0)</f>
        <v>0</v>
      </c>
    </row>
    <row r="81" spans="2:6" x14ac:dyDescent="0.2">
      <c r="B81" t="s">
        <v>2418</v>
      </c>
      <c r="C81" t="s">
        <v>238</v>
      </c>
      <c r="D81" t="s">
        <v>25</v>
      </c>
      <c r="E81" t="s">
        <v>2419</v>
      </c>
      <c r="F81" t="s">
        <v>2420</v>
      </c>
    </row>
    <row r="82" spans="2:6" x14ac:dyDescent="0.2">
      <c r="B82" t="s">
        <v>2000</v>
      </c>
      <c r="C82" t="s">
        <v>242</v>
      </c>
      <c r="E82" t="s">
        <v>2036</v>
      </c>
      <c r="F82" t="s">
        <v>2037</v>
      </c>
    </row>
    <row r="83" spans="2:6" x14ac:dyDescent="0.2">
      <c r="E83" t="s">
        <v>243</v>
      </c>
    </row>
    <row r="84" spans="2:6" x14ac:dyDescent="0.2">
      <c r="B84" t="s">
        <v>2414</v>
      </c>
      <c r="C84">
        <v>480</v>
      </c>
      <c r="D84" t="s">
        <v>251</v>
      </c>
    </row>
    <row r="85" spans="2:6" x14ac:dyDescent="0.2">
      <c r="B85" t="s">
        <v>2421</v>
      </c>
    </row>
    <row r="86" spans="2:6" x14ac:dyDescent="0.2">
      <c r="C86">
        <v>485</v>
      </c>
      <c r="D86" t="s">
        <v>251</v>
      </c>
    </row>
    <row r="87" spans="2:6" x14ac:dyDescent="0.2">
      <c r="C87">
        <v>486</v>
      </c>
      <c r="D87" t="s">
        <v>251</v>
      </c>
    </row>
    <row r="88" spans="2:6" x14ac:dyDescent="0.2">
      <c r="C88">
        <v>487</v>
      </c>
      <c r="D88" t="s">
        <v>251</v>
      </c>
    </row>
    <row r="89" spans="2:6" x14ac:dyDescent="0.2">
      <c r="C89">
        <v>488</v>
      </c>
      <c r="D89" t="s">
        <v>251</v>
      </c>
    </row>
    <row r="90" spans="2:6" x14ac:dyDescent="0.2">
      <c r="C90">
        <v>489</v>
      </c>
      <c r="D90" t="s">
        <v>251</v>
      </c>
    </row>
    <row r="91" spans="2:6" x14ac:dyDescent="0.2">
      <c r="C91">
        <v>490</v>
      </c>
      <c r="D91" t="s">
        <v>251</v>
      </c>
    </row>
    <row r="92" spans="2:6" x14ac:dyDescent="0.2">
      <c r="C92">
        <v>491</v>
      </c>
      <c r="D92" t="s">
        <v>251</v>
      </c>
    </row>
    <row r="93" spans="2:6" x14ac:dyDescent="0.2">
      <c r="C93">
        <v>492</v>
      </c>
      <c r="D93" t="s">
        <v>251</v>
      </c>
    </row>
    <row r="94" spans="2:6" x14ac:dyDescent="0.2">
      <c r="C94">
        <v>493</v>
      </c>
      <c r="D94" t="s">
        <v>251</v>
      </c>
    </row>
    <row r="95" spans="2:6" x14ac:dyDescent="0.2">
      <c r="C95">
        <v>494</v>
      </c>
      <c r="D95" t="s">
        <v>251</v>
      </c>
    </row>
    <row r="96" spans="2:6" x14ac:dyDescent="0.2">
      <c r="B96" t="s">
        <v>2422</v>
      </c>
      <c r="C96">
        <v>497</v>
      </c>
      <c r="D96" t="s">
        <v>251</v>
      </c>
    </row>
    <row r="97" spans="2:83" x14ac:dyDescent="0.2">
      <c r="B97" t="s">
        <v>2416</v>
      </c>
      <c r="C97">
        <v>500</v>
      </c>
      <c r="D97" t="s">
        <v>251</v>
      </c>
    </row>
    <row r="100" spans="2:83" x14ac:dyDescent="0.2">
      <c r="B100" t="s">
        <v>2423</v>
      </c>
      <c r="C100" t="s">
        <v>238</v>
      </c>
      <c r="D100" t="s">
        <v>25</v>
      </c>
      <c r="F100" t="s">
        <v>2089</v>
      </c>
      <c r="I100" t="s">
        <v>241</v>
      </c>
    </row>
    <row r="101" spans="2:83" x14ac:dyDescent="0.2">
      <c r="C101" t="s">
        <v>242</v>
      </c>
      <c r="E101" t="s">
        <v>2021</v>
      </c>
      <c r="F101" t="s">
        <v>2092</v>
      </c>
      <c r="G101" t="s">
        <v>2023</v>
      </c>
      <c r="H101" t="s">
        <v>2021</v>
      </c>
      <c r="I101" t="s">
        <v>1048</v>
      </c>
      <c r="J101" t="s">
        <v>2023</v>
      </c>
    </row>
    <row r="102" spans="2:83" x14ac:dyDescent="0.2">
      <c r="E102" t="s">
        <v>2036</v>
      </c>
      <c r="F102" t="s">
        <v>2037</v>
      </c>
      <c r="G102" t="s">
        <v>2038</v>
      </c>
      <c r="H102" t="s">
        <v>2039</v>
      </c>
      <c r="I102" t="s">
        <v>2040</v>
      </c>
      <c r="J102" t="s">
        <v>2041</v>
      </c>
    </row>
    <row r="103" spans="2:83" x14ac:dyDescent="0.2">
      <c r="E103" t="s">
        <v>243</v>
      </c>
      <c r="F103" t="s">
        <v>243</v>
      </c>
      <c r="G103" t="s">
        <v>243</v>
      </c>
      <c r="H103" t="s">
        <v>243</v>
      </c>
      <c r="I103" t="s">
        <v>243</v>
      </c>
      <c r="J103" t="s">
        <v>243</v>
      </c>
    </row>
    <row r="104" spans="2:83" x14ac:dyDescent="0.2">
      <c r="B104" t="s">
        <v>2424</v>
      </c>
      <c r="C104">
        <v>505</v>
      </c>
      <c r="D104" t="s">
        <v>248</v>
      </c>
      <c r="G104">
        <f>F104-E104</f>
        <v>0</v>
      </c>
      <c r="J104">
        <f>I104-H104</f>
        <v>0</v>
      </c>
    </row>
    <row r="105" spans="2:83" x14ac:dyDescent="0.2">
      <c r="B105" t="s">
        <v>2425</v>
      </c>
      <c r="C105">
        <v>510</v>
      </c>
      <c r="D105" t="s">
        <v>248</v>
      </c>
      <c r="G105">
        <f>F105-E105</f>
        <v>0</v>
      </c>
      <c r="J105">
        <f>I105-H105</f>
        <v>0</v>
      </c>
      <c r="CB105">
        <f>IF(OR(F105&lt;0,I105&lt;0),1,0)</f>
        <v>0</v>
      </c>
      <c r="CE105">
        <f>IF(F105&gt;I105,1,0)</f>
        <v>0</v>
      </c>
    </row>
    <row r="106" spans="2:83" x14ac:dyDescent="0.2">
      <c r="B106" t="s">
        <v>2426</v>
      </c>
      <c r="C106">
        <v>520</v>
      </c>
      <c r="D106" t="s">
        <v>248</v>
      </c>
      <c r="E106">
        <f t="shared" ref="E106:J106" si="4">SUM(E104:E105)</f>
        <v>0</v>
      </c>
      <c r="F106">
        <f t="shared" si="4"/>
        <v>0</v>
      </c>
      <c r="G106">
        <f t="shared" si="4"/>
        <v>0</v>
      </c>
      <c r="H106">
        <f t="shared" si="4"/>
        <v>0</v>
      </c>
      <c r="I106">
        <f t="shared" si="4"/>
        <v>0</v>
      </c>
      <c r="J106">
        <f t="shared" si="4"/>
        <v>0</v>
      </c>
    </row>
    <row r="107" spans="2:83" x14ac:dyDescent="0.2">
      <c r="B107" t="s">
        <v>2427</v>
      </c>
      <c r="C107">
        <v>530</v>
      </c>
      <c r="D107" t="s">
        <v>248</v>
      </c>
      <c r="G107">
        <f>F107-E107</f>
        <v>0</v>
      </c>
      <c r="J107">
        <f>I107-H107</f>
        <v>0</v>
      </c>
      <c r="CB107">
        <f>IF(OR(F107&lt;0,I107&lt;0),1,0)</f>
        <v>0</v>
      </c>
      <c r="CE107">
        <f>IF(F107&gt;I107,1,0)</f>
        <v>0</v>
      </c>
    </row>
    <row r="110" spans="2:83" x14ac:dyDescent="0.2">
      <c r="C110" t="s">
        <v>238</v>
      </c>
      <c r="D110" t="s">
        <v>25</v>
      </c>
      <c r="E110" t="s">
        <v>2428</v>
      </c>
      <c r="F110" t="s">
        <v>1433</v>
      </c>
      <c r="H110" t="s">
        <v>2429</v>
      </c>
      <c r="J110" t="s">
        <v>2430</v>
      </c>
      <c r="L110" t="s">
        <v>2431</v>
      </c>
    </row>
    <row r="111" spans="2:83" x14ac:dyDescent="0.2">
      <c r="B111" t="s">
        <v>2432</v>
      </c>
      <c r="C111" t="s">
        <v>242</v>
      </c>
      <c r="E111" t="s">
        <v>2433</v>
      </c>
    </row>
    <row r="112" spans="2:83" x14ac:dyDescent="0.2">
      <c r="E112" t="s">
        <v>2036</v>
      </c>
      <c r="F112" t="s">
        <v>2037</v>
      </c>
      <c r="G112" t="s">
        <v>2038</v>
      </c>
      <c r="H112" t="s">
        <v>2039</v>
      </c>
      <c r="I112" t="s">
        <v>2040</v>
      </c>
      <c r="J112" t="s">
        <v>2041</v>
      </c>
      <c r="K112" t="s">
        <v>2042</v>
      </c>
      <c r="L112" t="s">
        <v>2043</v>
      </c>
      <c r="M112" t="s">
        <v>2044</v>
      </c>
    </row>
    <row r="113" spans="2:85" x14ac:dyDescent="0.2">
      <c r="E113" t="s">
        <v>243</v>
      </c>
      <c r="F113" t="s">
        <v>243</v>
      </c>
      <c r="G113" t="s">
        <v>912</v>
      </c>
      <c r="H113" t="s">
        <v>243</v>
      </c>
      <c r="I113" t="s">
        <v>912</v>
      </c>
      <c r="J113" t="s">
        <v>243</v>
      </c>
      <c r="K113" t="s">
        <v>912</v>
      </c>
      <c r="L113" t="s">
        <v>243</v>
      </c>
      <c r="M113" t="s">
        <v>912</v>
      </c>
    </row>
    <row r="114" spans="2:85" x14ac:dyDescent="0.2">
      <c r="B114" t="s">
        <v>1437</v>
      </c>
      <c r="C114">
        <v>550</v>
      </c>
      <c r="D114" t="s">
        <v>248</v>
      </c>
      <c r="E114">
        <f>F114+H114+J114+L114</f>
        <v>0</v>
      </c>
      <c r="G114">
        <f>IF($E114=0,0,F114/$E114)*100</f>
        <v>0</v>
      </c>
      <c r="I114">
        <f>IF($E114=0,0,H114/$E114)*100</f>
        <v>0</v>
      </c>
      <c r="K114">
        <f>IF($E114=0,0,J114/$E114)*100</f>
        <v>0</v>
      </c>
      <c r="M114">
        <f>IF($E114=0,0,L114/$E114)*100</f>
        <v>0</v>
      </c>
      <c r="CB114">
        <f>IF(OR(F114&lt;0,H114&lt;0,J114&lt;0,L114&lt;0),1,0)</f>
        <v>0</v>
      </c>
      <c r="CG114">
        <f>IF(E114=0,0,IF(L114/E114&gt;=0.5,1,0))</f>
        <v>0</v>
      </c>
    </row>
    <row r="115" spans="2:85" x14ac:dyDescent="0.2">
      <c r="B115" t="s">
        <v>1438</v>
      </c>
      <c r="C115">
        <v>560</v>
      </c>
      <c r="D115" t="s">
        <v>248</v>
      </c>
      <c r="E115">
        <f>F115+H115+J115+L115</f>
        <v>0</v>
      </c>
      <c r="G115">
        <f>IF($E115=0,0,F115/$E115)*100</f>
        <v>0</v>
      </c>
      <c r="I115">
        <f>IF($E115=0,0,H115/$E115)*100</f>
        <v>0</v>
      </c>
      <c r="K115">
        <f>IF($E115=0,0,J115/$E115)*100</f>
        <v>0</v>
      </c>
      <c r="M115">
        <f>IF($E115=0,0,L115/$E115)*100</f>
        <v>0</v>
      </c>
      <c r="CB115">
        <f>IF(OR(F115&lt;0,H115&lt;0,J115&lt;0,L115&lt;0),1,0)</f>
        <v>0</v>
      </c>
      <c r="CG115">
        <f>IF(E115=0,0,IF(L115/E115&gt;=0.5,1,0))</f>
        <v>0</v>
      </c>
    </row>
    <row r="117" spans="2:85" x14ac:dyDescent="0.2">
      <c r="B117" t="s">
        <v>1562</v>
      </c>
      <c r="C117">
        <v>570</v>
      </c>
      <c r="D117" t="s">
        <v>245</v>
      </c>
      <c r="E117">
        <f>F117+H117+J117+L117</f>
        <v>0</v>
      </c>
      <c r="G117">
        <f>IF($E117=0,0,F117/$E117)*100</f>
        <v>0</v>
      </c>
      <c r="I117">
        <f>IF($E117=0,0,H117/$E117)*100</f>
        <v>0</v>
      </c>
      <c r="K117">
        <f>IF($E117=0,0,J117/$E117)*100</f>
        <v>0</v>
      </c>
      <c r="M117">
        <f>IF($E117=0,0,L117/$E117)*100</f>
        <v>0</v>
      </c>
      <c r="CA117">
        <f>IF(OR(F117&gt;0,H117&gt;0,J117&gt;0,L117&gt;0),1,0)</f>
        <v>0</v>
      </c>
      <c r="CG117">
        <f>IF(E117=0,0,IF(L117/E117&gt;=0.5,1,0))</f>
        <v>0</v>
      </c>
    </row>
    <row r="118" spans="2:85" x14ac:dyDescent="0.2">
      <c r="B118" t="s">
        <v>1563</v>
      </c>
      <c r="C118">
        <v>580</v>
      </c>
      <c r="D118" t="s">
        <v>245</v>
      </c>
      <c r="E118">
        <f>F118+H118+J118+L118</f>
        <v>0</v>
      </c>
      <c r="G118">
        <f>IF($E118=0,0,F118/$E118)*100</f>
        <v>0</v>
      </c>
      <c r="I118">
        <f>IF($E118=0,0,H118/$E118)*100</f>
        <v>0</v>
      </c>
      <c r="K118">
        <f>IF($E118=0,0,J118/$E118)*100</f>
        <v>0</v>
      </c>
      <c r="M118">
        <f>IF($E118=0,0,L118/$E118)*100</f>
        <v>0</v>
      </c>
      <c r="CA118">
        <f>IF(OR(F118&gt;0,H118&gt;0,J118&gt;0,L118&gt;0),1,0)</f>
        <v>0</v>
      </c>
      <c r="CG118">
        <f>IF(E118=0,0,IF(L118/E118&gt;=0.5,1,0))</f>
        <v>0</v>
      </c>
    </row>
    <row r="121" spans="2:85" x14ac:dyDescent="0.2">
      <c r="C121" t="s">
        <v>238</v>
      </c>
      <c r="D121" t="s">
        <v>25</v>
      </c>
      <c r="E121" t="s">
        <v>2428</v>
      </c>
      <c r="F121" t="s">
        <v>1433</v>
      </c>
      <c r="H121" t="s">
        <v>2429</v>
      </c>
      <c r="J121" t="s">
        <v>2430</v>
      </c>
      <c r="L121" t="s">
        <v>2431</v>
      </c>
    </row>
    <row r="122" spans="2:85" x14ac:dyDescent="0.2">
      <c r="B122" t="s">
        <v>2434</v>
      </c>
      <c r="C122" t="s">
        <v>242</v>
      </c>
      <c r="E122" t="s">
        <v>2433</v>
      </c>
    </row>
    <row r="123" spans="2:85" x14ac:dyDescent="0.2">
      <c r="E123" t="s">
        <v>2036</v>
      </c>
      <c r="F123" t="s">
        <v>2037</v>
      </c>
      <c r="G123" t="s">
        <v>2038</v>
      </c>
      <c r="H123" t="s">
        <v>2039</v>
      </c>
      <c r="I123" t="s">
        <v>2040</v>
      </c>
      <c r="J123" t="s">
        <v>2041</v>
      </c>
      <c r="K123" t="s">
        <v>2042</v>
      </c>
      <c r="L123" t="s">
        <v>2043</v>
      </c>
      <c r="M123" t="s">
        <v>2044</v>
      </c>
    </row>
    <row r="124" spans="2:85" x14ac:dyDescent="0.2">
      <c r="E124" t="s">
        <v>243</v>
      </c>
      <c r="F124" t="s">
        <v>243</v>
      </c>
      <c r="G124" t="s">
        <v>912</v>
      </c>
      <c r="H124" t="s">
        <v>243</v>
      </c>
      <c r="I124" t="s">
        <v>912</v>
      </c>
      <c r="J124" t="s">
        <v>243</v>
      </c>
      <c r="K124" t="s">
        <v>912</v>
      </c>
      <c r="L124" t="s">
        <v>243</v>
      </c>
      <c r="M124" t="s">
        <v>912</v>
      </c>
    </row>
    <row r="125" spans="2:85" x14ac:dyDescent="0.2">
      <c r="B125" t="s">
        <v>1437</v>
      </c>
      <c r="C125">
        <v>590</v>
      </c>
      <c r="D125" t="s">
        <v>248</v>
      </c>
      <c r="E125">
        <f>SUM(F125+H125+J125+L125)</f>
        <v>0</v>
      </c>
      <c r="G125">
        <f>IF($E125=0,0,F125/$E125)*100</f>
        <v>0</v>
      </c>
      <c r="I125">
        <f>IF($E125=0,0,H125/$E125)*100</f>
        <v>0</v>
      </c>
      <c r="K125">
        <f>IF($E125=0,0,J125/$E125)*100</f>
        <v>0</v>
      </c>
      <c r="M125">
        <f>IF($E125=0,0,L125/$E125)*100</f>
        <v>0</v>
      </c>
    </row>
    <row r="126" spans="2:85" x14ac:dyDescent="0.2">
      <c r="B126" t="s">
        <v>1438</v>
      </c>
      <c r="C126">
        <v>600</v>
      </c>
      <c r="D126" t="s">
        <v>248</v>
      </c>
      <c r="E126">
        <f>SUM(F126+H126+J126+L126)</f>
        <v>0</v>
      </c>
      <c r="G126">
        <f>IF($E126=0,0,F126/$E126)*100</f>
        <v>0</v>
      </c>
      <c r="I126">
        <f>IF($E126=0,0,H126/$E126)*100</f>
        <v>0</v>
      </c>
      <c r="K126">
        <f>IF($E126=0,0,J126/$E126)*100</f>
        <v>0</v>
      </c>
      <c r="M126">
        <f>IF($E126=0,0,L126/$E126)*100</f>
        <v>0</v>
      </c>
    </row>
    <row r="128" spans="2:85" x14ac:dyDescent="0.2">
      <c r="B128" t="s">
        <v>1562</v>
      </c>
      <c r="C128">
        <v>610</v>
      </c>
      <c r="D128" t="s">
        <v>245</v>
      </c>
      <c r="E128">
        <f>SUM(F128+H128+J128+L128)</f>
        <v>0</v>
      </c>
      <c r="G128">
        <f>IF($E128=0,0,F128/$E128)*100</f>
        <v>0</v>
      </c>
      <c r="I128">
        <f>IF($E128=0,0,H128/$E128)*100</f>
        <v>0</v>
      </c>
      <c r="K128">
        <f>IF($E128=0,0,J128/$E128)*100</f>
        <v>0</v>
      </c>
      <c r="M128">
        <f>IF($E128=0,0,L128/$E128)*100</f>
        <v>0</v>
      </c>
    </row>
    <row r="129" spans="2:83" x14ac:dyDescent="0.2">
      <c r="B129" t="s">
        <v>1563</v>
      </c>
      <c r="C129">
        <v>620</v>
      </c>
      <c r="D129" t="s">
        <v>245</v>
      </c>
      <c r="E129">
        <f>SUM(F129+H129+J129+L129)</f>
        <v>0</v>
      </c>
      <c r="G129">
        <f>IF($E129=0,0,F129/$E129)*100</f>
        <v>0</v>
      </c>
      <c r="I129">
        <f>IF($E129=0,0,H129/$E129)*100</f>
        <v>0</v>
      </c>
      <c r="K129">
        <f>IF($E129=0,0,J129/$E129)*100</f>
        <v>0</v>
      </c>
      <c r="M129">
        <f>IF($E129=0,0,L129/$E129)*100</f>
        <v>0</v>
      </c>
    </row>
    <row r="132" spans="2:83" x14ac:dyDescent="0.2">
      <c r="C132" t="s">
        <v>238</v>
      </c>
      <c r="D132" t="s">
        <v>25</v>
      </c>
      <c r="E132" t="s">
        <v>2435</v>
      </c>
      <c r="G132" t="s">
        <v>2436</v>
      </c>
    </row>
    <row r="133" spans="2:83" x14ac:dyDescent="0.2">
      <c r="B133" t="s">
        <v>2437</v>
      </c>
      <c r="C133" t="s">
        <v>242</v>
      </c>
      <c r="F133" t="s">
        <v>2005</v>
      </c>
      <c r="H133" t="s">
        <v>2005</v>
      </c>
    </row>
    <row r="134" spans="2:83" x14ac:dyDescent="0.2">
      <c r="E134" t="s">
        <v>2036</v>
      </c>
      <c r="F134" t="s">
        <v>2037</v>
      </c>
      <c r="G134" t="s">
        <v>2038</v>
      </c>
      <c r="H134" t="s">
        <v>2039</v>
      </c>
    </row>
    <row r="135" spans="2:83" x14ac:dyDescent="0.2">
      <c r="E135" t="s">
        <v>891</v>
      </c>
      <c r="F135" t="s">
        <v>243</v>
      </c>
      <c r="G135" t="s">
        <v>891</v>
      </c>
      <c r="H135" t="s">
        <v>243</v>
      </c>
    </row>
    <row r="136" spans="2:83" x14ac:dyDescent="0.2">
      <c r="B136" t="s">
        <v>613</v>
      </c>
    </row>
    <row r="137" spans="2:83" x14ac:dyDescent="0.2">
      <c r="B137" t="s">
        <v>2438</v>
      </c>
      <c r="C137">
        <v>630</v>
      </c>
      <c r="D137" t="s">
        <v>248</v>
      </c>
      <c r="CB137">
        <f>IF(OR(F137&lt;0,H137&lt;0,J137&lt;0,L137&lt;0),1,0)</f>
        <v>0</v>
      </c>
      <c r="CE137">
        <f>IF(OR(G137&gt;=E137,H137&gt;=F137),1,0)</f>
        <v>1</v>
      </c>
    </row>
    <row r="138" spans="2:83" x14ac:dyDescent="0.2">
      <c r="B138" t="s">
        <v>2439</v>
      </c>
      <c r="C138">
        <v>635</v>
      </c>
      <c r="D138" t="s">
        <v>248</v>
      </c>
      <c r="CB138">
        <f>IF(OR(F138&lt;0,H138&lt;0,J138&lt;0,L138&lt;0),1,0)</f>
        <v>0</v>
      </c>
      <c r="CE138">
        <f>IF(OR(G138&gt;=E138,H138&gt;=F138),1,0)</f>
        <v>1</v>
      </c>
    </row>
    <row r="139" spans="2:83" x14ac:dyDescent="0.2">
      <c r="B139" t="s">
        <v>2440</v>
      </c>
      <c r="C139">
        <v>640</v>
      </c>
      <c r="D139" t="s">
        <v>248</v>
      </c>
      <c r="E139">
        <f>IF(E137=0,0,E138/E137)*100</f>
        <v>0</v>
      </c>
      <c r="F139">
        <f>IF(F137=0,0,F138/F137)*100</f>
        <v>0</v>
      </c>
      <c r="G139">
        <f>IF(G137=0,0,G138/G137)*100</f>
        <v>0</v>
      </c>
      <c r="H139">
        <f>IF(H137=0,0,H138/H137)*100</f>
        <v>0</v>
      </c>
      <c r="CD139">
        <f>IF(OR(E138&gt;E137,F138&gt;F137,G138&gt;G137,H138&gt;H137),1,0)</f>
        <v>0</v>
      </c>
    </row>
    <row r="140" spans="2:83" x14ac:dyDescent="0.2">
      <c r="B140" t="s">
        <v>2441</v>
      </c>
    </row>
    <row r="141" spans="2:83" x14ac:dyDescent="0.2">
      <c r="B141" t="s">
        <v>2438</v>
      </c>
      <c r="C141">
        <v>650</v>
      </c>
      <c r="D141" t="s">
        <v>248</v>
      </c>
      <c r="CB141">
        <f>IF(OR(F141&lt;0,H141&lt;0,J141&lt;0,L141&lt;0),1,0)</f>
        <v>0</v>
      </c>
      <c r="CE141">
        <f>IF(OR(G141&gt;=E141,H141&gt;=F141),1,0)</f>
        <v>1</v>
      </c>
    </row>
    <row r="142" spans="2:83" x14ac:dyDescent="0.2">
      <c r="B142" t="s">
        <v>2439</v>
      </c>
      <c r="C142">
        <v>655</v>
      </c>
      <c r="D142" t="s">
        <v>248</v>
      </c>
      <c r="CB142">
        <f>IF(OR(F142&lt;0,H142&lt;0,J142&lt;0,L142&lt;0),1,0)</f>
        <v>0</v>
      </c>
      <c r="CE142">
        <f>IF(OR(G142&gt;=E142,H142&gt;=F142),1,0)</f>
        <v>1</v>
      </c>
    </row>
    <row r="143" spans="2:83" x14ac:dyDescent="0.2">
      <c r="B143" t="s">
        <v>2440</v>
      </c>
      <c r="C143">
        <v>660</v>
      </c>
      <c r="D143" t="s">
        <v>248</v>
      </c>
      <c r="E143">
        <f>IF(E141=0,0,E142/E141)*100</f>
        <v>0</v>
      </c>
      <c r="F143">
        <f>IF(F141=0,0,F142/F141)*100</f>
        <v>0</v>
      </c>
      <c r="G143">
        <f>IF(G141=0,0,G142/G141)*100</f>
        <v>0</v>
      </c>
      <c r="H143">
        <f>IF(H141=0,0,H142/H141)*100</f>
        <v>0</v>
      </c>
      <c r="CD143">
        <f>IF(OR(E142&gt;E141,F142&gt;F141,G142&gt;G141,H142&gt;H141),1,0)</f>
        <v>0</v>
      </c>
    </row>
    <row r="144" spans="2:83" x14ac:dyDescent="0.2">
      <c r="B144" t="s">
        <v>340</v>
      </c>
    </row>
    <row r="145" spans="2:83" x14ac:dyDescent="0.2">
      <c r="B145" t="s">
        <v>2438</v>
      </c>
      <c r="C145">
        <v>670</v>
      </c>
      <c r="D145" t="s">
        <v>248</v>
      </c>
      <c r="E145">
        <f t="shared" ref="E145:H146" si="5">SUM(E137+E141)</f>
        <v>0</v>
      </c>
      <c r="F145">
        <f t="shared" si="5"/>
        <v>0</v>
      </c>
      <c r="G145">
        <f t="shared" si="5"/>
        <v>0</v>
      </c>
      <c r="H145">
        <f t="shared" si="5"/>
        <v>0</v>
      </c>
    </row>
    <row r="146" spans="2:83" x14ac:dyDescent="0.2">
      <c r="B146" t="s">
        <v>2439</v>
      </c>
      <c r="C146">
        <v>675</v>
      </c>
      <c r="D146" t="s">
        <v>248</v>
      </c>
      <c r="E146">
        <f t="shared" si="5"/>
        <v>0</v>
      </c>
      <c r="F146">
        <f t="shared" si="5"/>
        <v>0</v>
      </c>
      <c r="G146">
        <f t="shared" si="5"/>
        <v>0</v>
      </c>
      <c r="H146">
        <f t="shared" si="5"/>
        <v>0</v>
      </c>
    </row>
    <row r="147" spans="2:83" x14ac:dyDescent="0.2">
      <c r="B147" t="s">
        <v>2440</v>
      </c>
      <c r="C147">
        <v>680</v>
      </c>
      <c r="D147" t="s">
        <v>248</v>
      </c>
      <c r="E147">
        <f>IF(E145=0,0,E146/E145)*100</f>
        <v>0</v>
      </c>
      <c r="F147">
        <f>IF(F145=0,0,F146/F145)*100</f>
        <v>0</v>
      </c>
      <c r="G147">
        <f>IF(G145=0,0,G146/G145)*100</f>
        <v>0</v>
      </c>
      <c r="H147">
        <f>IF(H145=0,0,H146/H145)*100</f>
        <v>0</v>
      </c>
    </row>
    <row r="150" spans="2:83" x14ac:dyDescent="0.2">
      <c r="B150" t="s">
        <v>2442</v>
      </c>
      <c r="C150" t="s">
        <v>238</v>
      </c>
      <c r="D150" t="s">
        <v>25</v>
      </c>
      <c r="F150" t="s">
        <v>2089</v>
      </c>
      <c r="I150" t="s">
        <v>241</v>
      </c>
    </row>
    <row r="151" spans="2:83" x14ac:dyDescent="0.2">
      <c r="C151" t="s">
        <v>242</v>
      </c>
      <c r="E151" t="s">
        <v>2021</v>
      </c>
      <c r="F151" t="s">
        <v>2092</v>
      </c>
      <c r="G151" t="s">
        <v>2023</v>
      </c>
      <c r="H151" t="s">
        <v>2021</v>
      </c>
      <c r="I151" t="s">
        <v>1048</v>
      </c>
      <c r="J151" t="s">
        <v>2023</v>
      </c>
    </row>
    <row r="152" spans="2:83" x14ac:dyDescent="0.2">
      <c r="E152" t="s">
        <v>2036</v>
      </c>
      <c r="F152" t="s">
        <v>2037</v>
      </c>
      <c r="G152" t="s">
        <v>2038</v>
      </c>
      <c r="H152" t="s">
        <v>2039</v>
      </c>
      <c r="I152" t="s">
        <v>2040</v>
      </c>
      <c r="J152" t="s">
        <v>2041</v>
      </c>
    </row>
    <row r="153" spans="2:83" x14ac:dyDescent="0.2">
      <c r="E153" t="s">
        <v>243</v>
      </c>
      <c r="F153" t="s">
        <v>243</v>
      </c>
      <c r="G153" t="s">
        <v>243</v>
      </c>
      <c r="H153" t="s">
        <v>243</v>
      </c>
      <c r="I153" t="s">
        <v>243</v>
      </c>
      <c r="J153" t="s">
        <v>243</v>
      </c>
    </row>
    <row r="154" spans="2:83" x14ac:dyDescent="0.2">
      <c r="B154" t="s">
        <v>2443</v>
      </c>
      <c r="C154">
        <v>750</v>
      </c>
      <c r="D154" t="s">
        <v>248</v>
      </c>
      <c r="G154">
        <f>F154-E154</f>
        <v>0</v>
      </c>
      <c r="J154">
        <f>I154-H154</f>
        <v>0</v>
      </c>
      <c r="CB154">
        <f>IF(OR(F154&lt;0,I154&lt;0),1,0)</f>
        <v>0</v>
      </c>
      <c r="CE154">
        <f>IF(F154&gt;I154,1,0)</f>
        <v>0</v>
      </c>
    </row>
    <row r="155" spans="2:83" x14ac:dyDescent="0.2">
      <c r="B155" t="s">
        <v>2444</v>
      </c>
      <c r="C155">
        <v>770</v>
      </c>
      <c r="D155" t="s">
        <v>248</v>
      </c>
      <c r="G155">
        <f>F155-E155</f>
        <v>0</v>
      </c>
      <c r="J155">
        <f>I155-H155</f>
        <v>0</v>
      </c>
      <c r="CB155">
        <f>IF(OR(F155&lt;0,I155&lt;0),1,0)</f>
        <v>0</v>
      </c>
      <c r="CE155">
        <f>IF(F155&gt;I155,1,0)</f>
        <v>0</v>
      </c>
    </row>
    <row r="156" spans="2:83" x14ac:dyDescent="0.2">
      <c r="B156" t="s">
        <v>2445</v>
      </c>
      <c r="C156">
        <v>775</v>
      </c>
      <c r="D156" t="s">
        <v>248</v>
      </c>
      <c r="E156">
        <f t="shared" ref="E156:J156" si="6">SUM(E154:E155)</f>
        <v>0</v>
      </c>
      <c r="F156">
        <f t="shared" si="6"/>
        <v>0</v>
      </c>
      <c r="G156">
        <f t="shared" si="6"/>
        <v>0</v>
      </c>
      <c r="H156">
        <f t="shared" si="6"/>
        <v>0</v>
      </c>
      <c r="I156">
        <f t="shared" si="6"/>
        <v>0</v>
      </c>
      <c r="J156">
        <f t="shared" si="6"/>
        <v>0</v>
      </c>
    </row>
    <row r="159" spans="2:83" x14ac:dyDescent="0.2">
      <c r="B159" t="s">
        <v>1028</v>
      </c>
      <c r="D159" t="s">
        <v>25</v>
      </c>
      <c r="E159" t="s">
        <v>2018</v>
      </c>
      <c r="H159" t="s">
        <v>2446</v>
      </c>
    </row>
    <row r="160" spans="2:83" x14ac:dyDescent="0.2">
      <c r="B160" t="s">
        <v>2447</v>
      </c>
      <c r="C160" t="s">
        <v>238</v>
      </c>
      <c r="E160" t="s">
        <v>2021</v>
      </c>
      <c r="F160" t="s">
        <v>2022</v>
      </c>
      <c r="G160" t="s">
        <v>2023</v>
      </c>
      <c r="H160" t="s">
        <v>2021</v>
      </c>
      <c r="I160" t="s">
        <v>2022</v>
      </c>
      <c r="J160" t="s">
        <v>2023</v>
      </c>
    </row>
    <row r="161" spans="2:92" x14ac:dyDescent="0.2">
      <c r="C161" t="s">
        <v>242</v>
      </c>
      <c r="E161" t="s">
        <v>2036</v>
      </c>
      <c r="F161" t="s">
        <v>2037</v>
      </c>
      <c r="G161" t="s">
        <v>2038</v>
      </c>
      <c r="H161" t="s">
        <v>2039</v>
      </c>
      <c r="I161" t="s">
        <v>2040</v>
      </c>
      <c r="J161" t="s">
        <v>2041</v>
      </c>
    </row>
    <row r="162" spans="2:92" x14ac:dyDescent="0.2">
      <c r="E162" t="s">
        <v>243</v>
      </c>
      <c r="F162" t="s">
        <v>243</v>
      </c>
      <c r="G162" t="s">
        <v>243</v>
      </c>
      <c r="H162" t="s">
        <v>243</v>
      </c>
      <c r="I162" t="s">
        <v>243</v>
      </c>
      <c r="J162" t="s">
        <v>243</v>
      </c>
    </row>
    <row r="163" spans="2:92" x14ac:dyDescent="0.2">
      <c r="B163" t="s">
        <v>2181</v>
      </c>
      <c r="CM163" t="s">
        <v>2448</v>
      </c>
    </row>
    <row r="164" spans="2:92" x14ac:dyDescent="0.2">
      <c r="B164" t="s">
        <v>2449</v>
      </c>
      <c r="C164">
        <v>780</v>
      </c>
      <c r="D164" t="s">
        <v>251</v>
      </c>
      <c r="G164">
        <f>F164-E164</f>
        <v>0</v>
      </c>
      <c r="J164">
        <f>I164-H164</f>
        <v>0</v>
      </c>
      <c r="CM164" t="s">
        <v>2450</v>
      </c>
      <c r="CN164" t="str">
        <f>RIGHT(A2,2)</f>
        <v>13</v>
      </c>
    </row>
    <row r="165" spans="2:92" x14ac:dyDescent="0.2">
      <c r="B165" t="s">
        <v>2451</v>
      </c>
      <c r="C165">
        <v>790</v>
      </c>
      <c r="D165" t="s">
        <v>251</v>
      </c>
      <c r="G165">
        <f>F165-E165</f>
        <v>0</v>
      </c>
      <c r="J165">
        <f>I165-H165</f>
        <v>0</v>
      </c>
      <c r="CM165" t="s">
        <v>2452</v>
      </c>
      <c r="CN165">
        <f>CHOOSE(CN164,30,60,90,120,150,180,210,240,270,300,330,360,,360)</f>
        <v>0</v>
      </c>
    </row>
    <row r="166" spans="2:92" x14ac:dyDescent="0.2">
      <c r="B166" t="s">
        <v>2453</v>
      </c>
      <c r="C166">
        <v>800</v>
      </c>
      <c r="D166" t="s">
        <v>251</v>
      </c>
      <c r="E166">
        <f>IF(E165&lt;&gt;0,E164/E165*CN165,0)</f>
        <v>0</v>
      </c>
      <c r="F166">
        <f>IF(F165&lt;&gt;0,F164/F165*CN165,0)</f>
        <v>0</v>
      </c>
      <c r="G166">
        <f>F166-E166</f>
        <v>0</v>
      </c>
      <c r="H166">
        <f>IF(H165&lt;&gt;0,H164/H165*360,0)</f>
        <v>0</v>
      </c>
      <c r="I166">
        <f>IF(I165&lt;&gt;0,I164/I165*360,0)</f>
        <v>0</v>
      </c>
      <c r="J166">
        <f>I166-H166</f>
        <v>0</v>
      </c>
      <c r="L166" t="s">
        <v>2454</v>
      </c>
    </row>
    <row r="167" spans="2:92" x14ac:dyDescent="0.2">
      <c r="B167" t="s">
        <v>2455</v>
      </c>
      <c r="C167">
        <v>810</v>
      </c>
      <c r="D167" t="s">
        <v>251</v>
      </c>
      <c r="E167">
        <f>IF(E166&gt;=0,4,IF(E166&gt;=-7,3,IF(E166&gt;=-14,2,1)))</f>
        <v>4</v>
      </c>
      <c r="F167">
        <f>IF(F166&gt;=0,4,IF(F166&gt;=-7,3,IF(F166&gt;=-14,2,1)))</f>
        <v>4</v>
      </c>
      <c r="G167">
        <f>F167-E167</f>
        <v>0</v>
      </c>
      <c r="H167">
        <f>IF(H166&gt;=0,4,IF(H166&gt;=-7,3,IF(H166&gt;=-14,2,1)))</f>
        <v>4</v>
      </c>
      <c r="I167">
        <f>IF(I166&gt;=0,4,IF(I166&gt;=-7,3,IF(I166&gt;=-14,2,1)))</f>
        <v>4</v>
      </c>
      <c r="J167">
        <f>I167-H167</f>
        <v>0</v>
      </c>
      <c r="L167" t="s">
        <v>2456</v>
      </c>
      <c r="P167" t="s">
        <v>2457</v>
      </c>
    </row>
    <row r="168" spans="2:92" x14ac:dyDescent="0.2">
      <c r="B168" t="s">
        <v>2183</v>
      </c>
      <c r="L168">
        <v>4</v>
      </c>
      <c r="M168">
        <v>3</v>
      </c>
      <c r="N168">
        <v>2</v>
      </c>
      <c r="O168">
        <v>1</v>
      </c>
    </row>
    <row r="169" spans="2:92" x14ac:dyDescent="0.2">
      <c r="B169" t="s">
        <v>2458</v>
      </c>
      <c r="C169">
        <v>820</v>
      </c>
      <c r="D169" t="s">
        <v>251</v>
      </c>
      <c r="G169">
        <f>F169-E169</f>
        <v>0</v>
      </c>
      <c r="J169">
        <f>I169-H169</f>
        <v>0</v>
      </c>
      <c r="L169">
        <v>0</v>
      </c>
      <c r="M169">
        <v>-7</v>
      </c>
      <c r="N169">
        <v>-14</v>
      </c>
      <c r="O169" t="s">
        <v>2459</v>
      </c>
    </row>
    <row r="170" spans="2:92" x14ac:dyDescent="0.2">
      <c r="B170" t="s">
        <v>2460</v>
      </c>
      <c r="C170">
        <v>830</v>
      </c>
      <c r="D170" t="s">
        <v>251</v>
      </c>
      <c r="G170">
        <f>F170-E170</f>
        <v>0</v>
      </c>
      <c r="J170">
        <f>I170-H170</f>
        <v>0</v>
      </c>
    </row>
    <row r="171" spans="2:92" x14ac:dyDescent="0.2">
      <c r="B171" t="s">
        <v>2183</v>
      </c>
      <c r="C171">
        <v>840</v>
      </c>
      <c r="D171" t="s">
        <v>251</v>
      </c>
      <c r="E171">
        <f>IF(E170&lt;&gt;0,E169/E170,0)</f>
        <v>0</v>
      </c>
      <c r="F171">
        <f>IF(F170&lt;&gt;0,F169/F170,0)</f>
        <v>0</v>
      </c>
      <c r="G171">
        <f>F171-E171</f>
        <v>0</v>
      </c>
      <c r="H171">
        <f>IF(H170&lt;&gt;0,H169/H170,0)</f>
        <v>0</v>
      </c>
      <c r="I171">
        <f>IF(I170&lt;&gt;0,I169/I170,0)</f>
        <v>0</v>
      </c>
      <c r="J171">
        <f>I171-H171</f>
        <v>0</v>
      </c>
      <c r="L171" t="s">
        <v>2461</v>
      </c>
      <c r="P171" t="s">
        <v>2457</v>
      </c>
    </row>
    <row r="172" spans="2:92" x14ac:dyDescent="0.2">
      <c r="B172" t="s">
        <v>2462</v>
      </c>
      <c r="C172">
        <v>850</v>
      </c>
      <c r="D172" t="s">
        <v>251</v>
      </c>
      <c r="E172">
        <f>IF(E170=0,4,IF(E171&gt;2.5,4,IF(E171&gt;1.75,3,IF(E171&gt;1.25,2,1))))</f>
        <v>4</v>
      </c>
      <c r="F172">
        <f>IF(F170=0,4,IF(F171&gt;2.5,4,IF(F171&gt;1.75,3,IF(F171&gt;1.25,2,1))))</f>
        <v>4</v>
      </c>
      <c r="G172">
        <f>F172-E172</f>
        <v>0</v>
      </c>
      <c r="H172">
        <f>IF(H170=0,4,IF(H171&gt;2.5,4,IF(H171&gt;1.75,3,IF(H171&gt;1.25,2,1))))</f>
        <v>4</v>
      </c>
      <c r="I172">
        <f>IF(I170=0,4,IF(I171&gt;2.5,4,IF(I171&gt;1.75,3,IF(I171&gt;1.25,2,1))))</f>
        <v>4</v>
      </c>
      <c r="J172">
        <f>I172-H172</f>
        <v>0</v>
      </c>
      <c r="L172">
        <v>4</v>
      </c>
      <c r="M172">
        <v>3</v>
      </c>
      <c r="N172">
        <v>2</v>
      </c>
      <c r="O172">
        <v>1</v>
      </c>
    </row>
    <row r="173" spans="2:92" x14ac:dyDescent="0.2">
      <c r="B173" t="s">
        <v>2463</v>
      </c>
      <c r="C173">
        <v>860</v>
      </c>
      <c r="D173" t="s">
        <v>251</v>
      </c>
      <c r="E173">
        <f>(E167+E172)/2</f>
        <v>4</v>
      </c>
      <c r="F173">
        <f>(F167+F172)/2</f>
        <v>4</v>
      </c>
      <c r="G173">
        <f>F173-E173</f>
        <v>0</v>
      </c>
      <c r="H173">
        <f>(H167+H172)/2</f>
        <v>4</v>
      </c>
      <c r="I173">
        <f>(I167+I172)/2</f>
        <v>4</v>
      </c>
      <c r="J173">
        <f>I173-H173</f>
        <v>0</v>
      </c>
      <c r="L173">
        <v>2.5</v>
      </c>
      <c r="M173">
        <v>1.75</v>
      </c>
      <c r="N173">
        <v>1.25</v>
      </c>
      <c r="O173" t="s">
        <v>2464</v>
      </c>
    </row>
  </sheetData>
  <sheetProtection sheet="1" objects="1" scenarios="1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CN72"/>
  <sheetViews>
    <sheetView zoomScale="70" zoomScaleNormal="70" workbookViewId="0"/>
  </sheetViews>
  <sheetFormatPr defaultRowHeight="12.75" x14ac:dyDescent="0.2"/>
  <sheetData>
    <row r="1" spans="1:87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87" x14ac:dyDescent="0.2">
      <c r="A2" t="s">
        <v>3727</v>
      </c>
    </row>
    <row r="3" spans="1:87" x14ac:dyDescent="0.2">
      <c r="A3" t="s">
        <v>3798</v>
      </c>
    </row>
    <row r="4" spans="1:87" x14ac:dyDescent="0.2">
      <c r="CA4" t="s">
        <v>230</v>
      </c>
      <c r="CB4">
        <f>0</f>
        <v>0</v>
      </c>
    </row>
    <row r="5" spans="1:87" x14ac:dyDescent="0.2">
      <c r="B5" t="s">
        <v>3399</v>
      </c>
      <c r="CA5" t="s">
        <v>231</v>
      </c>
      <c r="CB5" t="s">
        <v>232</v>
      </c>
      <c r="CC5" t="s">
        <v>3400</v>
      </c>
      <c r="CD5" t="s">
        <v>3400</v>
      </c>
      <c r="CE5" t="s">
        <v>3401</v>
      </c>
      <c r="CF5" t="s">
        <v>3402</v>
      </c>
      <c r="CG5" t="s">
        <v>3403</v>
      </c>
      <c r="CH5" t="s">
        <v>3404</v>
      </c>
      <c r="CI5" t="s">
        <v>3405</v>
      </c>
    </row>
    <row r="6" spans="1:87" x14ac:dyDescent="0.2">
      <c r="CA6">
        <f>SUM(CA7:CA74)</f>
        <v>0</v>
      </c>
      <c r="CB6">
        <f>SUM(CB7:CB74)</f>
        <v>0</v>
      </c>
      <c r="CE6">
        <f>SUM(CE28:CE29)</f>
        <v>0</v>
      </c>
      <c r="CG6">
        <f>SUM(CG7:CG74)</f>
        <v>0</v>
      </c>
    </row>
    <row r="7" spans="1:87" x14ac:dyDescent="0.2">
      <c r="C7" t="s">
        <v>238</v>
      </c>
      <c r="D7" t="s">
        <v>25</v>
      </c>
      <c r="E7" t="s">
        <v>2386</v>
      </c>
      <c r="F7" t="s">
        <v>3406</v>
      </c>
    </row>
    <row r="8" spans="1:87" x14ac:dyDescent="0.2">
      <c r="C8" t="s">
        <v>242</v>
      </c>
      <c r="E8" t="s">
        <v>2036</v>
      </c>
      <c r="F8" t="s">
        <v>2037</v>
      </c>
    </row>
    <row r="9" spans="1:87" x14ac:dyDescent="0.2">
      <c r="B9" t="s">
        <v>2385</v>
      </c>
      <c r="E9" t="s">
        <v>243</v>
      </c>
      <c r="F9" t="s">
        <v>243</v>
      </c>
    </row>
    <row r="10" spans="1:87" x14ac:dyDescent="0.2">
      <c r="B10" t="s">
        <v>2387</v>
      </c>
      <c r="C10">
        <v>100</v>
      </c>
      <c r="D10" t="s">
        <v>248</v>
      </c>
    </row>
    <row r="12" spans="1:87" x14ac:dyDescent="0.2">
      <c r="B12" t="s">
        <v>2388</v>
      </c>
      <c r="C12">
        <v>110</v>
      </c>
      <c r="D12" t="s">
        <v>251</v>
      </c>
    </row>
    <row r="13" spans="1:87" x14ac:dyDescent="0.2">
      <c r="B13" t="s">
        <v>2389</v>
      </c>
      <c r="C13">
        <v>120</v>
      </c>
      <c r="D13" t="s">
        <v>251</v>
      </c>
    </row>
    <row r="14" spans="1:87" x14ac:dyDescent="0.2">
      <c r="B14" t="s">
        <v>2390</v>
      </c>
      <c r="C14">
        <v>130</v>
      </c>
      <c r="D14" t="s">
        <v>245</v>
      </c>
      <c r="CA14">
        <f>IF(OR(E14&gt;0,F14&gt;0),1,0)</f>
        <v>0</v>
      </c>
    </row>
    <row r="15" spans="1:87" x14ac:dyDescent="0.2">
      <c r="B15" t="s">
        <v>2391</v>
      </c>
      <c r="C15">
        <v>150</v>
      </c>
      <c r="D15" t="s">
        <v>251</v>
      </c>
      <c r="E15">
        <f>SUM(E12:E14)</f>
        <v>0</v>
      </c>
      <c r="F15">
        <f>SUM(F12:F14)</f>
        <v>0</v>
      </c>
    </row>
    <row r="17" spans="2:83" x14ac:dyDescent="0.2">
      <c r="B17" t="s">
        <v>2392</v>
      </c>
      <c r="C17">
        <v>160</v>
      </c>
      <c r="D17" t="s">
        <v>251</v>
      </c>
    </row>
    <row r="18" spans="2:83" x14ac:dyDescent="0.2">
      <c r="B18" t="s">
        <v>2393</v>
      </c>
      <c r="C18">
        <v>170</v>
      </c>
      <c r="D18" t="s">
        <v>251</v>
      </c>
    </row>
    <row r="19" spans="2:83" x14ac:dyDescent="0.2">
      <c r="B19" t="s">
        <v>2394</v>
      </c>
      <c r="C19">
        <v>180</v>
      </c>
      <c r="D19" t="s">
        <v>245</v>
      </c>
      <c r="CA19">
        <f>IF(OR(E19&gt;0,F19&gt;0),1,0)</f>
        <v>0</v>
      </c>
    </row>
    <row r="20" spans="2:83" x14ac:dyDescent="0.2">
      <c r="B20" t="s">
        <v>3407</v>
      </c>
      <c r="C20">
        <v>185</v>
      </c>
      <c r="D20" t="s">
        <v>251</v>
      </c>
    </row>
    <row r="21" spans="2:83" x14ac:dyDescent="0.2">
      <c r="B21" t="s">
        <v>2397</v>
      </c>
      <c r="C21">
        <v>200</v>
      </c>
      <c r="D21" t="s">
        <v>251</v>
      </c>
      <c r="E21">
        <f>SUM(E17:E20)</f>
        <v>0</v>
      </c>
      <c r="F21">
        <f>SUM(F17:F20)</f>
        <v>0</v>
      </c>
    </row>
    <row r="23" spans="2:83" x14ac:dyDescent="0.2">
      <c r="B23" t="s">
        <v>3408</v>
      </c>
      <c r="C23">
        <v>210</v>
      </c>
      <c r="D23" t="s">
        <v>251</v>
      </c>
      <c r="E23">
        <f>E21+E15</f>
        <v>0</v>
      </c>
      <c r="F23">
        <f>F21+F15</f>
        <v>0</v>
      </c>
    </row>
    <row r="24" spans="2:83" x14ac:dyDescent="0.2">
      <c r="B24" t="s">
        <v>2399</v>
      </c>
      <c r="C24">
        <v>212</v>
      </c>
      <c r="D24" t="s">
        <v>251</v>
      </c>
      <c r="E24">
        <f>IF(E23=0,0,E23/2)</f>
        <v>0</v>
      </c>
      <c r="F24">
        <f>IF(F23=0,0,F23/2)</f>
        <v>0</v>
      </c>
    </row>
    <row r="25" spans="2:83" x14ac:dyDescent="0.2">
      <c r="B25" t="s">
        <v>3409</v>
      </c>
      <c r="C25">
        <v>214</v>
      </c>
      <c r="D25" t="s">
        <v>245</v>
      </c>
      <c r="CA25">
        <f>IF(OR(E25&gt;0,F25&gt;0),1,0)</f>
        <v>0</v>
      </c>
    </row>
    <row r="26" spans="2:83" x14ac:dyDescent="0.2">
      <c r="B26" t="s">
        <v>3410</v>
      </c>
      <c r="C26">
        <v>216</v>
      </c>
      <c r="D26" t="s">
        <v>251</v>
      </c>
    </row>
    <row r="27" spans="2:83" x14ac:dyDescent="0.2">
      <c r="B27" t="s">
        <v>2402</v>
      </c>
      <c r="C27">
        <v>218</v>
      </c>
      <c r="D27" t="s">
        <v>251</v>
      </c>
      <c r="E27">
        <f>SUM(E24:E26)</f>
        <v>0</v>
      </c>
      <c r="F27">
        <f>SUM(F24:F26)</f>
        <v>0</v>
      </c>
    </row>
    <row r="28" spans="2:83" x14ac:dyDescent="0.2">
      <c r="B28" t="s">
        <v>2405</v>
      </c>
      <c r="C28">
        <v>220</v>
      </c>
      <c r="D28" t="s">
        <v>912</v>
      </c>
      <c r="E28">
        <f>IF(OR(E10=0),0,E10/E27*100)</f>
        <v>0</v>
      </c>
      <c r="F28">
        <f>IF(OR(F10=0),0,F10/F27*100)</f>
        <v>0</v>
      </c>
      <c r="CE28" t="b">
        <f>IF(E27&gt;0,IF(OR(E28&lt;3.495,E28&gt;3.504),1,0))</f>
        <v>0</v>
      </c>
    </row>
    <row r="29" spans="2:83" x14ac:dyDescent="0.2">
      <c r="CE29" t="b">
        <f>IF(F27&gt;0,IF(OR(F28&lt;3.495,F28&gt;3.504),1,0))</f>
        <v>0</v>
      </c>
    </row>
    <row r="30" spans="2:83" x14ac:dyDescent="0.2">
      <c r="B30" t="s">
        <v>215</v>
      </c>
      <c r="C30" t="s">
        <v>238</v>
      </c>
      <c r="D30" t="s">
        <v>25</v>
      </c>
      <c r="E30" t="s">
        <v>2386</v>
      </c>
      <c r="F30" t="s">
        <v>3411</v>
      </c>
      <c r="G30" t="s">
        <v>3412</v>
      </c>
    </row>
    <row r="31" spans="2:83" x14ac:dyDescent="0.2">
      <c r="C31" t="s">
        <v>242</v>
      </c>
      <c r="E31" t="s">
        <v>2036</v>
      </c>
      <c r="F31" t="s">
        <v>2037</v>
      </c>
      <c r="G31" t="s">
        <v>2038</v>
      </c>
    </row>
    <row r="32" spans="2:83" x14ac:dyDescent="0.2">
      <c r="E32" t="s">
        <v>243</v>
      </c>
      <c r="F32" t="s">
        <v>243</v>
      </c>
      <c r="G32" t="s">
        <v>243</v>
      </c>
    </row>
    <row r="33" spans="2:91" x14ac:dyDescent="0.2">
      <c r="B33" t="s">
        <v>1969</v>
      </c>
      <c r="C33">
        <v>230</v>
      </c>
      <c r="D33" t="s">
        <v>251</v>
      </c>
      <c r="E33">
        <f>E37</f>
        <v>0</v>
      </c>
      <c r="F33">
        <f>F37</f>
        <v>0</v>
      </c>
      <c r="G33">
        <f>E33+F33</f>
        <v>0</v>
      </c>
    </row>
    <row r="34" spans="2:91" x14ac:dyDescent="0.2">
      <c r="B34" t="s">
        <v>1970</v>
      </c>
      <c r="C34">
        <v>240</v>
      </c>
      <c r="D34" t="s">
        <v>251</v>
      </c>
      <c r="G34">
        <f>E34+F34</f>
        <v>0</v>
      </c>
    </row>
    <row r="35" spans="2:91" x14ac:dyDescent="0.2">
      <c r="B35" t="s">
        <v>1972</v>
      </c>
      <c r="C35">
        <v>250</v>
      </c>
      <c r="D35" t="s">
        <v>248</v>
      </c>
      <c r="E35">
        <f>E63</f>
        <v>0</v>
      </c>
      <c r="F35">
        <f>R63</f>
        <v>0</v>
      </c>
      <c r="G35">
        <f>E35+F35</f>
        <v>0</v>
      </c>
      <c r="CB35">
        <f>IF(OR(E35&lt;0,F35&lt;0,G35&lt;0,H35&lt;0,I35&lt;0,J35&lt;0),1,0)</f>
        <v>0</v>
      </c>
    </row>
    <row r="36" spans="2:91" x14ac:dyDescent="0.2">
      <c r="B36" t="s">
        <v>477</v>
      </c>
      <c r="C36">
        <v>260</v>
      </c>
      <c r="D36" t="s">
        <v>245</v>
      </c>
      <c r="G36">
        <f>E36+F36</f>
        <v>0</v>
      </c>
      <c r="CA36">
        <f>IF(OR(E36&gt;0,F36&gt;0,G36&gt;0,H36&gt;0,I36&gt;0,J36&gt;0),1,0)</f>
        <v>0</v>
      </c>
    </row>
    <row r="37" spans="2:91" x14ac:dyDescent="0.2">
      <c r="B37" t="s">
        <v>1973</v>
      </c>
      <c r="C37">
        <v>270</v>
      </c>
      <c r="D37" t="s">
        <v>251</v>
      </c>
      <c r="E37">
        <f>SUM(E34:E36)</f>
        <v>0</v>
      </c>
      <c r="F37">
        <f>SUM(F34:F36)</f>
        <v>0</v>
      </c>
      <c r="G37">
        <f>SUM(G34:G36)</f>
        <v>0</v>
      </c>
    </row>
    <row r="38" spans="2:91" x14ac:dyDescent="0.2">
      <c r="B38" t="s">
        <v>1974</v>
      </c>
      <c r="C38">
        <v>280</v>
      </c>
      <c r="D38" t="s">
        <v>251</v>
      </c>
      <c r="E38">
        <f>E33-E37</f>
        <v>0</v>
      </c>
      <c r="F38">
        <f>F33-F37</f>
        <v>0</v>
      </c>
      <c r="G38">
        <f>G33-G37</f>
        <v>0</v>
      </c>
    </row>
    <row r="40" spans="2:91" x14ac:dyDescent="0.2">
      <c r="B40" t="s">
        <v>3413</v>
      </c>
      <c r="C40" t="s">
        <v>238</v>
      </c>
      <c r="D40" t="s">
        <v>25</v>
      </c>
      <c r="E40" t="s">
        <v>2386</v>
      </c>
      <c r="F40" t="s">
        <v>3280</v>
      </c>
      <c r="G40" t="s">
        <v>2025</v>
      </c>
      <c r="H40" t="s">
        <v>2026</v>
      </c>
      <c r="I40" t="s">
        <v>2027</v>
      </c>
      <c r="J40" t="s">
        <v>2028</v>
      </c>
      <c r="K40" t="s">
        <v>2029</v>
      </c>
      <c r="L40" t="s">
        <v>2030</v>
      </c>
      <c r="M40" t="s">
        <v>2031</v>
      </c>
      <c r="N40" t="s">
        <v>2032</v>
      </c>
      <c r="O40" t="s">
        <v>2033</v>
      </c>
      <c r="P40" t="s">
        <v>2034</v>
      </c>
      <c r="Q40" t="s">
        <v>2035</v>
      </c>
      <c r="R40" t="s">
        <v>3406</v>
      </c>
      <c r="S40" t="s">
        <v>3414</v>
      </c>
      <c r="T40" t="s">
        <v>3415</v>
      </c>
      <c r="U40" t="s">
        <v>3416</v>
      </c>
      <c r="V40" t="s">
        <v>3417</v>
      </c>
    </row>
    <row r="41" spans="2:91" x14ac:dyDescent="0.2">
      <c r="C41" t="s">
        <v>242</v>
      </c>
      <c r="E41" t="s">
        <v>2036</v>
      </c>
      <c r="F41" t="s">
        <v>2037</v>
      </c>
      <c r="G41" t="s">
        <v>2038</v>
      </c>
      <c r="H41" t="s">
        <v>2039</v>
      </c>
      <c r="I41" t="s">
        <v>2040</v>
      </c>
      <c r="J41" t="s">
        <v>2041</v>
      </c>
      <c r="K41" t="s">
        <v>2042</v>
      </c>
      <c r="L41" t="s">
        <v>2043</v>
      </c>
      <c r="M41" t="s">
        <v>2044</v>
      </c>
      <c r="N41" t="s">
        <v>2045</v>
      </c>
      <c r="O41" t="s">
        <v>2046</v>
      </c>
      <c r="P41" t="s">
        <v>2047</v>
      </c>
      <c r="Q41" t="s">
        <v>2048</v>
      </c>
      <c r="R41" t="s">
        <v>2049</v>
      </c>
      <c r="S41" t="s">
        <v>2050</v>
      </c>
      <c r="T41" t="s">
        <v>2051</v>
      </c>
      <c r="U41" t="s">
        <v>2052</v>
      </c>
      <c r="V41" t="s">
        <v>2053</v>
      </c>
    </row>
    <row r="42" spans="2:91" x14ac:dyDescent="0.2">
      <c r="E42" t="s">
        <v>243</v>
      </c>
      <c r="F42" t="s">
        <v>243</v>
      </c>
      <c r="G42" t="s">
        <v>243</v>
      </c>
      <c r="H42" t="s">
        <v>243</v>
      </c>
      <c r="I42" t="s">
        <v>243</v>
      </c>
      <c r="J42" t="s">
        <v>243</v>
      </c>
      <c r="K42" t="s">
        <v>243</v>
      </c>
      <c r="L42" t="s">
        <v>243</v>
      </c>
      <c r="M42" t="s">
        <v>243</v>
      </c>
      <c r="N42" t="s">
        <v>243</v>
      </c>
      <c r="O42" t="s">
        <v>243</v>
      </c>
      <c r="P42" t="s">
        <v>243</v>
      </c>
      <c r="Q42" t="s">
        <v>243</v>
      </c>
      <c r="R42" t="s">
        <v>243</v>
      </c>
      <c r="S42" t="s">
        <v>243</v>
      </c>
      <c r="T42" t="s">
        <v>243</v>
      </c>
      <c r="U42" t="s">
        <v>243</v>
      </c>
      <c r="V42" t="s">
        <v>243</v>
      </c>
    </row>
    <row r="45" spans="2:91" x14ac:dyDescent="0.2">
      <c r="B45" t="s">
        <v>3418</v>
      </c>
      <c r="C45">
        <v>290</v>
      </c>
      <c r="D45" t="s">
        <v>248</v>
      </c>
      <c r="E45">
        <f>SUM(F45:Q45)</f>
        <v>0</v>
      </c>
      <c r="V45">
        <f>SUM(R45:U45,E45)</f>
        <v>0</v>
      </c>
      <c r="BA45">
        <f t="shared" ref="BA45:BA57" ca="1" si="0">IF(OR($BA$1="13",$BA$1="16"),SUM(OFFSET(E45,0,1,1,12)),SUM(OFFSET(E45,0,1,1,$BA$1)))</f>
        <v>0</v>
      </c>
      <c r="BB45">
        <f t="shared" ref="BB45:BB57" ca="1" si="1">IF(OR($BA$1="13",$BA$1="16"),(OFFSET(E45,0,12,1,1)),(OFFSET(E45,0,$BA$1,1,1)))</f>
        <v>0</v>
      </c>
      <c r="CB45">
        <f>IF(OR(F45&lt;0,G45&lt;0,H45&lt;0,I45&lt;0,J45&lt;0,K45&lt;0,L45&lt;0,M45&lt;0,N45&lt;0,O45&lt;0,P45&lt;0,Q45&lt;0,R45&lt;0,S45&lt;0,T45&lt;0,U45&lt;0),1,0)</f>
        <v>0</v>
      </c>
    </row>
    <row r="46" spans="2:91" x14ac:dyDescent="0.2">
      <c r="B46" t="s">
        <v>1979</v>
      </c>
      <c r="C46">
        <v>294</v>
      </c>
      <c r="D46" t="s">
        <v>248</v>
      </c>
      <c r="E46">
        <f>SUM(F46:Q46)</f>
        <v>0</v>
      </c>
      <c r="V46">
        <f>SUM(R46:U46,E46)</f>
        <v>0</v>
      </c>
      <c r="BA46">
        <f t="shared" ca="1" si="0"/>
        <v>0</v>
      </c>
      <c r="BB46">
        <f t="shared" ca="1" si="1"/>
        <v>0</v>
      </c>
      <c r="CB46">
        <f>IF(OR(F46&lt;0,G46&lt;0,H46&lt;0,I46&lt;0,J46&lt;0,K46&lt;0,L46&lt;0,M46&lt;0,N46&lt;0,O46&lt;0,P46&lt;0,Q46&lt;0,R46&lt;0,S46&lt;0,T46&lt;0,U46&lt;0),1,0)</f>
        <v>0</v>
      </c>
    </row>
    <row r="47" spans="2:91" x14ac:dyDescent="0.2">
      <c r="B47" t="s">
        <v>1980</v>
      </c>
      <c r="C47">
        <v>296</v>
      </c>
      <c r="D47" t="s">
        <v>248</v>
      </c>
      <c r="E47">
        <f t="shared" ref="E47:V47" si="2">SUM(E45:E46)</f>
        <v>0</v>
      </c>
      <c r="F47">
        <f t="shared" si="2"/>
        <v>0</v>
      </c>
      <c r="G47">
        <f t="shared" si="2"/>
        <v>0</v>
      </c>
      <c r="H47">
        <f t="shared" si="2"/>
        <v>0</v>
      </c>
      <c r="I47">
        <f t="shared" si="2"/>
        <v>0</v>
      </c>
      <c r="J47">
        <f t="shared" si="2"/>
        <v>0</v>
      </c>
      <c r="K47">
        <f t="shared" si="2"/>
        <v>0</v>
      </c>
      <c r="L47">
        <f t="shared" si="2"/>
        <v>0</v>
      </c>
      <c r="M47">
        <f t="shared" si="2"/>
        <v>0</v>
      </c>
      <c r="N47">
        <f t="shared" si="2"/>
        <v>0</v>
      </c>
      <c r="O47">
        <f t="shared" si="2"/>
        <v>0</v>
      </c>
      <c r="P47">
        <f t="shared" si="2"/>
        <v>0</v>
      </c>
      <c r="Q47">
        <f t="shared" si="2"/>
        <v>0</v>
      </c>
      <c r="R47">
        <f t="shared" si="2"/>
        <v>0</v>
      </c>
      <c r="S47">
        <f t="shared" si="2"/>
        <v>0</v>
      </c>
      <c r="T47">
        <f t="shared" si="2"/>
        <v>0</v>
      </c>
      <c r="U47">
        <f t="shared" si="2"/>
        <v>0</v>
      </c>
      <c r="V47">
        <f t="shared" si="2"/>
        <v>0</v>
      </c>
      <c r="BA47">
        <f t="shared" ca="1" si="0"/>
        <v>0</v>
      </c>
      <c r="BB47">
        <f t="shared" ca="1" si="1"/>
        <v>0</v>
      </c>
      <c r="CB47">
        <f>IF(OR(F47&lt;0,G47&lt;0,H47&lt;0,I47&lt;0,J47&lt;0,K47&lt;0,L47&lt;0,M47&lt;0,N47&lt;0,O47&lt;0,P47&lt;0,Q47&lt;0,R47&lt;0,S47&lt;0,T47&lt;0,U47&lt;0),1,0)</f>
        <v>0</v>
      </c>
      <c r="CJ47" t="s">
        <v>3318</v>
      </c>
    </row>
    <row r="48" spans="2:91" x14ac:dyDescent="0.2">
      <c r="B48" t="s">
        <v>1981</v>
      </c>
      <c r="C48">
        <v>300</v>
      </c>
      <c r="D48" t="s">
        <v>245</v>
      </c>
      <c r="E48">
        <f t="shared" ref="E48:E54" si="3">SUM(F48:Q48)</f>
        <v>0</v>
      </c>
      <c r="V48">
        <f t="shared" ref="V48:V54" si="4">SUM(R48:U48,E48)</f>
        <v>0</v>
      </c>
      <c r="BA48">
        <f t="shared" ca="1" si="0"/>
        <v>0</v>
      </c>
      <c r="BB48">
        <f t="shared" ca="1" si="1"/>
        <v>0</v>
      </c>
      <c r="CA48">
        <f>IF(OR(F48&gt;0,G48&gt;0,H48&gt;0,I48&gt;0,J48&gt;0,K48&gt;0,L48&gt;0,M48&gt;0,N48&gt;0,O48&gt;0,P48&gt;0,Q48&gt;0,R48&gt;0,S48&gt;0,T48&gt;0,U48&gt;0),1,0)</f>
        <v>0</v>
      </c>
      <c r="CC48" t="s">
        <v>1144</v>
      </c>
      <c r="CJ48">
        <f>SUM(F48:H51)</f>
        <v>0</v>
      </c>
      <c r="CK48">
        <f>SUM(I48:K51)</f>
        <v>0</v>
      </c>
      <c r="CL48">
        <f>SUM(L48:N51)</f>
        <v>0</v>
      </c>
      <c r="CM48">
        <f>SUM(O48:Q51)</f>
        <v>0</v>
      </c>
    </row>
    <row r="49" spans="2:92" x14ac:dyDescent="0.2">
      <c r="B49" t="s">
        <v>1982</v>
      </c>
      <c r="C49">
        <v>310</v>
      </c>
      <c r="D49" t="s">
        <v>245</v>
      </c>
      <c r="E49">
        <f t="shared" si="3"/>
        <v>0</v>
      </c>
      <c r="V49">
        <f t="shared" si="4"/>
        <v>0</v>
      </c>
      <c r="BA49">
        <f t="shared" ca="1" si="0"/>
        <v>0</v>
      </c>
      <c r="BB49">
        <f t="shared" ca="1" si="1"/>
        <v>0</v>
      </c>
      <c r="CA49">
        <f>IF(OR(F49&gt;0,G49&gt;0,H49&gt;0,I49&gt;0,J49&gt;0,K49&gt;0,L49&gt;0,M49&gt;0,N49&gt;0,O49&gt;0,P49&gt;0,Q49&gt;0,R49&gt;0,S49&gt;0,T49&gt;0,U49&gt;0),1,0)</f>
        <v>0</v>
      </c>
    </row>
    <row r="50" spans="2:92" x14ac:dyDescent="0.2">
      <c r="B50" t="s">
        <v>1983</v>
      </c>
      <c r="C50">
        <v>314</v>
      </c>
      <c r="D50" t="s">
        <v>245</v>
      </c>
      <c r="E50">
        <f t="shared" si="3"/>
        <v>0</v>
      </c>
      <c r="V50">
        <f t="shared" si="4"/>
        <v>0</v>
      </c>
      <c r="BA50">
        <f t="shared" ca="1" si="0"/>
        <v>0</v>
      </c>
      <c r="BB50">
        <f t="shared" ca="1" si="1"/>
        <v>0</v>
      </c>
      <c r="CA50">
        <f>IF(OR(F50&gt;0,G50&gt;0,H50&gt;0,I50&gt;0,J50&gt;0,K50&gt;0,L50&gt;0,M50&gt;0,N50&gt;0,O50&gt;0,P50&gt;0,Q50&gt;0,R50&gt;0,S50&gt;0,T50&gt;0,U50&gt;0),1,0)</f>
        <v>0</v>
      </c>
      <c r="CC50" t="s">
        <v>3419</v>
      </c>
    </row>
    <row r="51" spans="2:92" x14ac:dyDescent="0.2">
      <c r="B51" t="s">
        <v>1984</v>
      </c>
      <c r="C51">
        <v>316</v>
      </c>
      <c r="D51" t="s">
        <v>245</v>
      </c>
      <c r="E51">
        <f t="shared" si="3"/>
        <v>0</v>
      </c>
      <c r="V51">
        <f t="shared" si="4"/>
        <v>0</v>
      </c>
      <c r="BA51">
        <f t="shared" ca="1" si="0"/>
        <v>0</v>
      </c>
      <c r="BB51">
        <f t="shared" ca="1" si="1"/>
        <v>0</v>
      </c>
      <c r="CA51">
        <f>IF(OR(F51&gt;0,G51&gt;0,H51&gt;0,I51&gt;0,J51&gt;0,K51&gt;0,L51&gt;0,M51&gt;0,N51&gt;0,O51&gt;0,P51&gt;0,Q51&gt;0,R51&gt;0,S51&gt;0,T51&gt;0,U51&gt;0),1,0)</f>
        <v>0</v>
      </c>
      <c r="CC51" t="s">
        <v>3420</v>
      </c>
      <c r="CJ51" t="s">
        <v>3318</v>
      </c>
      <c r="CN51" t="s">
        <v>3421</v>
      </c>
    </row>
    <row r="52" spans="2:92" x14ac:dyDescent="0.2">
      <c r="B52" t="s">
        <v>1985</v>
      </c>
      <c r="C52">
        <v>320</v>
      </c>
      <c r="D52" t="s">
        <v>248</v>
      </c>
      <c r="E52">
        <f t="shared" si="3"/>
        <v>0</v>
      </c>
      <c r="V52">
        <f t="shared" si="4"/>
        <v>0</v>
      </c>
      <c r="BA52">
        <f t="shared" ca="1" si="0"/>
        <v>0</v>
      </c>
      <c r="BB52">
        <f t="shared" ca="1" si="1"/>
        <v>0</v>
      </c>
      <c r="CB52">
        <f>IF(OR(F52&lt;0,G52&lt;0,H52&lt;0,I52&lt;0,J52&lt;0,K52&lt;0,L52&lt;0,M52&lt;0,N52&lt;0,O52&lt;0,P52&lt;0,Q52&lt;0,R52&lt;0,S52&lt;0,T52&lt;0,U52&lt;0),1,0)</f>
        <v>0</v>
      </c>
      <c r="CC52" t="s">
        <v>3422</v>
      </c>
      <c r="CG52">
        <f>IF(OR(CO52&lt;&gt;SUM(E48:E52),CP52&lt;&gt;SUM(F48:F52),CQ52&lt;&gt;SUM(G48:G52),CR52&lt;&gt;SUM(H48:H52),CS52&lt;&gt;SUM(I48:I52),CT52&lt;&gt;SUM(J48:J52),CU52&lt;&gt;SUM(K48:K52),CV52&lt;&gt;SUM(L48:L52),CW52&lt;&gt;SUM(M48:M52),CX52&lt;&gt;SUM(N48:N52)),1,0)</f>
        <v>0</v>
      </c>
      <c r="CJ52">
        <f>SUM(F52:H54)</f>
        <v>0</v>
      </c>
      <c r="CK52">
        <f>SUM(I52:K54)</f>
        <v>0</v>
      </c>
      <c r="CL52">
        <f>SUM(L52:N54)</f>
        <v>0</v>
      </c>
      <c r="CM52">
        <f>SUM(O52:Q54)</f>
        <v>0</v>
      </c>
      <c r="CN52" t="s">
        <v>3422</v>
      </c>
    </row>
    <row r="53" spans="2:92" x14ac:dyDescent="0.2">
      <c r="B53" t="s">
        <v>1986</v>
      </c>
      <c r="C53">
        <v>330</v>
      </c>
      <c r="D53" t="s">
        <v>245</v>
      </c>
      <c r="E53">
        <f t="shared" si="3"/>
        <v>0</v>
      </c>
      <c r="V53">
        <f t="shared" si="4"/>
        <v>0</v>
      </c>
      <c r="BA53">
        <f t="shared" ca="1" si="0"/>
        <v>0</v>
      </c>
      <c r="BB53">
        <f t="shared" ca="1" si="1"/>
        <v>0</v>
      </c>
      <c r="CA53">
        <f>IF(OR(F53&gt;0,G53&gt;0,H53&gt;0,I53&gt;0,J53&gt;0,K53&gt;0,L53&gt;0,M53&gt;0,N53&gt;0,O53&gt;0,P53&gt;0,Q53&gt;0,R53&gt;0,S53&gt;0,T53&gt;0,U53&gt;0),1,0)</f>
        <v>0</v>
      </c>
      <c r="CC53" t="s">
        <v>3423</v>
      </c>
      <c r="CG53">
        <f>IF(OR(CY52&lt;&gt;SUM(O48:O52),CZ52&lt;&gt;SUM(P48:P52),DA52&lt;&gt;SUM(Q48:Q52),DB52&lt;&gt;SUM(R48:R52),DC52&lt;&gt;SUM(S48:S52),DD52&lt;&gt;SUM(T48:T52),DE52&lt;&gt;SUM(U48:U52),DF52&lt;&gt;SUM(V48:V52)),1,0)</f>
        <v>0</v>
      </c>
    </row>
    <row r="54" spans="2:92" x14ac:dyDescent="0.2">
      <c r="B54" t="s">
        <v>1987</v>
      </c>
      <c r="C54">
        <v>340</v>
      </c>
      <c r="D54" t="s">
        <v>245</v>
      </c>
      <c r="E54">
        <f t="shared" si="3"/>
        <v>0</v>
      </c>
      <c r="V54">
        <f t="shared" si="4"/>
        <v>0</v>
      </c>
      <c r="BA54">
        <f t="shared" ca="1" si="0"/>
        <v>0</v>
      </c>
      <c r="BB54">
        <f t="shared" ca="1" si="1"/>
        <v>0</v>
      </c>
      <c r="CA54">
        <f>IF(OR(F54&gt;0,G54&gt;0,H54&gt;0,I54&gt;0,J54&gt;0,K54&gt;0,L54&gt;0,M54&gt;0,N54&gt;0,O54&gt;0,P54&gt;0,Q54&gt;0,R54&gt;0,S54&gt;0,T54&gt;0,U54&gt;0),1,0)</f>
        <v>0</v>
      </c>
      <c r="CG54">
        <f>IF(OR(CO54&lt;&gt;SUM(E53:E54),CP54&lt;&gt;SUM(F53:F54),CQ54&lt;&gt;SUM(G53:G54),CR54&lt;&gt;SUM(H53:H54),CS54&lt;&gt;SUM(I53:I54),CT54&lt;&gt;SUM(J53:J54),CU54&lt;&gt;SUM(K53:K54),CV54&lt;&gt;SUM(L53:L54),CW54&lt;&gt;SUM(M53:M54),CX54&lt;&gt;SUM(N53:N54)),1,0)</f>
        <v>0</v>
      </c>
      <c r="CN54" t="s">
        <v>3424</v>
      </c>
    </row>
    <row r="55" spans="2:92" x14ac:dyDescent="0.2">
      <c r="B55" t="s">
        <v>1988</v>
      </c>
      <c r="C55">
        <v>350</v>
      </c>
      <c r="D55" t="s">
        <v>251</v>
      </c>
      <c r="E55">
        <f t="shared" ref="E55:V55" si="5">SUM(E47:E54)</f>
        <v>0</v>
      </c>
      <c r="F55">
        <f t="shared" si="5"/>
        <v>0</v>
      </c>
      <c r="G55">
        <f t="shared" si="5"/>
        <v>0</v>
      </c>
      <c r="H55">
        <f t="shared" si="5"/>
        <v>0</v>
      </c>
      <c r="I55">
        <f t="shared" si="5"/>
        <v>0</v>
      </c>
      <c r="J55">
        <f t="shared" si="5"/>
        <v>0</v>
      </c>
      <c r="K55">
        <f t="shared" si="5"/>
        <v>0</v>
      </c>
      <c r="L55">
        <f t="shared" si="5"/>
        <v>0</v>
      </c>
      <c r="M55">
        <f t="shared" si="5"/>
        <v>0</v>
      </c>
      <c r="N55">
        <f t="shared" si="5"/>
        <v>0</v>
      </c>
      <c r="O55">
        <f t="shared" si="5"/>
        <v>0</v>
      </c>
      <c r="P55">
        <f t="shared" si="5"/>
        <v>0</v>
      </c>
      <c r="Q55">
        <f t="shared" si="5"/>
        <v>0</v>
      </c>
      <c r="R55">
        <f t="shared" si="5"/>
        <v>0</v>
      </c>
      <c r="S55">
        <f t="shared" si="5"/>
        <v>0</v>
      </c>
      <c r="T55">
        <f t="shared" si="5"/>
        <v>0</v>
      </c>
      <c r="U55">
        <f t="shared" si="5"/>
        <v>0</v>
      </c>
      <c r="V55">
        <f t="shared" si="5"/>
        <v>0</v>
      </c>
      <c r="BA55">
        <f t="shared" ca="1" si="0"/>
        <v>0</v>
      </c>
      <c r="BB55">
        <f t="shared" ca="1" si="1"/>
        <v>0</v>
      </c>
      <c r="CG55">
        <f>IF(OR(CY54&lt;&gt;SUM(O53:O54),CZ54&lt;&gt;SUM(P53:P54),DA54&lt;&gt;SUM(Q53:Q54),DB54&lt;&gt;SUM(R53:R54),DC54&lt;&gt;SUM(S53:S54),DD54&lt;&gt;SUM(T53:T54),DE54&lt;&gt;SUM(U53:U54),DF54&lt;&gt;SUM(V53:V54)),1,0)</f>
        <v>0</v>
      </c>
      <c r="CH55">
        <f>IF(OR(CO55&lt;&gt;E55,CP55&lt;&gt;F55,CQ55&lt;&gt;G55,CR55&lt;&gt;H55,CS55&lt;&gt;I55,CT55&lt;&gt;J55,CU55&lt;&gt;K55,CV55&lt;&gt;L55,CW55&lt;&gt;M55,CX55&lt;&gt;N55,CY55&lt;&gt;O55,CZ55&lt;&gt;P55,DA55&lt;&gt;Q55,DB55&lt;&gt;R55,DC55&lt;&gt;S55,DD55&lt;&gt;T55,DE55&lt;&gt;U55,DF55&lt;&gt;V55),1,0)</f>
        <v>0</v>
      </c>
      <c r="CN55" t="s">
        <v>2419</v>
      </c>
    </row>
    <row r="56" spans="2:92" x14ac:dyDescent="0.2">
      <c r="B56" t="s">
        <v>1989</v>
      </c>
      <c r="C56">
        <v>360</v>
      </c>
      <c r="D56" t="s">
        <v>248</v>
      </c>
      <c r="E56">
        <f>SUM(F56:Q56)</f>
        <v>0</v>
      </c>
      <c r="F56">
        <f t="shared" ref="F56:U56" si="6">F55</f>
        <v>0</v>
      </c>
      <c r="G56">
        <f t="shared" si="6"/>
        <v>0</v>
      </c>
      <c r="H56">
        <f t="shared" si="6"/>
        <v>0</v>
      </c>
      <c r="I56">
        <f t="shared" si="6"/>
        <v>0</v>
      </c>
      <c r="J56">
        <f t="shared" si="6"/>
        <v>0</v>
      </c>
      <c r="K56">
        <f t="shared" si="6"/>
        <v>0</v>
      </c>
      <c r="L56">
        <f t="shared" si="6"/>
        <v>0</v>
      </c>
      <c r="M56">
        <f t="shared" si="6"/>
        <v>0</v>
      </c>
      <c r="N56">
        <f t="shared" si="6"/>
        <v>0</v>
      </c>
      <c r="O56">
        <f t="shared" si="6"/>
        <v>0</v>
      </c>
      <c r="P56">
        <f t="shared" si="6"/>
        <v>0</v>
      </c>
      <c r="Q56">
        <f t="shared" si="6"/>
        <v>0</v>
      </c>
      <c r="R56">
        <f t="shared" si="6"/>
        <v>0</v>
      </c>
      <c r="S56">
        <f t="shared" si="6"/>
        <v>0</v>
      </c>
      <c r="T56">
        <f t="shared" si="6"/>
        <v>0</v>
      </c>
      <c r="U56">
        <f t="shared" si="6"/>
        <v>0</v>
      </c>
      <c r="V56">
        <f>SUM(R56:U56,E56)</f>
        <v>0</v>
      </c>
      <c r="BA56">
        <f t="shared" ca="1" si="0"/>
        <v>0</v>
      </c>
      <c r="BB56">
        <f t="shared" ca="1" si="1"/>
        <v>0</v>
      </c>
      <c r="CI56">
        <f>IF(OR(E57&lt;&gt;0,R57&lt;&gt;0,S57&lt;&gt;0,T57&lt;&gt;0,U57&lt;&gt;0),1,0)</f>
        <v>0</v>
      </c>
    </row>
    <row r="57" spans="2:92" x14ac:dyDescent="0.2">
      <c r="B57" t="s">
        <v>1990</v>
      </c>
      <c r="C57">
        <v>370</v>
      </c>
      <c r="D57" t="s">
        <v>251</v>
      </c>
      <c r="E57">
        <f t="shared" ref="E57:V57" si="7">E56-E55</f>
        <v>0</v>
      </c>
      <c r="F57">
        <f t="shared" si="7"/>
        <v>0</v>
      </c>
      <c r="G57">
        <f t="shared" si="7"/>
        <v>0</v>
      </c>
      <c r="H57">
        <f t="shared" si="7"/>
        <v>0</v>
      </c>
      <c r="I57">
        <f t="shared" si="7"/>
        <v>0</v>
      </c>
      <c r="J57">
        <f t="shared" si="7"/>
        <v>0</v>
      </c>
      <c r="K57">
        <f t="shared" si="7"/>
        <v>0</v>
      </c>
      <c r="L57">
        <f t="shared" si="7"/>
        <v>0</v>
      </c>
      <c r="M57">
        <f t="shared" si="7"/>
        <v>0</v>
      </c>
      <c r="N57">
        <f t="shared" si="7"/>
        <v>0</v>
      </c>
      <c r="O57">
        <f t="shared" si="7"/>
        <v>0</v>
      </c>
      <c r="P57">
        <f t="shared" si="7"/>
        <v>0</v>
      </c>
      <c r="Q57">
        <f t="shared" si="7"/>
        <v>0</v>
      </c>
      <c r="R57">
        <f t="shared" si="7"/>
        <v>0</v>
      </c>
      <c r="S57">
        <f t="shared" si="7"/>
        <v>0</v>
      </c>
      <c r="T57">
        <f t="shared" si="7"/>
        <v>0</v>
      </c>
      <c r="U57">
        <f t="shared" si="7"/>
        <v>0</v>
      </c>
      <c r="V57">
        <f t="shared" si="7"/>
        <v>0</v>
      </c>
      <c r="BA57">
        <f t="shared" ca="1" si="0"/>
        <v>0</v>
      </c>
      <c r="BB57">
        <f t="shared" ca="1" si="1"/>
        <v>0</v>
      </c>
    </row>
    <row r="59" spans="2:92" x14ac:dyDescent="0.2">
      <c r="B59" t="s">
        <v>2423</v>
      </c>
      <c r="C59" t="s">
        <v>238</v>
      </c>
      <c r="D59" t="s">
        <v>25</v>
      </c>
      <c r="E59" t="s">
        <v>2386</v>
      </c>
      <c r="F59" t="s">
        <v>3280</v>
      </c>
      <c r="G59" t="s">
        <v>2025</v>
      </c>
      <c r="H59" t="s">
        <v>2026</v>
      </c>
      <c r="I59" t="s">
        <v>2027</v>
      </c>
      <c r="J59" t="s">
        <v>2028</v>
      </c>
      <c r="K59" t="s">
        <v>2029</v>
      </c>
      <c r="L59" t="s">
        <v>2030</v>
      </c>
      <c r="M59" t="s">
        <v>2031</v>
      </c>
      <c r="N59" t="s">
        <v>2032</v>
      </c>
      <c r="O59" t="s">
        <v>2033</v>
      </c>
      <c r="P59" t="s">
        <v>2034</v>
      </c>
      <c r="Q59" t="s">
        <v>2035</v>
      </c>
      <c r="R59" t="s">
        <v>3406</v>
      </c>
      <c r="S59" t="s">
        <v>3414</v>
      </c>
      <c r="T59" t="s">
        <v>3415</v>
      </c>
      <c r="U59" t="s">
        <v>3416</v>
      </c>
      <c r="V59" t="s">
        <v>3425</v>
      </c>
    </row>
    <row r="60" spans="2:92" x14ac:dyDescent="0.2">
      <c r="C60" t="s">
        <v>242</v>
      </c>
      <c r="E60" t="s">
        <v>2036</v>
      </c>
      <c r="F60" t="s">
        <v>2037</v>
      </c>
      <c r="G60" t="s">
        <v>2038</v>
      </c>
      <c r="H60" t="s">
        <v>2039</v>
      </c>
      <c r="I60" t="s">
        <v>2040</v>
      </c>
      <c r="J60" t="s">
        <v>2041</v>
      </c>
      <c r="K60" t="s">
        <v>2042</v>
      </c>
      <c r="L60" t="s">
        <v>2043</v>
      </c>
      <c r="M60" t="s">
        <v>2044</v>
      </c>
      <c r="N60" t="s">
        <v>2045</v>
      </c>
      <c r="O60" t="s">
        <v>2046</v>
      </c>
      <c r="P60" t="s">
        <v>2047</v>
      </c>
      <c r="Q60" t="s">
        <v>2048</v>
      </c>
      <c r="R60" t="s">
        <v>2049</v>
      </c>
      <c r="S60" t="s">
        <v>2050</v>
      </c>
      <c r="T60" t="s">
        <v>2051</v>
      </c>
      <c r="U60" t="s">
        <v>2052</v>
      </c>
      <c r="V60" t="s">
        <v>2053</v>
      </c>
    </row>
    <row r="61" spans="2:92" x14ac:dyDescent="0.2">
      <c r="E61" t="s">
        <v>243</v>
      </c>
      <c r="F61" t="s">
        <v>243</v>
      </c>
      <c r="G61" t="s">
        <v>243</v>
      </c>
      <c r="H61" t="s">
        <v>243</v>
      </c>
      <c r="I61" t="s">
        <v>243</v>
      </c>
      <c r="J61" t="s">
        <v>243</v>
      </c>
      <c r="K61" t="s">
        <v>243</v>
      </c>
      <c r="L61" t="s">
        <v>243</v>
      </c>
      <c r="M61" t="s">
        <v>243</v>
      </c>
      <c r="N61" t="s">
        <v>243</v>
      </c>
      <c r="O61" t="s">
        <v>243</v>
      </c>
      <c r="P61" t="s">
        <v>243</v>
      </c>
      <c r="Q61" t="s">
        <v>243</v>
      </c>
      <c r="R61" t="s">
        <v>243</v>
      </c>
      <c r="S61" t="s">
        <v>243</v>
      </c>
      <c r="T61" t="s">
        <v>243</v>
      </c>
      <c r="U61" t="s">
        <v>243</v>
      </c>
      <c r="V61" t="s">
        <v>243</v>
      </c>
    </row>
    <row r="62" spans="2:92" x14ac:dyDescent="0.2">
      <c r="B62" t="s">
        <v>2424</v>
      </c>
      <c r="C62">
        <v>500</v>
      </c>
      <c r="D62" t="s">
        <v>248</v>
      </c>
      <c r="E62">
        <f>SUM(F62:Q62)</f>
        <v>0</v>
      </c>
      <c r="V62">
        <f>SUM(R62:U62,E62)</f>
        <v>0</v>
      </c>
      <c r="BA62">
        <f ca="1">IF(OR($BA$1="13",$BA$1="16"),SUM(OFFSET(E62,0,1,1,12)),SUM(OFFSET(E62,0,1,1,$BA$1)))</f>
        <v>0</v>
      </c>
      <c r="BB62">
        <f ca="1">IF(OR($BA$1="13",$BA$1="16"),(OFFSET(E62,0,12,1,1)),(OFFSET(E62,0,$BA$1,1,1)))</f>
        <v>0</v>
      </c>
    </row>
    <row r="63" spans="2:92" x14ac:dyDescent="0.2">
      <c r="B63" t="s">
        <v>2425</v>
      </c>
      <c r="C63">
        <v>510</v>
      </c>
      <c r="D63" t="s">
        <v>248</v>
      </c>
      <c r="E63">
        <f>SUM(F63:Q63)</f>
        <v>0</v>
      </c>
      <c r="V63">
        <f>SUM(R63:U63,E63)</f>
        <v>0</v>
      </c>
      <c r="BA63">
        <f ca="1">IF(OR($BA$1="13",$BA$1="16"),SUM(OFFSET(E63,0,1,1,12)),SUM(OFFSET(E63,0,1,1,$BA$1)))</f>
        <v>0</v>
      </c>
      <c r="BB63">
        <f ca="1">IF(OR($BA$1="13",$BA$1="16"),(OFFSET(E63,0,12,1,1)),(OFFSET(E63,0,$BA$1,1,1)))</f>
        <v>0</v>
      </c>
      <c r="CB63">
        <f>IF(OR(E63&lt;0,F63&lt;0,G63&lt;0,H63&lt;0,I63&lt;0,J63&lt;0,K63&lt;0,L63&lt;0,M63&lt;0,N63&lt;0,O63&lt;0,P63&lt;0,Q63&lt;0,R63&lt;0,S63&lt;0,T63&lt;0,U63&lt;0),1,0)</f>
        <v>0</v>
      </c>
    </row>
    <row r="64" spans="2:92" x14ac:dyDescent="0.2">
      <c r="B64" t="s">
        <v>2426</v>
      </c>
      <c r="C64">
        <v>520</v>
      </c>
      <c r="D64" t="s">
        <v>248</v>
      </c>
      <c r="E64">
        <f>SUM(F64:Q64)</f>
        <v>0</v>
      </c>
      <c r="F64">
        <f t="shared" ref="F64:V64" si="8">F62+F63</f>
        <v>0</v>
      </c>
      <c r="G64">
        <f t="shared" si="8"/>
        <v>0</v>
      </c>
      <c r="H64">
        <f t="shared" si="8"/>
        <v>0</v>
      </c>
      <c r="I64">
        <f t="shared" si="8"/>
        <v>0</v>
      </c>
      <c r="J64">
        <f t="shared" si="8"/>
        <v>0</v>
      </c>
      <c r="K64">
        <f t="shared" si="8"/>
        <v>0</v>
      </c>
      <c r="L64">
        <f t="shared" si="8"/>
        <v>0</v>
      </c>
      <c r="M64">
        <f t="shared" si="8"/>
        <v>0</v>
      </c>
      <c r="N64">
        <f t="shared" si="8"/>
        <v>0</v>
      </c>
      <c r="O64">
        <f t="shared" si="8"/>
        <v>0</v>
      </c>
      <c r="P64">
        <f t="shared" si="8"/>
        <v>0</v>
      </c>
      <c r="Q64">
        <f t="shared" si="8"/>
        <v>0</v>
      </c>
      <c r="R64">
        <f t="shared" si="8"/>
        <v>0</v>
      </c>
      <c r="S64">
        <f t="shared" si="8"/>
        <v>0</v>
      </c>
      <c r="T64">
        <f t="shared" si="8"/>
        <v>0</v>
      </c>
      <c r="U64">
        <f t="shared" si="8"/>
        <v>0</v>
      </c>
      <c r="V64">
        <f t="shared" si="8"/>
        <v>0</v>
      </c>
      <c r="BA64">
        <f ca="1">IF(OR($BA$1="13",$BA$1="16"),SUM(OFFSET(E64,0,1,1,12)),SUM(OFFSET(E64,0,1,1,$BA$1)))</f>
        <v>0</v>
      </c>
      <c r="BB64">
        <f ca="1">IF(OR($BA$1="13",$BA$1="16"),(OFFSET(E64,0,12,1,1)),(OFFSET(E64,0,$BA$1,1,1)))</f>
        <v>0</v>
      </c>
      <c r="CB64">
        <f>IF(OR(E64&lt;0,F64&lt;0,G64&lt;0,H64&lt;0,I64&lt;0,J64&lt;0,K64&lt;0,L64&lt;0,M64&lt;0,N64&lt;0,O64&lt;0,P64&lt;0,Q64&lt;0,R64&lt;0,S64&lt;0,T64&lt;0,U64&lt;0),1,0)</f>
        <v>0</v>
      </c>
    </row>
    <row r="65" spans="2:80" x14ac:dyDescent="0.2">
      <c r="B65" t="s">
        <v>2427</v>
      </c>
      <c r="C65">
        <v>530</v>
      </c>
      <c r="D65" t="s">
        <v>248</v>
      </c>
      <c r="E65">
        <f>SUM(F65:Q65)</f>
        <v>0</v>
      </c>
      <c r="V65">
        <f>SUM(R65:U65,E65)</f>
        <v>0</v>
      </c>
      <c r="BA65">
        <f ca="1">IF(OR($BA$1="13",$BA$1="16"),SUM(OFFSET(E65,0,1,1,12)),SUM(OFFSET(E65,0,1,1,$BA$1)))</f>
        <v>0</v>
      </c>
      <c r="BB65">
        <f ca="1">IF(OR($BA$1="13",$BA$1="16"),(OFFSET(E65,0,12,1,1)),(OFFSET(E65,0,$BA$1,1,1)))</f>
        <v>0</v>
      </c>
      <c r="CB65">
        <f>IF(OR(E65&lt;0,F65&lt;0,G65&lt;0,H65&lt;0,I65&lt;0,J65&lt;0,K65&lt;0,L65&lt;0,M65&lt;0,N65&lt;0,O65&lt;0,P65&lt;0,Q65&lt;0,R65&lt;0,S65&lt;0,T65&lt;0,U65&lt;0),1,0)</f>
        <v>0</v>
      </c>
    </row>
    <row r="67" spans="2:80" x14ac:dyDescent="0.2">
      <c r="B67" t="s">
        <v>2442</v>
      </c>
      <c r="C67" t="s">
        <v>238</v>
      </c>
      <c r="D67" t="s">
        <v>25</v>
      </c>
      <c r="E67" t="s">
        <v>2386</v>
      </c>
      <c r="F67" t="s">
        <v>3280</v>
      </c>
      <c r="G67" t="s">
        <v>2025</v>
      </c>
      <c r="H67" t="s">
        <v>2026</v>
      </c>
      <c r="I67" t="s">
        <v>2027</v>
      </c>
      <c r="J67" t="s">
        <v>2028</v>
      </c>
      <c r="K67" t="s">
        <v>2029</v>
      </c>
      <c r="L67" t="s">
        <v>2030</v>
      </c>
      <c r="M67" t="s">
        <v>2031</v>
      </c>
      <c r="N67" t="s">
        <v>2032</v>
      </c>
      <c r="O67" t="s">
        <v>2033</v>
      </c>
      <c r="P67" t="s">
        <v>2034</v>
      </c>
      <c r="Q67" t="s">
        <v>2035</v>
      </c>
      <c r="R67" t="s">
        <v>3406</v>
      </c>
      <c r="S67" t="s">
        <v>3414</v>
      </c>
      <c r="T67" t="s">
        <v>3415</v>
      </c>
      <c r="U67" t="s">
        <v>3416</v>
      </c>
      <c r="V67" t="s">
        <v>3425</v>
      </c>
    </row>
    <row r="68" spans="2:80" x14ac:dyDescent="0.2">
      <c r="C68" t="s">
        <v>242</v>
      </c>
      <c r="E68" t="s">
        <v>2036</v>
      </c>
      <c r="F68" t="s">
        <v>2037</v>
      </c>
      <c r="G68" t="s">
        <v>2038</v>
      </c>
      <c r="H68" t="s">
        <v>2039</v>
      </c>
      <c r="I68" t="s">
        <v>2040</v>
      </c>
      <c r="J68" t="s">
        <v>2041</v>
      </c>
      <c r="K68" t="s">
        <v>2042</v>
      </c>
      <c r="L68" t="s">
        <v>2043</v>
      </c>
      <c r="M68" t="s">
        <v>2044</v>
      </c>
      <c r="N68" t="s">
        <v>2045</v>
      </c>
      <c r="O68" t="s">
        <v>2046</v>
      </c>
      <c r="P68" t="s">
        <v>2047</v>
      </c>
      <c r="Q68" t="s">
        <v>2048</v>
      </c>
      <c r="R68" t="s">
        <v>2049</v>
      </c>
      <c r="S68" t="s">
        <v>2050</v>
      </c>
      <c r="T68" t="s">
        <v>2051</v>
      </c>
      <c r="U68" t="s">
        <v>2052</v>
      </c>
      <c r="V68" t="s">
        <v>2053</v>
      </c>
    </row>
    <row r="69" spans="2:80" x14ac:dyDescent="0.2">
      <c r="E69" t="s">
        <v>243</v>
      </c>
      <c r="F69" t="s">
        <v>243</v>
      </c>
      <c r="G69" t="s">
        <v>243</v>
      </c>
      <c r="H69" t="s">
        <v>243</v>
      </c>
      <c r="I69" t="s">
        <v>243</v>
      </c>
      <c r="J69" t="s">
        <v>243</v>
      </c>
      <c r="K69" t="s">
        <v>243</v>
      </c>
      <c r="L69" t="s">
        <v>243</v>
      </c>
      <c r="M69" t="s">
        <v>243</v>
      </c>
      <c r="N69" t="s">
        <v>243</v>
      </c>
      <c r="O69" t="s">
        <v>243</v>
      </c>
      <c r="P69" t="s">
        <v>243</v>
      </c>
      <c r="Q69" t="s">
        <v>243</v>
      </c>
      <c r="R69" t="s">
        <v>243</v>
      </c>
      <c r="S69" t="s">
        <v>243</v>
      </c>
      <c r="T69" t="s">
        <v>243</v>
      </c>
      <c r="U69" t="s">
        <v>243</v>
      </c>
      <c r="V69" t="s">
        <v>243</v>
      </c>
    </row>
    <row r="70" spans="2:80" x14ac:dyDescent="0.2">
      <c r="B70" t="s">
        <v>2443</v>
      </c>
      <c r="C70">
        <v>750</v>
      </c>
      <c r="D70" t="s">
        <v>248</v>
      </c>
      <c r="E70">
        <f>SUM(F70:Q70)</f>
        <v>0</v>
      </c>
      <c r="V70">
        <f>SUM(R70:U70,E70)</f>
        <v>0</v>
      </c>
      <c r="BA70">
        <f ca="1">IF(OR($BA$1="13",$BA$1="16"),SUM(OFFSET(E70,0,1,1,12)),SUM(OFFSET(E70,0,1,1,$BA$1)))</f>
        <v>0</v>
      </c>
      <c r="BB70">
        <f ca="1">IF(OR($BA$1="13",$BA$1="16"),(OFFSET(E70,0,12,1,1)),(OFFSET(E70,0,$BA$1,1,1)))</f>
        <v>0</v>
      </c>
      <c r="CB70">
        <f>IF(OR(F70&lt;0,G70&lt;0,H70&lt;0,I70&lt;0,J70&lt;0,K70&lt;0,L70&lt;0,M70&lt;0,N70&lt;0,O70&lt;0,P70&lt;0,Q70&lt;0,R70&lt;0,S70&lt;0,T70&lt;0,U70&lt;0),1,0)</f>
        <v>0</v>
      </c>
    </row>
    <row r="71" spans="2:80" x14ac:dyDescent="0.2">
      <c r="B71" t="s">
        <v>2444</v>
      </c>
      <c r="C71">
        <v>770</v>
      </c>
      <c r="D71" t="s">
        <v>248</v>
      </c>
      <c r="E71">
        <f>SUM(F71:Q71)</f>
        <v>0</v>
      </c>
      <c r="V71">
        <f>SUM(R71:U71,E71)</f>
        <v>0</v>
      </c>
      <c r="BA71">
        <f ca="1">IF(OR($BA$1="13",$BA$1="16"),SUM(OFFSET(E71,0,1,1,12)),SUM(OFFSET(E71,0,1,1,$BA$1)))</f>
        <v>0</v>
      </c>
      <c r="BB71">
        <f ca="1">IF(OR($BA$1="13",$BA$1="16"),(OFFSET(E71,0,12,1,1)),(OFFSET(E71,0,$BA$1,1,1)))</f>
        <v>0</v>
      </c>
      <c r="CB71">
        <f>IF(OR(F71&lt;0,G71&lt;0,H71&lt;0,I71&lt;0,J71&lt;0,K71&lt;0,L71&lt;0,M71&lt;0,N71&lt;0,O71&lt;0,P71&lt;0,Q71&lt;0,R71&lt;0,S71&lt;0,T71&lt;0,U71&lt;0),1,0)</f>
        <v>0</v>
      </c>
    </row>
    <row r="72" spans="2:80" x14ac:dyDescent="0.2">
      <c r="B72" t="s">
        <v>2445</v>
      </c>
      <c r="C72">
        <v>780</v>
      </c>
      <c r="D72" t="s">
        <v>248</v>
      </c>
      <c r="E72">
        <f>SUM(F72:Q72)</f>
        <v>0</v>
      </c>
      <c r="F72">
        <f t="shared" ref="F72:V72" si="9">SUM(F70:F71)</f>
        <v>0</v>
      </c>
      <c r="G72">
        <f t="shared" si="9"/>
        <v>0</v>
      </c>
      <c r="H72">
        <f t="shared" si="9"/>
        <v>0</v>
      </c>
      <c r="I72">
        <f t="shared" si="9"/>
        <v>0</v>
      </c>
      <c r="J72">
        <f t="shared" si="9"/>
        <v>0</v>
      </c>
      <c r="K72">
        <f t="shared" si="9"/>
        <v>0</v>
      </c>
      <c r="L72">
        <f t="shared" si="9"/>
        <v>0</v>
      </c>
      <c r="M72">
        <f t="shared" si="9"/>
        <v>0</v>
      </c>
      <c r="N72">
        <f t="shared" si="9"/>
        <v>0</v>
      </c>
      <c r="O72">
        <f t="shared" si="9"/>
        <v>0</v>
      </c>
      <c r="P72">
        <f t="shared" si="9"/>
        <v>0</v>
      </c>
      <c r="Q72">
        <f t="shared" si="9"/>
        <v>0</v>
      </c>
      <c r="R72">
        <f t="shared" si="9"/>
        <v>0</v>
      </c>
      <c r="S72">
        <f t="shared" si="9"/>
        <v>0</v>
      </c>
      <c r="T72">
        <f t="shared" si="9"/>
        <v>0</v>
      </c>
      <c r="U72">
        <f t="shared" si="9"/>
        <v>0</v>
      </c>
      <c r="V72">
        <f t="shared" si="9"/>
        <v>0</v>
      </c>
      <c r="BA72">
        <f ca="1">IF(OR($BA$1="13",$BA$1="16"),SUM(OFFSET(E72,0,1,1,12)),SUM(OFFSET(E72,0,1,1,$BA$1)))</f>
        <v>0</v>
      </c>
      <c r="BB72">
        <f ca="1">IF(OR($BA$1="13",$BA$1="16"),(OFFSET(E72,0,12,1,1)),(OFFSET(E72,0,$BA$1,1,1)))</f>
        <v>0</v>
      </c>
    </row>
  </sheetData>
  <sheetProtection sheet="1" objects="1" scenarios="1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CV240"/>
  <sheetViews>
    <sheetView zoomScale="70" zoomScaleNormal="70" workbookViewId="0"/>
  </sheetViews>
  <sheetFormatPr defaultRowHeight="12.75" x14ac:dyDescent="0.2"/>
  <sheetData>
    <row r="1" spans="1:100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100" x14ac:dyDescent="0.2">
      <c r="A2" t="s">
        <v>3727</v>
      </c>
      <c r="AH2" t="s">
        <v>245</v>
      </c>
    </row>
    <row r="3" spans="1:100" x14ac:dyDescent="0.2">
      <c r="A3" t="s">
        <v>3799</v>
      </c>
    </row>
    <row r="4" spans="1:100" x14ac:dyDescent="0.2">
      <c r="B4" t="s">
        <v>2465</v>
      </c>
    </row>
    <row r="5" spans="1:100" x14ac:dyDescent="0.2">
      <c r="B5" t="s">
        <v>220</v>
      </c>
    </row>
    <row r="8" spans="1:100" x14ac:dyDescent="0.2">
      <c r="B8" t="s">
        <v>3426</v>
      </c>
      <c r="C8" t="s">
        <v>238</v>
      </c>
      <c r="D8" t="s">
        <v>1561</v>
      </c>
      <c r="E8" t="s">
        <v>2466</v>
      </c>
      <c r="F8" t="s">
        <v>2467</v>
      </c>
      <c r="G8" t="s">
        <v>2489</v>
      </c>
      <c r="H8" t="s">
        <v>2468</v>
      </c>
      <c r="O8" t="s">
        <v>1941</v>
      </c>
      <c r="W8" t="s">
        <v>3427</v>
      </c>
    </row>
    <row r="9" spans="1:100" x14ac:dyDescent="0.2">
      <c r="C9" t="s">
        <v>242</v>
      </c>
      <c r="E9" t="s">
        <v>2002</v>
      </c>
      <c r="F9" t="s">
        <v>2469</v>
      </c>
      <c r="G9" t="s">
        <v>2470</v>
      </c>
      <c r="H9" t="s">
        <v>2471</v>
      </c>
      <c r="I9" t="s">
        <v>3428</v>
      </c>
      <c r="J9" t="s">
        <v>3280</v>
      </c>
      <c r="K9" t="s">
        <v>2025</v>
      </c>
      <c r="L9" t="s">
        <v>2026</v>
      </c>
      <c r="M9" t="s">
        <v>2027</v>
      </c>
      <c r="N9" t="s">
        <v>2028</v>
      </c>
      <c r="O9" t="s">
        <v>2029</v>
      </c>
      <c r="P9" t="s">
        <v>2030</v>
      </c>
      <c r="Q9" t="s">
        <v>2031</v>
      </c>
      <c r="R9" t="s">
        <v>2032</v>
      </c>
      <c r="S9" t="s">
        <v>2033</v>
      </c>
      <c r="T9" t="s">
        <v>2034</v>
      </c>
      <c r="U9" t="s">
        <v>2035</v>
      </c>
      <c r="V9" t="s">
        <v>3406</v>
      </c>
      <c r="W9" t="s">
        <v>3414</v>
      </c>
      <c r="X9" t="s">
        <v>3415</v>
      </c>
      <c r="Y9" t="s">
        <v>3416</v>
      </c>
      <c r="Z9" t="s">
        <v>3425</v>
      </c>
      <c r="CA9" t="s">
        <v>230</v>
      </c>
      <c r="CB9">
        <f>0</f>
        <v>0</v>
      </c>
      <c r="CC9" t="s">
        <v>2472</v>
      </c>
      <c r="CD9" t="s">
        <v>3429</v>
      </c>
      <c r="CE9" t="s">
        <v>2472</v>
      </c>
      <c r="CF9" t="s">
        <v>3430</v>
      </c>
      <c r="CG9" t="s">
        <v>2473</v>
      </c>
      <c r="CH9" t="s">
        <v>2384</v>
      </c>
      <c r="CI9" t="s">
        <v>2474</v>
      </c>
      <c r="CM9" t="s">
        <v>2475</v>
      </c>
      <c r="CV9" t="s">
        <v>3431</v>
      </c>
    </row>
    <row r="10" spans="1:100" x14ac:dyDescent="0.2">
      <c r="E10" t="s">
        <v>2036</v>
      </c>
      <c r="F10" t="s">
        <v>2037</v>
      </c>
      <c r="G10" t="s">
        <v>2038</v>
      </c>
      <c r="H10" t="s">
        <v>2039</v>
      </c>
      <c r="I10" t="s">
        <v>2040</v>
      </c>
      <c r="J10" t="s">
        <v>2041</v>
      </c>
      <c r="K10" t="s">
        <v>2042</v>
      </c>
      <c r="L10" t="s">
        <v>2043</v>
      </c>
      <c r="M10" t="s">
        <v>2044</v>
      </c>
      <c r="N10" t="s">
        <v>2045</v>
      </c>
      <c r="O10" t="s">
        <v>2046</v>
      </c>
      <c r="P10" t="s">
        <v>2047</v>
      </c>
      <c r="Q10" t="s">
        <v>2048</v>
      </c>
      <c r="R10" t="s">
        <v>2049</v>
      </c>
      <c r="S10" t="s">
        <v>2050</v>
      </c>
      <c r="T10" t="s">
        <v>2051</v>
      </c>
      <c r="U10" t="s">
        <v>2052</v>
      </c>
      <c r="V10" t="s">
        <v>2053</v>
      </c>
      <c r="W10" t="s">
        <v>2054</v>
      </c>
      <c r="X10" t="s">
        <v>2055</v>
      </c>
      <c r="Y10" t="s">
        <v>2056</v>
      </c>
      <c r="Z10" t="s">
        <v>2057</v>
      </c>
      <c r="CA10" t="s">
        <v>231</v>
      </c>
      <c r="CB10" t="s">
        <v>232</v>
      </c>
      <c r="CC10" t="s">
        <v>2476</v>
      </c>
      <c r="CD10" t="s">
        <v>3432</v>
      </c>
      <c r="CE10" t="s">
        <v>3433</v>
      </c>
      <c r="CF10" t="s">
        <v>3434</v>
      </c>
      <c r="CG10" t="s">
        <v>2477</v>
      </c>
      <c r="CM10" t="s">
        <v>2310</v>
      </c>
      <c r="CV10" t="s">
        <v>2310</v>
      </c>
    </row>
    <row r="11" spans="1:100" x14ac:dyDescent="0.2">
      <c r="I11" t="s">
        <v>243</v>
      </c>
      <c r="J11" t="s">
        <v>243</v>
      </c>
      <c r="K11" t="s">
        <v>243</v>
      </c>
      <c r="L11" t="s">
        <v>243</v>
      </c>
      <c r="M11" t="s">
        <v>243</v>
      </c>
      <c r="N11" t="s">
        <v>243</v>
      </c>
      <c r="O11" t="s">
        <v>243</v>
      </c>
      <c r="P11" t="s">
        <v>243</v>
      </c>
      <c r="Q11" t="s">
        <v>243</v>
      </c>
      <c r="R11" t="s">
        <v>243</v>
      </c>
      <c r="S11" t="s">
        <v>243</v>
      </c>
      <c r="T11" t="s">
        <v>243</v>
      </c>
      <c r="U11" t="s">
        <v>243</v>
      </c>
      <c r="V11" t="s">
        <v>243</v>
      </c>
      <c r="W11" t="s">
        <v>243</v>
      </c>
      <c r="X11" t="s">
        <v>243</v>
      </c>
      <c r="Y11" t="s">
        <v>243</v>
      </c>
      <c r="Z11" t="s">
        <v>243</v>
      </c>
      <c r="CA11">
        <f>SUM(CA12:CA139)</f>
        <v>0</v>
      </c>
      <c r="CB11">
        <f>SUM(CB12:CB240)</f>
        <v>0</v>
      </c>
      <c r="CC11">
        <f>SUM(CC12:CC225)</f>
        <v>0</v>
      </c>
      <c r="CE11">
        <f>SUM(CE12:CE139)</f>
        <v>0</v>
      </c>
      <c r="CF11">
        <f>IF(OR(Z67&lt;&gt;Z115,Z67&lt;&gt;Z122,Z67&lt;&gt;Z139),1,0)</f>
        <v>0</v>
      </c>
      <c r="CG11">
        <f>SUM(CG12:CG139)</f>
        <v>0</v>
      </c>
      <c r="CH11">
        <f>SUM(CH12:CH139)</f>
        <v>0</v>
      </c>
      <c r="CI11">
        <f>SUM(CI12:CI139)</f>
        <v>0</v>
      </c>
      <c r="CM11">
        <f>SUM(CM12:CM139)</f>
        <v>0</v>
      </c>
      <c r="CP11">
        <f>SUM(CP12:CP139)</f>
        <v>0</v>
      </c>
      <c r="CV11">
        <f>SUM(CV156:CV198)</f>
        <v>0</v>
      </c>
    </row>
    <row r="12" spans="1:100" x14ac:dyDescent="0.2">
      <c r="B12" t="s">
        <v>3435</v>
      </c>
    </row>
    <row r="13" spans="1:100" x14ac:dyDescent="0.2">
      <c r="B13" t="s">
        <v>2478</v>
      </c>
    </row>
    <row r="14" spans="1:100" x14ac:dyDescent="0.2">
      <c r="C14">
        <v>100</v>
      </c>
      <c r="D14" t="s">
        <v>248</v>
      </c>
      <c r="I14">
        <f t="shared" ref="I14:I45" si="0">SUM(J14:U14)</f>
        <v>0</v>
      </c>
      <c r="Z14">
        <f t="shared" ref="Z14:Z45" si="1">I14+V14+W14+X14+Y14</f>
        <v>0</v>
      </c>
      <c r="BA14">
        <f t="shared" ref="BA14:BA45" ca="1" si="2">IF(OR($BA$1="13",$BA$1="16"),SUM(OFFSET(I14,0,1,1,12)),SUM(OFFSET(I14,0,1,1,$BA$1)))</f>
        <v>0</v>
      </c>
      <c r="BB14">
        <f t="shared" ref="BB14:BB45" ca="1" si="3">IF(OR($BA$1="13",$BA$1="16"),(OFFSET(I14,0,12,1,1)),(OFFSET(I14,0,$BA$1,1,1)))</f>
        <v>0</v>
      </c>
      <c r="CB14">
        <f t="shared" ref="CB14:CB45" si="4">IF(OR(I14&lt;0,J14&lt;0,L14&lt;0,M14&lt;0,N14&lt;0,O14&lt;0,P14&lt;0,Q14&lt;0,R14&lt;0,S14&lt;0,T14&lt;0,U14&lt;0,V14&lt;0,W14&lt;0,X14&lt;0,Y14&lt;0,Z14&lt;0),1,0)</f>
        <v>0</v>
      </c>
      <c r="CC14" t="b">
        <f t="shared" ref="CC14:CC45" si="5">IF(AND(Z14&gt;0,ISBLANK(B14)),1,IF(AND(Z14&gt;0,ISBLANK(E14)),1,IF(AND(Z14&gt;0,ISBLANK(F14)),1,IF(AND(Z14&gt;0,ISBLANK(H14)),1,IF(AND(Z14&gt;0,ISBLANK(G14)),1)))))</f>
        <v>0</v>
      </c>
      <c r="CE14">
        <f t="shared" ref="CE14:CE45" si="6">IF(AND((Z14=0),COUNTA(B14)&lt;&gt;0),1,IF(AND((Z14=0),COUNTA(E14:H14)&lt;&gt;0),1,0))</f>
        <v>0</v>
      </c>
    </row>
    <row r="15" spans="1:100" x14ac:dyDescent="0.2">
      <c r="C15">
        <v>110</v>
      </c>
      <c r="D15" t="s">
        <v>248</v>
      </c>
      <c r="I15">
        <f t="shared" si="0"/>
        <v>0</v>
      </c>
      <c r="Z15">
        <f t="shared" si="1"/>
        <v>0</v>
      </c>
      <c r="BA15">
        <f t="shared" ca="1" si="2"/>
        <v>0</v>
      </c>
      <c r="BB15">
        <f t="shared" ca="1" si="3"/>
        <v>0</v>
      </c>
      <c r="CB15">
        <f t="shared" si="4"/>
        <v>0</v>
      </c>
      <c r="CC15" t="b">
        <f t="shared" si="5"/>
        <v>0</v>
      </c>
      <c r="CE15">
        <f t="shared" si="6"/>
        <v>0</v>
      </c>
    </row>
    <row r="16" spans="1:100" x14ac:dyDescent="0.2">
      <c r="C16">
        <v>120</v>
      </c>
      <c r="D16" t="s">
        <v>248</v>
      </c>
      <c r="I16">
        <f t="shared" si="0"/>
        <v>0</v>
      </c>
      <c r="Z16">
        <f t="shared" si="1"/>
        <v>0</v>
      </c>
      <c r="BA16">
        <f t="shared" ca="1" si="2"/>
        <v>0</v>
      </c>
      <c r="BB16">
        <f t="shared" ca="1" si="3"/>
        <v>0</v>
      </c>
      <c r="CB16">
        <f t="shared" si="4"/>
        <v>0</v>
      </c>
      <c r="CC16" t="b">
        <f t="shared" si="5"/>
        <v>0</v>
      </c>
      <c r="CE16">
        <f t="shared" si="6"/>
        <v>0</v>
      </c>
    </row>
    <row r="17" spans="3:83" x14ac:dyDescent="0.2">
      <c r="C17">
        <v>130</v>
      </c>
      <c r="D17" t="s">
        <v>248</v>
      </c>
      <c r="I17">
        <f t="shared" si="0"/>
        <v>0</v>
      </c>
      <c r="Z17">
        <f t="shared" si="1"/>
        <v>0</v>
      </c>
      <c r="BA17">
        <f t="shared" ca="1" si="2"/>
        <v>0</v>
      </c>
      <c r="BB17">
        <f t="shared" ca="1" si="3"/>
        <v>0</v>
      </c>
      <c r="CB17">
        <f t="shared" si="4"/>
        <v>0</v>
      </c>
      <c r="CC17" t="b">
        <f t="shared" si="5"/>
        <v>0</v>
      </c>
      <c r="CE17">
        <f t="shared" si="6"/>
        <v>0</v>
      </c>
    </row>
    <row r="18" spans="3:83" x14ac:dyDescent="0.2">
      <c r="C18">
        <v>140</v>
      </c>
      <c r="D18" t="s">
        <v>248</v>
      </c>
      <c r="I18">
        <f t="shared" si="0"/>
        <v>0</v>
      </c>
      <c r="Z18">
        <f t="shared" si="1"/>
        <v>0</v>
      </c>
      <c r="BA18">
        <f t="shared" ca="1" si="2"/>
        <v>0</v>
      </c>
      <c r="BB18">
        <f t="shared" ca="1" si="3"/>
        <v>0</v>
      </c>
      <c r="CB18">
        <f t="shared" si="4"/>
        <v>0</v>
      </c>
      <c r="CC18" t="b">
        <f t="shared" si="5"/>
        <v>0</v>
      </c>
      <c r="CE18">
        <f t="shared" si="6"/>
        <v>0</v>
      </c>
    </row>
    <row r="19" spans="3:83" x14ac:dyDescent="0.2">
      <c r="C19">
        <v>150</v>
      </c>
      <c r="D19" t="s">
        <v>248</v>
      </c>
      <c r="I19">
        <f t="shared" si="0"/>
        <v>0</v>
      </c>
      <c r="Z19">
        <f t="shared" si="1"/>
        <v>0</v>
      </c>
      <c r="BA19">
        <f t="shared" ca="1" si="2"/>
        <v>0</v>
      </c>
      <c r="BB19">
        <f t="shared" ca="1" si="3"/>
        <v>0</v>
      </c>
      <c r="CB19">
        <f t="shared" si="4"/>
        <v>0</v>
      </c>
      <c r="CC19" t="b">
        <f t="shared" si="5"/>
        <v>0</v>
      </c>
      <c r="CE19">
        <f t="shared" si="6"/>
        <v>0</v>
      </c>
    </row>
    <row r="20" spans="3:83" x14ac:dyDescent="0.2">
      <c r="C20">
        <v>160</v>
      </c>
      <c r="D20" t="s">
        <v>248</v>
      </c>
      <c r="I20">
        <f t="shared" si="0"/>
        <v>0</v>
      </c>
      <c r="Z20">
        <f t="shared" si="1"/>
        <v>0</v>
      </c>
      <c r="BA20">
        <f t="shared" ca="1" si="2"/>
        <v>0</v>
      </c>
      <c r="BB20">
        <f t="shared" ca="1" si="3"/>
        <v>0</v>
      </c>
      <c r="CB20">
        <f t="shared" si="4"/>
        <v>0</v>
      </c>
      <c r="CC20" t="b">
        <f t="shared" si="5"/>
        <v>0</v>
      </c>
      <c r="CE20">
        <f t="shared" si="6"/>
        <v>0</v>
      </c>
    </row>
    <row r="21" spans="3:83" x14ac:dyDescent="0.2">
      <c r="C21">
        <v>161</v>
      </c>
      <c r="D21" t="s">
        <v>248</v>
      </c>
      <c r="I21">
        <f t="shared" si="0"/>
        <v>0</v>
      </c>
      <c r="Z21">
        <f t="shared" si="1"/>
        <v>0</v>
      </c>
      <c r="BA21">
        <f t="shared" ca="1" si="2"/>
        <v>0</v>
      </c>
      <c r="BB21">
        <f t="shared" ca="1" si="3"/>
        <v>0</v>
      </c>
      <c r="CB21">
        <f t="shared" si="4"/>
        <v>0</v>
      </c>
      <c r="CC21" t="b">
        <f t="shared" si="5"/>
        <v>0</v>
      </c>
      <c r="CE21">
        <f t="shared" si="6"/>
        <v>0</v>
      </c>
    </row>
    <row r="22" spans="3:83" x14ac:dyDescent="0.2">
      <c r="C22">
        <v>162</v>
      </c>
      <c r="D22" t="s">
        <v>248</v>
      </c>
      <c r="I22">
        <f t="shared" si="0"/>
        <v>0</v>
      </c>
      <c r="Z22">
        <f t="shared" si="1"/>
        <v>0</v>
      </c>
      <c r="BA22">
        <f t="shared" ca="1" si="2"/>
        <v>0</v>
      </c>
      <c r="BB22">
        <f t="shared" ca="1" si="3"/>
        <v>0</v>
      </c>
      <c r="CB22">
        <f t="shared" si="4"/>
        <v>0</v>
      </c>
      <c r="CC22" t="b">
        <f t="shared" si="5"/>
        <v>0</v>
      </c>
      <c r="CE22">
        <f t="shared" si="6"/>
        <v>0</v>
      </c>
    </row>
    <row r="23" spans="3:83" x14ac:dyDescent="0.2">
      <c r="C23">
        <v>163</v>
      </c>
      <c r="D23" t="s">
        <v>248</v>
      </c>
      <c r="I23">
        <f t="shared" si="0"/>
        <v>0</v>
      </c>
      <c r="Z23">
        <f t="shared" si="1"/>
        <v>0</v>
      </c>
      <c r="BA23">
        <f t="shared" ca="1" si="2"/>
        <v>0</v>
      </c>
      <c r="BB23">
        <f t="shared" ca="1" si="3"/>
        <v>0</v>
      </c>
      <c r="CB23">
        <f t="shared" si="4"/>
        <v>0</v>
      </c>
      <c r="CC23" t="b">
        <f t="shared" si="5"/>
        <v>0</v>
      </c>
      <c r="CE23">
        <f t="shared" si="6"/>
        <v>0</v>
      </c>
    </row>
    <row r="24" spans="3:83" x14ac:dyDescent="0.2">
      <c r="C24">
        <v>164</v>
      </c>
      <c r="D24" t="s">
        <v>248</v>
      </c>
      <c r="I24">
        <f t="shared" si="0"/>
        <v>0</v>
      </c>
      <c r="Z24">
        <f t="shared" si="1"/>
        <v>0</v>
      </c>
      <c r="BA24">
        <f t="shared" ca="1" si="2"/>
        <v>0</v>
      </c>
      <c r="BB24">
        <f t="shared" ca="1" si="3"/>
        <v>0</v>
      </c>
      <c r="CB24">
        <f t="shared" si="4"/>
        <v>0</v>
      </c>
      <c r="CC24" t="b">
        <f t="shared" si="5"/>
        <v>0</v>
      </c>
      <c r="CE24">
        <f t="shared" si="6"/>
        <v>0</v>
      </c>
    </row>
    <row r="25" spans="3:83" x14ac:dyDescent="0.2">
      <c r="C25">
        <v>165</v>
      </c>
      <c r="D25" t="s">
        <v>248</v>
      </c>
      <c r="I25">
        <f t="shared" si="0"/>
        <v>0</v>
      </c>
      <c r="Z25">
        <f t="shared" si="1"/>
        <v>0</v>
      </c>
      <c r="BA25">
        <f t="shared" ca="1" si="2"/>
        <v>0</v>
      </c>
      <c r="BB25">
        <f t="shared" ca="1" si="3"/>
        <v>0</v>
      </c>
      <c r="CB25">
        <f t="shared" si="4"/>
        <v>0</v>
      </c>
      <c r="CC25" t="b">
        <f t="shared" si="5"/>
        <v>0</v>
      </c>
      <c r="CE25">
        <f t="shared" si="6"/>
        <v>0</v>
      </c>
    </row>
    <row r="26" spans="3:83" x14ac:dyDescent="0.2">
      <c r="C26">
        <v>166</v>
      </c>
      <c r="D26" t="s">
        <v>248</v>
      </c>
      <c r="I26">
        <f t="shared" si="0"/>
        <v>0</v>
      </c>
      <c r="Z26">
        <f t="shared" si="1"/>
        <v>0</v>
      </c>
      <c r="BA26">
        <f t="shared" ca="1" si="2"/>
        <v>0</v>
      </c>
      <c r="BB26">
        <f t="shared" ca="1" si="3"/>
        <v>0</v>
      </c>
      <c r="CB26">
        <f t="shared" si="4"/>
        <v>0</v>
      </c>
      <c r="CC26" t="b">
        <f t="shared" si="5"/>
        <v>0</v>
      </c>
      <c r="CE26">
        <f t="shared" si="6"/>
        <v>0</v>
      </c>
    </row>
    <row r="27" spans="3:83" x14ac:dyDescent="0.2">
      <c r="C27">
        <v>167</v>
      </c>
      <c r="D27" t="s">
        <v>248</v>
      </c>
      <c r="I27">
        <f t="shared" si="0"/>
        <v>0</v>
      </c>
      <c r="Z27">
        <f t="shared" si="1"/>
        <v>0</v>
      </c>
      <c r="BA27">
        <f t="shared" ca="1" si="2"/>
        <v>0</v>
      </c>
      <c r="BB27">
        <f t="shared" ca="1" si="3"/>
        <v>0</v>
      </c>
      <c r="CB27">
        <f t="shared" si="4"/>
        <v>0</v>
      </c>
      <c r="CC27" t="b">
        <f t="shared" si="5"/>
        <v>0</v>
      </c>
      <c r="CE27">
        <f t="shared" si="6"/>
        <v>0</v>
      </c>
    </row>
    <row r="28" spans="3:83" x14ac:dyDescent="0.2">
      <c r="C28">
        <v>168</v>
      </c>
      <c r="D28" t="s">
        <v>248</v>
      </c>
      <c r="I28">
        <f t="shared" si="0"/>
        <v>0</v>
      </c>
      <c r="Z28">
        <f t="shared" si="1"/>
        <v>0</v>
      </c>
      <c r="BA28">
        <f t="shared" ca="1" si="2"/>
        <v>0</v>
      </c>
      <c r="BB28">
        <f t="shared" ca="1" si="3"/>
        <v>0</v>
      </c>
      <c r="CB28">
        <f t="shared" si="4"/>
        <v>0</v>
      </c>
      <c r="CC28" t="b">
        <f t="shared" si="5"/>
        <v>0</v>
      </c>
      <c r="CE28">
        <f t="shared" si="6"/>
        <v>0</v>
      </c>
    </row>
    <row r="29" spans="3:83" x14ac:dyDescent="0.2">
      <c r="C29">
        <v>169</v>
      </c>
      <c r="D29" t="s">
        <v>248</v>
      </c>
      <c r="I29">
        <f t="shared" si="0"/>
        <v>0</v>
      </c>
      <c r="Z29">
        <f t="shared" si="1"/>
        <v>0</v>
      </c>
      <c r="BA29">
        <f t="shared" ca="1" si="2"/>
        <v>0</v>
      </c>
      <c r="BB29">
        <f t="shared" ca="1" si="3"/>
        <v>0</v>
      </c>
      <c r="CB29">
        <f t="shared" si="4"/>
        <v>0</v>
      </c>
      <c r="CC29" t="b">
        <f t="shared" si="5"/>
        <v>0</v>
      </c>
      <c r="CE29">
        <f t="shared" si="6"/>
        <v>0</v>
      </c>
    </row>
    <row r="30" spans="3:83" x14ac:dyDescent="0.2">
      <c r="C30">
        <v>170</v>
      </c>
      <c r="D30" t="s">
        <v>248</v>
      </c>
      <c r="I30">
        <f t="shared" si="0"/>
        <v>0</v>
      </c>
      <c r="Z30">
        <f t="shared" si="1"/>
        <v>0</v>
      </c>
      <c r="BA30">
        <f t="shared" ca="1" si="2"/>
        <v>0</v>
      </c>
      <c r="BB30">
        <f t="shared" ca="1" si="3"/>
        <v>0</v>
      </c>
      <c r="CB30">
        <f t="shared" si="4"/>
        <v>0</v>
      </c>
      <c r="CC30" t="b">
        <f t="shared" si="5"/>
        <v>0</v>
      </c>
      <c r="CE30">
        <f t="shared" si="6"/>
        <v>0</v>
      </c>
    </row>
    <row r="31" spans="3:83" x14ac:dyDescent="0.2">
      <c r="C31">
        <v>171</v>
      </c>
      <c r="D31" t="s">
        <v>248</v>
      </c>
      <c r="I31">
        <f t="shared" si="0"/>
        <v>0</v>
      </c>
      <c r="Z31">
        <f t="shared" si="1"/>
        <v>0</v>
      </c>
      <c r="BA31">
        <f t="shared" ca="1" si="2"/>
        <v>0</v>
      </c>
      <c r="BB31">
        <f t="shared" ca="1" si="3"/>
        <v>0</v>
      </c>
      <c r="CB31">
        <f t="shared" si="4"/>
        <v>0</v>
      </c>
      <c r="CC31" t="b">
        <f t="shared" si="5"/>
        <v>0</v>
      </c>
      <c r="CE31">
        <f t="shared" si="6"/>
        <v>0</v>
      </c>
    </row>
    <row r="32" spans="3:83" x14ac:dyDescent="0.2">
      <c r="C32">
        <v>172</v>
      </c>
      <c r="D32" t="s">
        <v>248</v>
      </c>
      <c r="I32">
        <f t="shared" si="0"/>
        <v>0</v>
      </c>
      <c r="Z32">
        <f t="shared" si="1"/>
        <v>0</v>
      </c>
      <c r="BA32">
        <f t="shared" ca="1" si="2"/>
        <v>0</v>
      </c>
      <c r="BB32">
        <f t="shared" ca="1" si="3"/>
        <v>0</v>
      </c>
      <c r="CB32">
        <f t="shared" si="4"/>
        <v>0</v>
      </c>
      <c r="CC32" t="b">
        <f t="shared" si="5"/>
        <v>0</v>
      </c>
      <c r="CE32">
        <f t="shared" si="6"/>
        <v>0</v>
      </c>
    </row>
    <row r="33" spans="2:83" x14ac:dyDescent="0.2">
      <c r="C33">
        <v>173</v>
      </c>
      <c r="D33" t="s">
        <v>248</v>
      </c>
      <c r="I33">
        <f t="shared" si="0"/>
        <v>0</v>
      </c>
      <c r="Z33">
        <f t="shared" si="1"/>
        <v>0</v>
      </c>
      <c r="BA33">
        <f t="shared" ca="1" si="2"/>
        <v>0</v>
      </c>
      <c r="BB33">
        <f t="shared" ca="1" si="3"/>
        <v>0</v>
      </c>
      <c r="CB33">
        <f t="shared" si="4"/>
        <v>0</v>
      </c>
      <c r="CC33" t="b">
        <f t="shared" si="5"/>
        <v>0</v>
      </c>
      <c r="CE33">
        <f t="shared" si="6"/>
        <v>0</v>
      </c>
    </row>
    <row r="34" spans="2:83" x14ac:dyDescent="0.2">
      <c r="C34">
        <v>174</v>
      </c>
      <c r="D34" t="s">
        <v>248</v>
      </c>
      <c r="I34">
        <f t="shared" si="0"/>
        <v>0</v>
      </c>
      <c r="Z34">
        <f t="shared" si="1"/>
        <v>0</v>
      </c>
      <c r="BA34">
        <f t="shared" ca="1" si="2"/>
        <v>0</v>
      </c>
      <c r="BB34">
        <f t="shared" ca="1" si="3"/>
        <v>0</v>
      </c>
      <c r="CB34">
        <f t="shared" si="4"/>
        <v>0</v>
      </c>
      <c r="CC34" t="b">
        <f t="shared" si="5"/>
        <v>0</v>
      </c>
      <c r="CE34">
        <f t="shared" si="6"/>
        <v>0</v>
      </c>
    </row>
    <row r="35" spans="2:83" x14ac:dyDescent="0.2">
      <c r="C35">
        <v>175</v>
      </c>
      <c r="D35" t="s">
        <v>248</v>
      </c>
      <c r="I35">
        <f t="shared" si="0"/>
        <v>0</v>
      </c>
      <c r="Z35">
        <f t="shared" si="1"/>
        <v>0</v>
      </c>
      <c r="BA35">
        <f t="shared" ca="1" si="2"/>
        <v>0</v>
      </c>
      <c r="BB35">
        <f t="shared" ca="1" si="3"/>
        <v>0</v>
      </c>
      <c r="CB35">
        <f t="shared" si="4"/>
        <v>0</v>
      </c>
      <c r="CC35" t="b">
        <f t="shared" si="5"/>
        <v>0</v>
      </c>
      <c r="CE35">
        <f t="shared" si="6"/>
        <v>0</v>
      </c>
    </row>
    <row r="36" spans="2:83" x14ac:dyDescent="0.2">
      <c r="C36">
        <v>180</v>
      </c>
      <c r="D36" t="s">
        <v>248</v>
      </c>
      <c r="I36">
        <f t="shared" si="0"/>
        <v>0</v>
      </c>
      <c r="Z36">
        <f t="shared" si="1"/>
        <v>0</v>
      </c>
      <c r="BA36">
        <f t="shared" ca="1" si="2"/>
        <v>0</v>
      </c>
      <c r="BB36">
        <f t="shared" ca="1" si="3"/>
        <v>0</v>
      </c>
      <c r="CB36">
        <f t="shared" si="4"/>
        <v>0</v>
      </c>
      <c r="CC36" t="b">
        <f t="shared" si="5"/>
        <v>0</v>
      </c>
      <c r="CE36">
        <f t="shared" si="6"/>
        <v>0</v>
      </c>
    </row>
    <row r="37" spans="2:83" x14ac:dyDescent="0.2">
      <c r="C37">
        <v>185</v>
      </c>
      <c r="D37" t="s">
        <v>248</v>
      </c>
      <c r="I37">
        <f t="shared" si="0"/>
        <v>0</v>
      </c>
      <c r="Z37">
        <f t="shared" si="1"/>
        <v>0</v>
      </c>
      <c r="BA37">
        <f t="shared" ca="1" si="2"/>
        <v>0</v>
      </c>
      <c r="BB37">
        <f t="shared" ca="1" si="3"/>
        <v>0</v>
      </c>
      <c r="CB37">
        <f t="shared" si="4"/>
        <v>0</v>
      </c>
      <c r="CC37" t="b">
        <f t="shared" si="5"/>
        <v>0</v>
      </c>
      <c r="CE37">
        <f t="shared" si="6"/>
        <v>0</v>
      </c>
    </row>
    <row r="38" spans="2:83" x14ac:dyDescent="0.2">
      <c r="C38">
        <v>190</v>
      </c>
      <c r="D38" t="s">
        <v>248</v>
      </c>
      <c r="I38">
        <f t="shared" si="0"/>
        <v>0</v>
      </c>
      <c r="Z38">
        <f t="shared" si="1"/>
        <v>0</v>
      </c>
      <c r="BA38">
        <f t="shared" ca="1" si="2"/>
        <v>0</v>
      </c>
      <c r="BB38">
        <f t="shared" ca="1" si="3"/>
        <v>0</v>
      </c>
      <c r="CB38">
        <f t="shared" si="4"/>
        <v>0</v>
      </c>
      <c r="CC38" t="b">
        <f t="shared" si="5"/>
        <v>0</v>
      </c>
      <c r="CE38">
        <f t="shared" si="6"/>
        <v>0</v>
      </c>
    </row>
    <row r="39" spans="2:83" x14ac:dyDescent="0.2">
      <c r="C39">
        <v>195</v>
      </c>
      <c r="D39" t="s">
        <v>248</v>
      </c>
      <c r="I39">
        <f t="shared" si="0"/>
        <v>0</v>
      </c>
      <c r="Z39">
        <f t="shared" si="1"/>
        <v>0</v>
      </c>
      <c r="BA39">
        <f t="shared" ca="1" si="2"/>
        <v>0</v>
      </c>
      <c r="BB39">
        <f t="shared" ca="1" si="3"/>
        <v>0</v>
      </c>
      <c r="CB39">
        <f t="shared" si="4"/>
        <v>0</v>
      </c>
      <c r="CC39" t="b">
        <f t="shared" si="5"/>
        <v>0</v>
      </c>
      <c r="CE39">
        <f t="shared" si="6"/>
        <v>0</v>
      </c>
    </row>
    <row r="40" spans="2:83" x14ac:dyDescent="0.2">
      <c r="C40">
        <v>200</v>
      </c>
      <c r="D40" t="s">
        <v>248</v>
      </c>
      <c r="I40">
        <f t="shared" si="0"/>
        <v>0</v>
      </c>
      <c r="Z40">
        <f t="shared" si="1"/>
        <v>0</v>
      </c>
      <c r="BA40">
        <f t="shared" ca="1" si="2"/>
        <v>0</v>
      </c>
      <c r="BB40">
        <f t="shared" ca="1" si="3"/>
        <v>0</v>
      </c>
      <c r="CB40">
        <f t="shared" si="4"/>
        <v>0</v>
      </c>
      <c r="CC40" t="b">
        <f t="shared" si="5"/>
        <v>0</v>
      </c>
      <c r="CE40">
        <f t="shared" si="6"/>
        <v>0</v>
      </c>
    </row>
    <row r="41" spans="2:83" x14ac:dyDescent="0.2">
      <c r="C41">
        <v>205</v>
      </c>
      <c r="D41" t="s">
        <v>248</v>
      </c>
      <c r="I41">
        <f t="shared" si="0"/>
        <v>0</v>
      </c>
      <c r="Z41">
        <f t="shared" si="1"/>
        <v>0</v>
      </c>
      <c r="BA41">
        <f t="shared" ca="1" si="2"/>
        <v>0</v>
      </c>
      <c r="BB41">
        <f t="shared" ca="1" si="3"/>
        <v>0</v>
      </c>
      <c r="CB41">
        <f t="shared" si="4"/>
        <v>0</v>
      </c>
      <c r="CC41" t="b">
        <f t="shared" si="5"/>
        <v>0</v>
      </c>
      <c r="CE41">
        <f t="shared" si="6"/>
        <v>0</v>
      </c>
    </row>
    <row r="42" spans="2:83" x14ac:dyDescent="0.2">
      <c r="C42">
        <v>210</v>
      </c>
      <c r="D42" t="s">
        <v>248</v>
      </c>
      <c r="I42">
        <f t="shared" si="0"/>
        <v>0</v>
      </c>
      <c r="Z42">
        <f t="shared" si="1"/>
        <v>0</v>
      </c>
      <c r="BA42">
        <f t="shared" ca="1" si="2"/>
        <v>0</v>
      </c>
      <c r="BB42">
        <f t="shared" ca="1" si="3"/>
        <v>0</v>
      </c>
      <c r="CB42">
        <f t="shared" si="4"/>
        <v>0</v>
      </c>
      <c r="CC42" t="b">
        <f t="shared" si="5"/>
        <v>0</v>
      </c>
      <c r="CE42">
        <f t="shared" si="6"/>
        <v>0</v>
      </c>
    </row>
    <row r="43" spans="2:83" x14ac:dyDescent="0.2">
      <c r="C43">
        <v>215</v>
      </c>
      <c r="D43" t="s">
        <v>248</v>
      </c>
      <c r="I43">
        <f t="shared" si="0"/>
        <v>0</v>
      </c>
      <c r="Z43">
        <f t="shared" si="1"/>
        <v>0</v>
      </c>
      <c r="BA43">
        <f t="shared" ca="1" si="2"/>
        <v>0</v>
      </c>
      <c r="BB43">
        <f t="shared" ca="1" si="3"/>
        <v>0</v>
      </c>
      <c r="CB43">
        <f t="shared" si="4"/>
        <v>0</v>
      </c>
      <c r="CC43" t="b">
        <f t="shared" si="5"/>
        <v>0</v>
      </c>
      <c r="CE43">
        <f t="shared" si="6"/>
        <v>0</v>
      </c>
    </row>
    <row r="44" spans="2:83" x14ac:dyDescent="0.2">
      <c r="C44">
        <v>220</v>
      </c>
      <c r="D44" t="s">
        <v>248</v>
      </c>
      <c r="I44">
        <f t="shared" si="0"/>
        <v>0</v>
      </c>
      <c r="Z44">
        <f t="shared" si="1"/>
        <v>0</v>
      </c>
      <c r="BA44">
        <f t="shared" ca="1" si="2"/>
        <v>0</v>
      </c>
      <c r="BB44">
        <f t="shared" ca="1" si="3"/>
        <v>0</v>
      </c>
      <c r="CB44">
        <f t="shared" si="4"/>
        <v>0</v>
      </c>
      <c r="CC44" t="b">
        <f t="shared" si="5"/>
        <v>0</v>
      </c>
      <c r="CE44">
        <f t="shared" si="6"/>
        <v>0</v>
      </c>
    </row>
    <row r="45" spans="2:83" x14ac:dyDescent="0.2">
      <c r="C45">
        <v>225</v>
      </c>
      <c r="D45" t="s">
        <v>248</v>
      </c>
      <c r="I45">
        <f t="shared" si="0"/>
        <v>0</v>
      </c>
      <c r="Z45">
        <f t="shared" si="1"/>
        <v>0</v>
      </c>
      <c r="BA45">
        <f t="shared" ca="1" si="2"/>
        <v>0</v>
      </c>
      <c r="BB45">
        <f t="shared" ca="1" si="3"/>
        <v>0</v>
      </c>
      <c r="CB45">
        <f t="shared" si="4"/>
        <v>0</v>
      </c>
      <c r="CC45" t="b">
        <f t="shared" si="5"/>
        <v>0</v>
      </c>
      <c r="CE45">
        <f t="shared" si="6"/>
        <v>0</v>
      </c>
    </row>
    <row r="46" spans="2:83" x14ac:dyDescent="0.2">
      <c r="B46" t="s">
        <v>3436</v>
      </c>
    </row>
    <row r="47" spans="2:83" x14ac:dyDescent="0.2">
      <c r="C47">
        <v>280</v>
      </c>
      <c r="D47" t="s">
        <v>248</v>
      </c>
      <c r="I47">
        <f t="shared" ref="I47:I66" si="7">SUM(J47:U47)</f>
        <v>0</v>
      </c>
      <c r="Z47">
        <f t="shared" ref="Z47:Z66" si="8">I47+V47+W47+X47+Y47</f>
        <v>0</v>
      </c>
      <c r="BA47">
        <f t="shared" ref="BA47:BA67" ca="1" si="9">IF(OR($BA$1="13",$BA$1="16"),SUM(OFFSET(I47,0,1,1,12)),SUM(OFFSET(I47,0,1,1,$BA$1)))</f>
        <v>0</v>
      </c>
      <c r="BB47">
        <f t="shared" ref="BB47:BB67" ca="1" si="10">IF(OR($BA$1="13",$BA$1="16"),(OFFSET(I47,0,12,1,1)),(OFFSET(I47,0,$BA$1,1,1)))</f>
        <v>0</v>
      </c>
      <c r="CB47">
        <f t="shared" ref="CB47:CB66" si="11">IF(OR(I47&lt;0,J47&lt;0,L47&lt;0,M47&lt;0,N47&lt;0,O47&lt;0,P47&lt;0,Q47&lt;0,R47&lt;0,S47&lt;0,T47&lt;0,U47&lt;0,V47&lt;0,W47&lt;0,X47&lt;0,Y47&lt;0,Z47&lt;0),1,0)</f>
        <v>0</v>
      </c>
      <c r="CC47" t="b">
        <f t="shared" ref="CC47:CC66" si="12">IF(AND(Z47&gt;0,ISBLANK(B47)),1,IF(AND(Z47&gt;0,ISBLANK(E47)),1,IF(AND(Z47&gt;0,ISBLANK(F47)),1,IF(AND(Z47&gt;0,ISBLANK(H47)),1,IF(AND(Z47&gt;0,ISBLANK(G47)),1)))))</f>
        <v>0</v>
      </c>
      <c r="CE47">
        <f t="shared" ref="CE47:CE66" si="13">IF(AND((Z47=0),COUNTA(B47)&lt;&gt;0),1,IF(AND((Z47=0),COUNTA(E47:H47)&lt;&gt;0),1,0))</f>
        <v>0</v>
      </c>
    </row>
    <row r="48" spans="2:83" x14ac:dyDescent="0.2">
      <c r="C48">
        <v>290</v>
      </c>
      <c r="D48" t="s">
        <v>248</v>
      </c>
      <c r="I48">
        <f t="shared" si="7"/>
        <v>0</v>
      </c>
      <c r="Z48">
        <f t="shared" si="8"/>
        <v>0</v>
      </c>
      <c r="BA48">
        <f t="shared" ca="1" si="9"/>
        <v>0</v>
      </c>
      <c r="BB48">
        <f t="shared" ca="1" si="10"/>
        <v>0</v>
      </c>
      <c r="CB48">
        <f t="shared" si="11"/>
        <v>0</v>
      </c>
      <c r="CC48" t="b">
        <f t="shared" si="12"/>
        <v>0</v>
      </c>
      <c r="CE48">
        <f t="shared" si="13"/>
        <v>0</v>
      </c>
    </row>
    <row r="49" spans="3:83" x14ac:dyDescent="0.2">
      <c r="C49">
        <v>300</v>
      </c>
      <c r="D49" t="s">
        <v>248</v>
      </c>
      <c r="I49">
        <f t="shared" si="7"/>
        <v>0</v>
      </c>
      <c r="Z49">
        <f t="shared" si="8"/>
        <v>0</v>
      </c>
      <c r="BA49">
        <f t="shared" ca="1" si="9"/>
        <v>0</v>
      </c>
      <c r="BB49">
        <f t="shared" ca="1" si="10"/>
        <v>0</v>
      </c>
      <c r="CB49">
        <f t="shared" si="11"/>
        <v>0</v>
      </c>
      <c r="CC49" t="b">
        <f t="shared" si="12"/>
        <v>0</v>
      </c>
      <c r="CE49">
        <f t="shared" si="13"/>
        <v>0</v>
      </c>
    </row>
    <row r="50" spans="3:83" x14ac:dyDescent="0.2">
      <c r="C50">
        <v>310</v>
      </c>
      <c r="D50" t="s">
        <v>248</v>
      </c>
      <c r="I50">
        <f t="shared" si="7"/>
        <v>0</v>
      </c>
      <c r="Z50">
        <f t="shared" si="8"/>
        <v>0</v>
      </c>
      <c r="BA50">
        <f t="shared" ca="1" si="9"/>
        <v>0</v>
      </c>
      <c r="BB50">
        <f t="shared" ca="1" si="10"/>
        <v>0</v>
      </c>
      <c r="CB50">
        <f t="shared" si="11"/>
        <v>0</v>
      </c>
      <c r="CC50" t="b">
        <f t="shared" si="12"/>
        <v>0</v>
      </c>
      <c r="CE50">
        <f t="shared" si="13"/>
        <v>0</v>
      </c>
    </row>
    <row r="51" spans="3:83" x14ac:dyDescent="0.2">
      <c r="C51">
        <v>320</v>
      </c>
      <c r="D51" t="s">
        <v>248</v>
      </c>
      <c r="I51">
        <f t="shared" si="7"/>
        <v>0</v>
      </c>
      <c r="Z51">
        <f t="shared" si="8"/>
        <v>0</v>
      </c>
      <c r="BA51">
        <f t="shared" ca="1" si="9"/>
        <v>0</v>
      </c>
      <c r="BB51">
        <f t="shared" ca="1" si="10"/>
        <v>0</v>
      </c>
      <c r="CB51">
        <f t="shared" si="11"/>
        <v>0</v>
      </c>
      <c r="CC51" t="b">
        <f t="shared" si="12"/>
        <v>0</v>
      </c>
      <c r="CE51">
        <f t="shared" si="13"/>
        <v>0</v>
      </c>
    </row>
    <row r="52" spans="3:83" x14ac:dyDescent="0.2">
      <c r="C52">
        <v>330</v>
      </c>
      <c r="D52" t="s">
        <v>248</v>
      </c>
      <c r="I52">
        <f t="shared" si="7"/>
        <v>0</v>
      </c>
      <c r="Z52">
        <f t="shared" si="8"/>
        <v>0</v>
      </c>
      <c r="BA52">
        <f t="shared" ca="1" si="9"/>
        <v>0</v>
      </c>
      <c r="BB52">
        <f t="shared" ca="1" si="10"/>
        <v>0</v>
      </c>
      <c r="CB52">
        <f t="shared" si="11"/>
        <v>0</v>
      </c>
      <c r="CC52" t="b">
        <f t="shared" si="12"/>
        <v>0</v>
      </c>
      <c r="CE52">
        <f t="shared" si="13"/>
        <v>0</v>
      </c>
    </row>
    <row r="53" spans="3:83" x14ac:dyDescent="0.2">
      <c r="C53">
        <v>340</v>
      </c>
      <c r="D53" t="s">
        <v>248</v>
      </c>
      <c r="I53">
        <f t="shared" si="7"/>
        <v>0</v>
      </c>
      <c r="Z53">
        <f t="shared" si="8"/>
        <v>0</v>
      </c>
      <c r="BA53">
        <f t="shared" ca="1" si="9"/>
        <v>0</v>
      </c>
      <c r="BB53">
        <f t="shared" ca="1" si="10"/>
        <v>0</v>
      </c>
      <c r="CB53">
        <f t="shared" si="11"/>
        <v>0</v>
      </c>
      <c r="CC53" t="b">
        <f t="shared" si="12"/>
        <v>0</v>
      </c>
      <c r="CE53">
        <f t="shared" si="13"/>
        <v>0</v>
      </c>
    </row>
    <row r="54" spans="3:83" x14ac:dyDescent="0.2">
      <c r="C54">
        <v>350</v>
      </c>
      <c r="D54" t="s">
        <v>248</v>
      </c>
      <c r="I54">
        <f t="shared" si="7"/>
        <v>0</v>
      </c>
      <c r="Z54">
        <f t="shared" si="8"/>
        <v>0</v>
      </c>
      <c r="BA54">
        <f t="shared" ca="1" si="9"/>
        <v>0</v>
      </c>
      <c r="BB54">
        <f t="shared" ca="1" si="10"/>
        <v>0</v>
      </c>
      <c r="CB54">
        <f t="shared" si="11"/>
        <v>0</v>
      </c>
      <c r="CC54" t="b">
        <f t="shared" si="12"/>
        <v>0</v>
      </c>
      <c r="CE54">
        <f t="shared" si="13"/>
        <v>0</v>
      </c>
    </row>
    <row r="55" spans="3:83" x14ac:dyDescent="0.2">
      <c r="C55">
        <v>360</v>
      </c>
      <c r="D55" t="s">
        <v>248</v>
      </c>
      <c r="I55">
        <f t="shared" si="7"/>
        <v>0</v>
      </c>
      <c r="Z55">
        <f t="shared" si="8"/>
        <v>0</v>
      </c>
      <c r="BA55">
        <f t="shared" ca="1" si="9"/>
        <v>0</v>
      </c>
      <c r="BB55">
        <f t="shared" ca="1" si="10"/>
        <v>0</v>
      </c>
      <c r="CB55">
        <f t="shared" si="11"/>
        <v>0</v>
      </c>
      <c r="CC55" t="b">
        <f t="shared" si="12"/>
        <v>0</v>
      </c>
      <c r="CE55">
        <f t="shared" si="13"/>
        <v>0</v>
      </c>
    </row>
    <row r="56" spans="3:83" x14ac:dyDescent="0.2">
      <c r="C56">
        <v>370</v>
      </c>
      <c r="D56" t="s">
        <v>248</v>
      </c>
      <c r="I56">
        <f t="shared" si="7"/>
        <v>0</v>
      </c>
      <c r="Z56">
        <f t="shared" si="8"/>
        <v>0</v>
      </c>
      <c r="BA56">
        <f t="shared" ca="1" si="9"/>
        <v>0</v>
      </c>
      <c r="BB56">
        <f t="shared" ca="1" si="10"/>
        <v>0</v>
      </c>
      <c r="CB56">
        <f t="shared" si="11"/>
        <v>0</v>
      </c>
      <c r="CC56" t="b">
        <f t="shared" si="12"/>
        <v>0</v>
      </c>
      <c r="CE56">
        <f t="shared" si="13"/>
        <v>0</v>
      </c>
    </row>
    <row r="57" spans="3:83" x14ac:dyDescent="0.2">
      <c r="C57">
        <v>371</v>
      </c>
      <c r="D57" t="s">
        <v>248</v>
      </c>
      <c r="I57">
        <f t="shared" si="7"/>
        <v>0</v>
      </c>
      <c r="Z57">
        <f t="shared" si="8"/>
        <v>0</v>
      </c>
      <c r="BA57">
        <f t="shared" ca="1" si="9"/>
        <v>0</v>
      </c>
      <c r="BB57">
        <f t="shared" ca="1" si="10"/>
        <v>0</v>
      </c>
      <c r="CB57">
        <f t="shared" si="11"/>
        <v>0</v>
      </c>
      <c r="CC57" t="b">
        <f t="shared" si="12"/>
        <v>0</v>
      </c>
      <c r="CE57">
        <f t="shared" si="13"/>
        <v>0</v>
      </c>
    </row>
    <row r="58" spans="3:83" x14ac:dyDescent="0.2">
      <c r="C58">
        <v>372</v>
      </c>
      <c r="D58" t="s">
        <v>248</v>
      </c>
      <c r="I58">
        <f t="shared" si="7"/>
        <v>0</v>
      </c>
      <c r="Z58">
        <f t="shared" si="8"/>
        <v>0</v>
      </c>
      <c r="BA58">
        <f t="shared" ca="1" si="9"/>
        <v>0</v>
      </c>
      <c r="BB58">
        <f t="shared" ca="1" si="10"/>
        <v>0</v>
      </c>
      <c r="CB58">
        <f t="shared" si="11"/>
        <v>0</v>
      </c>
      <c r="CC58" t="b">
        <f t="shared" si="12"/>
        <v>0</v>
      </c>
      <c r="CE58">
        <f t="shared" si="13"/>
        <v>0</v>
      </c>
    </row>
    <row r="59" spans="3:83" x14ac:dyDescent="0.2">
      <c r="C59">
        <v>373</v>
      </c>
      <c r="D59" t="s">
        <v>248</v>
      </c>
      <c r="I59">
        <f t="shared" si="7"/>
        <v>0</v>
      </c>
      <c r="Z59">
        <f t="shared" si="8"/>
        <v>0</v>
      </c>
      <c r="BA59">
        <f t="shared" ca="1" si="9"/>
        <v>0</v>
      </c>
      <c r="BB59">
        <f t="shared" ca="1" si="10"/>
        <v>0</v>
      </c>
      <c r="CB59">
        <f t="shared" si="11"/>
        <v>0</v>
      </c>
      <c r="CC59" t="b">
        <f t="shared" si="12"/>
        <v>0</v>
      </c>
      <c r="CE59">
        <f t="shared" si="13"/>
        <v>0</v>
      </c>
    </row>
    <row r="60" spans="3:83" x14ac:dyDescent="0.2">
      <c r="C60">
        <v>374</v>
      </c>
      <c r="D60" t="s">
        <v>248</v>
      </c>
      <c r="I60">
        <f t="shared" si="7"/>
        <v>0</v>
      </c>
      <c r="Z60">
        <f t="shared" si="8"/>
        <v>0</v>
      </c>
      <c r="BA60">
        <f t="shared" ca="1" si="9"/>
        <v>0</v>
      </c>
      <c r="BB60">
        <f t="shared" ca="1" si="10"/>
        <v>0</v>
      </c>
      <c r="CB60">
        <f t="shared" si="11"/>
        <v>0</v>
      </c>
      <c r="CC60" t="b">
        <f t="shared" si="12"/>
        <v>0</v>
      </c>
      <c r="CE60">
        <f t="shared" si="13"/>
        <v>0</v>
      </c>
    </row>
    <row r="61" spans="3:83" x14ac:dyDescent="0.2">
      <c r="C61">
        <v>375</v>
      </c>
      <c r="D61" t="s">
        <v>248</v>
      </c>
      <c r="I61">
        <f t="shared" si="7"/>
        <v>0</v>
      </c>
      <c r="Z61">
        <f t="shared" si="8"/>
        <v>0</v>
      </c>
      <c r="BA61">
        <f t="shared" ca="1" si="9"/>
        <v>0</v>
      </c>
      <c r="BB61">
        <f t="shared" ca="1" si="10"/>
        <v>0</v>
      </c>
      <c r="CB61">
        <f t="shared" si="11"/>
        <v>0</v>
      </c>
      <c r="CC61" t="b">
        <f t="shared" si="12"/>
        <v>0</v>
      </c>
      <c r="CE61">
        <f t="shared" si="13"/>
        <v>0</v>
      </c>
    </row>
    <row r="62" spans="3:83" x14ac:dyDescent="0.2">
      <c r="C62">
        <v>376</v>
      </c>
      <c r="D62" t="s">
        <v>248</v>
      </c>
      <c r="I62">
        <f t="shared" si="7"/>
        <v>0</v>
      </c>
      <c r="Z62">
        <f t="shared" si="8"/>
        <v>0</v>
      </c>
      <c r="BA62">
        <f t="shared" ca="1" si="9"/>
        <v>0</v>
      </c>
      <c r="BB62">
        <f t="shared" ca="1" si="10"/>
        <v>0</v>
      </c>
      <c r="CB62">
        <f t="shared" si="11"/>
        <v>0</v>
      </c>
      <c r="CC62" t="b">
        <f t="shared" si="12"/>
        <v>0</v>
      </c>
      <c r="CE62">
        <f t="shared" si="13"/>
        <v>0</v>
      </c>
    </row>
    <row r="63" spans="3:83" x14ac:dyDescent="0.2">
      <c r="C63">
        <v>377</v>
      </c>
      <c r="D63" t="s">
        <v>248</v>
      </c>
      <c r="I63">
        <f t="shared" si="7"/>
        <v>0</v>
      </c>
      <c r="Z63">
        <f t="shared" si="8"/>
        <v>0</v>
      </c>
      <c r="BA63">
        <f t="shared" ca="1" si="9"/>
        <v>0</v>
      </c>
      <c r="BB63">
        <f t="shared" ca="1" si="10"/>
        <v>0</v>
      </c>
      <c r="CB63">
        <f t="shared" si="11"/>
        <v>0</v>
      </c>
      <c r="CC63" t="b">
        <f t="shared" si="12"/>
        <v>0</v>
      </c>
      <c r="CE63">
        <f t="shared" si="13"/>
        <v>0</v>
      </c>
    </row>
    <row r="64" spans="3:83" x14ac:dyDescent="0.2">
      <c r="C64">
        <v>378</v>
      </c>
      <c r="D64" t="s">
        <v>248</v>
      </c>
      <c r="I64">
        <f t="shared" si="7"/>
        <v>0</v>
      </c>
      <c r="Z64">
        <f t="shared" si="8"/>
        <v>0</v>
      </c>
      <c r="BA64">
        <f t="shared" ca="1" si="9"/>
        <v>0</v>
      </c>
      <c r="BB64">
        <f t="shared" ca="1" si="10"/>
        <v>0</v>
      </c>
      <c r="CB64">
        <f t="shared" si="11"/>
        <v>0</v>
      </c>
      <c r="CC64" t="b">
        <f t="shared" si="12"/>
        <v>0</v>
      </c>
      <c r="CE64">
        <f t="shared" si="13"/>
        <v>0</v>
      </c>
    </row>
    <row r="65" spans="2:90" x14ac:dyDescent="0.2">
      <c r="C65">
        <v>379</v>
      </c>
      <c r="D65" t="s">
        <v>248</v>
      </c>
      <c r="I65">
        <f t="shared" si="7"/>
        <v>0</v>
      </c>
      <c r="Z65">
        <f t="shared" si="8"/>
        <v>0</v>
      </c>
      <c r="BA65">
        <f t="shared" ca="1" si="9"/>
        <v>0</v>
      </c>
      <c r="BB65">
        <f t="shared" ca="1" si="10"/>
        <v>0</v>
      </c>
      <c r="CB65">
        <f t="shared" si="11"/>
        <v>0</v>
      </c>
      <c r="CC65" t="b">
        <f t="shared" si="12"/>
        <v>0</v>
      </c>
      <c r="CE65">
        <f t="shared" si="13"/>
        <v>0</v>
      </c>
    </row>
    <row r="66" spans="2:90" x14ac:dyDescent="0.2">
      <c r="C66">
        <v>380</v>
      </c>
      <c r="D66" t="s">
        <v>248</v>
      </c>
      <c r="I66">
        <f t="shared" si="7"/>
        <v>0</v>
      </c>
      <c r="Z66">
        <f t="shared" si="8"/>
        <v>0</v>
      </c>
      <c r="BA66">
        <f t="shared" ca="1" si="9"/>
        <v>0</v>
      </c>
      <c r="BB66">
        <f t="shared" ca="1" si="10"/>
        <v>0</v>
      </c>
      <c r="CB66">
        <f t="shared" si="11"/>
        <v>0</v>
      </c>
      <c r="CC66" t="b">
        <f t="shared" si="12"/>
        <v>0</v>
      </c>
      <c r="CE66">
        <f t="shared" si="13"/>
        <v>0</v>
      </c>
    </row>
    <row r="67" spans="2:90" x14ac:dyDescent="0.2">
      <c r="B67" t="s">
        <v>2480</v>
      </c>
      <c r="C67">
        <v>419</v>
      </c>
      <c r="I67">
        <f t="shared" ref="I67:Z67" si="14">SUM(I47:I66)+SUM(I14:I45)</f>
        <v>0</v>
      </c>
      <c r="J67">
        <f t="shared" si="14"/>
        <v>0</v>
      </c>
      <c r="K67">
        <f t="shared" si="14"/>
        <v>0</v>
      </c>
      <c r="L67">
        <f t="shared" si="14"/>
        <v>0</v>
      </c>
      <c r="M67">
        <f t="shared" si="14"/>
        <v>0</v>
      </c>
      <c r="N67">
        <f t="shared" si="14"/>
        <v>0</v>
      </c>
      <c r="O67">
        <f t="shared" si="14"/>
        <v>0</v>
      </c>
      <c r="P67">
        <f t="shared" si="14"/>
        <v>0</v>
      </c>
      <c r="Q67">
        <f t="shared" si="14"/>
        <v>0</v>
      </c>
      <c r="R67">
        <f t="shared" si="14"/>
        <v>0</v>
      </c>
      <c r="S67">
        <f t="shared" si="14"/>
        <v>0</v>
      </c>
      <c r="T67">
        <f t="shared" si="14"/>
        <v>0</v>
      </c>
      <c r="U67">
        <f t="shared" si="14"/>
        <v>0</v>
      </c>
      <c r="V67">
        <f t="shared" si="14"/>
        <v>0</v>
      </c>
      <c r="W67">
        <f t="shared" si="14"/>
        <v>0</v>
      </c>
      <c r="X67">
        <f t="shared" si="14"/>
        <v>0</v>
      </c>
      <c r="Y67">
        <f t="shared" si="14"/>
        <v>0</v>
      </c>
      <c r="Z67">
        <f t="shared" si="14"/>
        <v>0</v>
      </c>
      <c r="BA67">
        <f t="shared" ca="1" si="9"/>
        <v>0</v>
      </c>
      <c r="BB67">
        <f t="shared" ca="1" si="10"/>
        <v>0</v>
      </c>
    </row>
    <row r="68" spans="2:90" x14ac:dyDescent="0.2">
      <c r="B68" t="s">
        <v>3437</v>
      </c>
      <c r="E68" t="s">
        <v>3438</v>
      </c>
      <c r="F68" t="s">
        <v>3439</v>
      </c>
      <c r="G68" t="s">
        <v>3440</v>
      </c>
      <c r="H68" t="s">
        <v>3441</v>
      </c>
      <c r="I68" t="s">
        <v>3428</v>
      </c>
      <c r="J68" t="s">
        <v>3280</v>
      </c>
      <c r="K68" t="s">
        <v>2025</v>
      </c>
      <c r="L68" t="s">
        <v>2026</v>
      </c>
      <c r="M68" t="s">
        <v>2027</v>
      </c>
      <c r="N68" t="s">
        <v>2028</v>
      </c>
      <c r="O68" t="s">
        <v>2029</v>
      </c>
      <c r="P68" t="s">
        <v>2030</v>
      </c>
      <c r="Q68" t="s">
        <v>2031</v>
      </c>
      <c r="R68" t="s">
        <v>2032</v>
      </c>
      <c r="S68" t="s">
        <v>2033</v>
      </c>
      <c r="T68" t="s">
        <v>2034</v>
      </c>
      <c r="U68" t="s">
        <v>2035</v>
      </c>
      <c r="V68" t="s">
        <v>3406</v>
      </c>
      <c r="W68" t="s">
        <v>3414</v>
      </c>
      <c r="X68" t="s">
        <v>3415</v>
      </c>
      <c r="Y68" t="s">
        <v>3416</v>
      </c>
      <c r="Z68" t="s">
        <v>3425</v>
      </c>
      <c r="CK68" t="s">
        <v>3442</v>
      </c>
    </row>
    <row r="69" spans="2:90" x14ac:dyDescent="0.2">
      <c r="C69">
        <v>420</v>
      </c>
      <c r="D69" t="s">
        <v>248</v>
      </c>
      <c r="F69" t="s">
        <v>2481</v>
      </c>
      <c r="I69">
        <f>SUM(J69:U69)</f>
        <v>0</v>
      </c>
      <c r="Z69">
        <f>I69+V69+W69+X69+Y69</f>
        <v>0</v>
      </c>
      <c r="BA69">
        <f ca="1">IF(OR($BA$1="13",$BA$1="16"),SUM(OFFSET(I69,0,1,1,12)),SUM(OFFSET(I69,0,1,1,$BA$1)))</f>
        <v>0</v>
      </c>
      <c r="BB69">
        <f ca="1">IF(OR($BA$1="13",$BA$1="16"),(OFFSET(I69,0,12,1,1)),(OFFSET(I69,0,$BA$1,1,1)))</f>
        <v>0</v>
      </c>
      <c r="CB69">
        <f>IF(OR(I69&lt;0,J69&lt;0,L69&lt;0,M69&lt;0,N69&lt;0,O69&lt;0,P69&lt;0,Q69&lt;0,R69&lt;0,S69&lt;0,T69&lt;0,U69&lt;0,V69&lt;0,W69&lt;0,X69&lt;0,Y69&lt;0,Z69&lt;0),1,0)</f>
        <v>0</v>
      </c>
      <c r="CC69" t="b">
        <f>IF(AND(Z69&gt;0,ISBLANK(B69)),1,IF(AND(Z69&gt;0,ISBLANK(E69)),1,IF(AND(Z69&gt;0,ISBLANK(F69)),1,IF(AND(Z69&gt;0,ISBLANK(G69)),1))))</f>
        <v>0</v>
      </c>
      <c r="CE69">
        <f>IF(AND((Z69=0),COUNTA(B69)&lt;&gt;0),1,IF(AND((Z69=0),COUNTA(E69)+COUNTA(G69)&lt;&gt;0),1,0))</f>
        <v>0</v>
      </c>
      <c r="CK69">
        <f>SUM(L55+L71-L111)</f>
        <v>0</v>
      </c>
      <c r="CL69">
        <f>SUM(M55+M71-M111)</f>
        <v>0</v>
      </c>
    </row>
    <row r="70" spans="2:90" x14ac:dyDescent="0.2">
      <c r="C70">
        <v>425</v>
      </c>
      <c r="D70" t="s">
        <v>248</v>
      </c>
      <c r="F70" t="s">
        <v>2481</v>
      </c>
      <c r="I70">
        <f>SUM(J70:U70)</f>
        <v>0</v>
      </c>
      <c r="Z70">
        <f>I70+V70+W70+X70+Y70</f>
        <v>0</v>
      </c>
      <c r="BA70">
        <f ca="1">IF(OR($BA$1="13",$BA$1="16"),SUM(OFFSET(I70,0,1,1,12)),SUM(OFFSET(I70,0,1,1,$BA$1)))</f>
        <v>0</v>
      </c>
      <c r="BB70">
        <f ca="1">IF(OR($BA$1="13",$BA$1="16"),(OFFSET(I70,0,12,1,1)),(OFFSET(I70,0,$BA$1,1,1)))</f>
        <v>0</v>
      </c>
      <c r="CB70">
        <f>IF(OR(I70&lt;0,J70&lt;0,L70&lt;0,M70&lt;0,N70&lt;0,O70&lt;0,P70&lt;0,Q70&lt;0,R70&lt;0,S70&lt;0,T70&lt;0,U70&lt;0,V70&lt;0,W70&lt;0,X70&lt;0,Y70&lt;0,Z70&lt;0),1,0)</f>
        <v>0</v>
      </c>
      <c r="CC70" t="b">
        <f>IF(AND(Z70&gt;0,ISBLANK(B70)),1,IF(AND(Z70&gt;0,ISBLANK(E70)),1,IF(AND(Z70&gt;0,ISBLANK(F70)),1,IF(AND(Z70&gt;0,ISBLANK(G70)),1))))</f>
        <v>0</v>
      </c>
      <c r="CE70">
        <f>IF(AND((Z70=0),COUNTA(B70)&lt;&gt;0),1,IF(AND((Z70=0),COUNTA(E70)+COUNTA(G70)&lt;&gt;0),1,0))</f>
        <v>0</v>
      </c>
    </row>
    <row r="71" spans="2:90" x14ac:dyDescent="0.2">
      <c r="C71">
        <v>426</v>
      </c>
      <c r="D71" t="s">
        <v>248</v>
      </c>
      <c r="F71" t="s">
        <v>2481</v>
      </c>
      <c r="I71">
        <f>SUM(J71:U71)</f>
        <v>0</v>
      </c>
      <c r="Z71">
        <f>I71+V71+W71+X71+Y71</f>
        <v>0</v>
      </c>
      <c r="BA71">
        <f ca="1">IF(OR($BA$1="13",$BA$1="16"),SUM(OFFSET(I71,0,1,1,12)),SUM(OFFSET(I71,0,1,1,$BA$1)))</f>
        <v>0</v>
      </c>
      <c r="BB71">
        <f ca="1">IF(OR($BA$1="13",$BA$1="16"),(OFFSET(I71,0,12,1,1)),(OFFSET(I71,0,$BA$1,1,1)))</f>
        <v>0</v>
      </c>
      <c r="CB71">
        <f>IF(OR(I71&lt;0,J71&lt;0,L71&lt;0,M71&lt;0,N71&lt;0,O71&lt;0,P71&lt;0,Q71&lt;0,R71&lt;0,S71&lt;0,T71&lt;0,U71&lt;0,V71&lt;0,W71&lt;0,X71&lt;0,Y71&lt;0,Z71&lt;0),1,0)</f>
        <v>0</v>
      </c>
      <c r="CC71" t="b">
        <f>IF(AND(Z71&gt;0,ISBLANK(B71)),1,IF(AND(Z71&gt;0,ISBLANK(E71)),1,IF(AND(Z71&gt;0,ISBLANK(F71)),1,IF(AND(Z71&gt;0,ISBLANK(G71)),1))))</f>
        <v>0</v>
      </c>
      <c r="CE71">
        <f>IF(AND((Z71=0),COUNTA(B71)&lt;&gt;0),1,IF(AND((Z71=0),COUNTA(E71)+COUNTA(G71)&lt;&gt;0),1,0))</f>
        <v>0</v>
      </c>
      <c r="CK71">
        <f>SUM(L67+L73-L113)</f>
        <v>0</v>
      </c>
      <c r="CL71">
        <f>SUM(M67+M73-M113)</f>
        <v>0</v>
      </c>
    </row>
    <row r="72" spans="2:90" x14ac:dyDescent="0.2">
      <c r="C72">
        <v>427</v>
      </c>
      <c r="D72" t="s">
        <v>248</v>
      </c>
      <c r="F72" t="s">
        <v>2481</v>
      </c>
      <c r="I72">
        <f>SUM(J72:U72)</f>
        <v>0</v>
      </c>
      <c r="Z72">
        <f>I72+V72+W72+X72+Y72</f>
        <v>0</v>
      </c>
      <c r="BA72">
        <f ca="1">IF(OR($BA$1="13",$BA$1="16"),SUM(OFFSET(I72,0,1,1,12)),SUM(OFFSET(I72,0,1,1,$BA$1)))</f>
        <v>0</v>
      </c>
      <c r="BB72">
        <f ca="1">IF(OR($BA$1="13",$BA$1="16"),(OFFSET(I72,0,12,1,1)),(OFFSET(I72,0,$BA$1,1,1)))</f>
        <v>0</v>
      </c>
      <c r="CB72">
        <f>IF(OR(I72&lt;0,J72&lt;0,L72&lt;0,M72&lt;0,N72&lt;0,O72&lt;0,P72&lt;0,Q72&lt;0,R72&lt;0,S72&lt;0,T72&lt;0,U72&lt;0,V72&lt;0,W72&lt;0,X72&lt;0,Y72&lt;0,Z72&lt;0),1,0)</f>
        <v>0</v>
      </c>
      <c r="CC72" t="b">
        <f>IF(AND(Z72&gt;0,ISBLANK(B72)),1,IF(AND(Z72&gt;0,ISBLANK(E72)),1,IF(AND(Z72&gt;0,ISBLANK(F72)),1,IF(AND(Z72&gt;0,ISBLANK(G72)),1))))</f>
        <v>0</v>
      </c>
      <c r="CE72">
        <f>IF(AND((Z72=0),COUNTA(B72)&lt;&gt;0),1,IF(AND((Z72=0),COUNTA(E72)+COUNTA(G72)&lt;&gt;0),1,0))</f>
        <v>0</v>
      </c>
    </row>
    <row r="73" spans="2:90" x14ac:dyDescent="0.2">
      <c r="B73" t="s">
        <v>3443</v>
      </c>
      <c r="C73">
        <v>430</v>
      </c>
      <c r="D73" t="s">
        <v>248</v>
      </c>
      <c r="I73">
        <f t="shared" ref="I73:Z73" si="15">SUM(I69:I72)</f>
        <v>0</v>
      </c>
      <c r="J73">
        <f t="shared" si="15"/>
        <v>0</v>
      </c>
      <c r="K73">
        <f t="shared" si="15"/>
        <v>0</v>
      </c>
      <c r="L73">
        <f t="shared" si="15"/>
        <v>0</v>
      </c>
      <c r="M73">
        <f t="shared" si="15"/>
        <v>0</v>
      </c>
      <c r="N73">
        <f t="shared" si="15"/>
        <v>0</v>
      </c>
      <c r="O73">
        <f t="shared" si="15"/>
        <v>0</v>
      </c>
      <c r="P73">
        <f t="shared" si="15"/>
        <v>0</v>
      </c>
      <c r="Q73">
        <f t="shared" si="15"/>
        <v>0</v>
      </c>
      <c r="R73">
        <f t="shared" si="15"/>
        <v>0</v>
      </c>
      <c r="S73">
        <f t="shared" si="15"/>
        <v>0</v>
      </c>
      <c r="T73">
        <f t="shared" si="15"/>
        <v>0</v>
      </c>
      <c r="U73">
        <f t="shared" si="15"/>
        <v>0</v>
      </c>
      <c r="V73">
        <f t="shared" si="15"/>
        <v>0</v>
      </c>
      <c r="W73">
        <f t="shared" si="15"/>
        <v>0</v>
      </c>
      <c r="X73">
        <f t="shared" si="15"/>
        <v>0</v>
      </c>
      <c r="Y73">
        <f t="shared" si="15"/>
        <v>0</v>
      </c>
      <c r="Z73">
        <f t="shared" si="15"/>
        <v>0</v>
      </c>
      <c r="BA73">
        <f ca="1">IF(OR($BA$1="13",$BA$1="16"),SUM(OFFSET(I73,0,1,1,12)),SUM(OFFSET(I73,0,1,1,$BA$1)))</f>
        <v>0</v>
      </c>
      <c r="BB73">
        <f ca="1">IF(OR($BA$1="13",$BA$1="16"),(OFFSET(I73,0,12,1,1)),(OFFSET(I73,0,$BA$1,1,1)))</f>
        <v>0</v>
      </c>
    </row>
    <row r="74" spans="2:90" x14ac:dyDescent="0.2">
      <c r="B74" t="s">
        <v>2482</v>
      </c>
    </row>
    <row r="75" spans="2:90" x14ac:dyDescent="0.2">
      <c r="B75" t="s">
        <v>3444</v>
      </c>
    </row>
    <row r="76" spans="2:90" x14ac:dyDescent="0.2">
      <c r="C76">
        <v>431</v>
      </c>
      <c r="D76" t="s">
        <v>245</v>
      </c>
      <c r="I76">
        <f t="shared" ref="I76:I85" si="16">SUM(J76:U76)</f>
        <v>0</v>
      </c>
      <c r="Z76">
        <f t="shared" ref="Z76:Z85" si="17">I76+V76+W76+X76+Y76</f>
        <v>0</v>
      </c>
      <c r="BA76">
        <f t="shared" ref="BA76:BA85" ca="1" si="18">IF(OR($BA$1="13",$BA$1="16"),SUM(OFFSET(I76,0,1,1,12)),SUM(OFFSET(I76,0,1,1,$BA$1)))</f>
        <v>0</v>
      </c>
      <c r="BB76">
        <f t="shared" ref="BB76:BB85" ca="1" si="19">IF(OR($BA$1="13",$BA$1="16"),(OFFSET(I76,0,12,1,1)),(OFFSET(I76,0,$BA$1,1,1)))</f>
        <v>0</v>
      </c>
      <c r="CA76">
        <f t="shared" ref="CA76:CA85" si="20">IF(OR(H76&gt;0,I76&gt;0,K76&gt;0,L76&gt;0,M76&gt;0,N76&gt;0,O76&gt;0,P76&gt;0,Q76&gt;0,R76&gt;0,S76&gt;0,T76&gt;0,U76&gt;0,V76&gt;0,W76&gt;0,X76&gt;0,Y76&gt;0),1,0)</f>
        <v>0</v>
      </c>
      <c r="CC76">
        <f t="shared" ref="CC76:CC85" si="21">IF(AND(Z76&lt;0,ISBLANK(B76)),1,0)</f>
        <v>0</v>
      </c>
      <c r="CE76">
        <f t="shared" ref="CE76:CE85" si="22">IF(AND((Z76=0),COUNTA(B76)&lt;&gt;0),1,IF(AND((Z76=0),COUNTA(E76:G76)&lt;&gt;0),1,0))</f>
        <v>0</v>
      </c>
    </row>
    <row r="77" spans="2:90" x14ac:dyDescent="0.2">
      <c r="C77">
        <v>432</v>
      </c>
      <c r="D77" t="s">
        <v>245</v>
      </c>
      <c r="I77">
        <f t="shared" si="16"/>
        <v>0</v>
      </c>
      <c r="Z77">
        <f t="shared" si="17"/>
        <v>0</v>
      </c>
      <c r="BA77">
        <f t="shared" ca="1" si="18"/>
        <v>0</v>
      </c>
      <c r="BB77">
        <f t="shared" ca="1" si="19"/>
        <v>0</v>
      </c>
      <c r="CA77">
        <f t="shared" si="20"/>
        <v>0</v>
      </c>
      <c r="CC77">
        <f t="shared" si="21"/>
        <v>0</v>
      </c>
      <c r="CE77">
        <f t="shared" si="22"/>
        <v>0</v>
      </c>
    </row>
    <row r="78" spans="2:90" x14ac:dyDescent="0.2">
      <c r="C78">
        <v>433</v>
      </c>
      <c r="D78" t="s">
        <v>245</v>
      </c>
      <c r="I78">
        <f t="shared" si="16"/>
        <v>0</v>
      </c>
      <c r="Z78">
        <f t="shared" si="17"/>
        <v>0</v>
      </c>
      <c r="BA78">
        <f t="shared" ca="1" si="18"/>
        <v>0</v>
      </c>
      <c r="BB78">
        <f t="shared" ca="1" si="19"/>
        <v>0</v>
      </c>
      <c r="CA78">
        <f t="shared" si="20"/>
        <v>0</v>
      </c>
      <c r="CC78">
        <f t="shared" si="21"/>
        <v>0</v>
      </c>
      <c r="CE78">
        <f t="shared" si="22"/>
        <v>0</v>
      </c>
    </row>
    <row r="79" spans="2:90" x14ac:dyDescent="0.2">
      <c r="C79">
        <v>434</v>
      </c>
      <c r="D79" t="s">
        <v>245</v>
      </c>
      <c r="I79">
        <f t="shared" si="16"/>
        <v>0</v>
      </c>
      <c r="Z79">
        <f t="shared" si="17"/>
        <v>0</v>
      </c>
      <c r="BA79">
        <f t="shared" ca="1" si="18"/>
        <v>0</v>
      </c>
      <c r="BB79">
        <f t="shared" ca="1" si="19"/>
        <v>0</v>
      </c>
      <c r="CA79">
        <f t="shared" si="20"/>
        <v>0</v>
      </c>
      <c r="CC79">
        <f t="shared" si="21"/>
        <v>0</v>
      </c>
      <c r="CE79">
        <f t="shared" si="22"/>
        <v>0</v>
      </c>
    </row>
    <row r="80" spans="2:90" x14ac:dyDescent="0.2">
      <c r="C80">
        <v>435</v>
      </c>
      <c r="D80" t="s">
        <v>245</v>
      </c>
      <c r="I80">
        <f t="shared" si="16"/>
        <v>0</v>
      </c>
      <c r="Z80">
        <f t="shared" si="17"/>
        <v>0</v>
      </c>
      <c r="BA80">
        <f t="shared" ca="1" si="18"/>
        <v>0</v>
      </c>
      <c r="BB80">
        <f t="shared" ca="1" si="19"/>
        <v>0</v>
      </c>
      <c r="CA80">
        <f t="shared" si="20"/>
        <v>0</v>
      </c>
      <c r="CC80">
        <f t="shared" si="21"/>
        <v>0</v>
      </c>
      <c r="CE80">
        <f t="shared" si="22"/>
        <v>0</v>
      </c>
    </row>
    <row r="81" spans="2:83" x14ac:dyDescent="0.2">
      <c r="C81">
        <v>436</v>
      </c>
      <c r="D81" t="s">
        <v>245</v>
      </c>
      <c r="I81">
        <f t="shared" si="16"/>
        <v>0</v>
      </c>
      <c r="Z81">
        <f t="shared" si="17"/>
        <v>0</v>
      </c>
      <c r="BA81">
        <f t="shared" ca="1" si="18"/>
        <v>0</v>
      </c>
      <c r="BB81">
        <f t="shared" ca="1" si="19"/>
        <v>0</v>
      </c>
      <c r="CA81">
        <f t="shared" si="20"/>
        <v>0</v>
      </c>
      <c r="CC81">
        <f t="shared" si="21"/>
        <v>0</v>
      </c>
      <c r="CE81">
        <f t="shared" si="22"/>
        <v>0</v>
      </c>
    </row>
    <row r="82" spans="2:83" x14ac:dyDescent="0.2">
      <c r="C82">
        <v>437</v>
      </c>
      <c r="D82" t="s">
        <v>245</v>
      </c>
      <c r="I82">
        <f t="shared" si="16"/>
        <v>0</v>
      </c>
      <c r="Z82">
        <f t="shared" si="17"/>
        <v>0</v>
      </c>
      <c r="BA82">
        <f t="shared" ca="1" si="18"/>
        <v>0</v>
      </c>
      <c r="BB82">
        <f t="shared" ca="1" si="19"/>
        <v>0</v>
      </c>
      <c r="CA82">
        <f t="shared" si="20"/>
        <v>0</v>
      </c>
      <c r="CC82">
        <f t="shared" si="21"/>
        <v>0</v>
      </c>
      <c r="CE82">
        <f t="shared" si="22"/>
        <v>0</v>
      </c>
    </row>
    <row r="83" spans="2:83" x14ac:dyDescent="0.2">
      <c r="C83">
        <v>438</v>
      </c>
      <c r="D83" t="s">
        <v>245</v>
      </c>
      <c r="I83">
        <f t="shared" si="16"/>
        <v>0</v>
      </c>
      <c r="Z83">
        <f t="shared" si="17"/>
        <v>0</v>
      </c>
      <c r="BA83">
        <f t="shared" ca="1" si="18"/>
        <v>0</v>
      </c>
      <c r="BB83">
        <f t="shared" ca="1" si="19"/>
        <v>0</v>
      </c>
      <c r="CA83">
        <f t="shared" si="20"/>
        <v>0</v>
      </c>
      <c r="CC83">
        <f t="shared" si="21"/>
        <v>0</v>
      </c>
      <c r="CE83">
        <f t="shared" si="22"/>
        <v>0</v>
      </c>
    </row>
    <row r="84" spans="2:83" x14ac:dyDescent="0.2">
      <c r="C84">
        <v>439</v>
      </c>
      <c r="D84" t="s">
        <v>245</v>
      </c>
      <c r="I84">
        <f t="shared" si="16"/>
        <v>0</v>
      </c>
      <c r="Z84">
        <f t="shared" si="17"/>
        <v>0</v>
      </c>
      <c r="BA84">
        <f t="shared" ca="1" si="18"/>
        <v>0</v>
      </c>
      <c r="BB84">
        <f t="shared" ca="1" si="19"/>
        <v>0</v>
      </c>
      <c r="CA84">
        <f t="shared" si="20"/>
        <v>0</v>
      </c>
      <c r="CC84">
        <f t="shared" si="21"/>
        <v>0</v>
      </c>
      <c r="CE84">
        <f t="shared" si="22"/>
        <v>0</v>
      </c>
    </row>
    <row r="85" spans="2:83" x14ac:dyDescent="0.2">
      <c r="C85">
        <v>440</v>
      </c>
      <c r="D85" t="s">
        <v>245</v>
      </c>
      <c r="I85">
        <f t="shared" si="16"/>
        <v>0</v>
      </c>
      <c r="Z85">
        <f t="shared" si="17"/>
        <v>0</v>
      </c>
      <c r="BA85">
        <f t="shared" ca="1" si="18"/>
        <v>0</v>
      </c>
      <c r="BB85">
        <f t="shared" ca="1" si="19"/>
        <v>0</v>
      </c>
      <c r="CA85">
        <f t="shared" si="20"/>
        <v>0</v>
      </c>
      <c r="CC85">
        <f t="shared" si="21"/>
        <v>0</v>
      </c>
      <c r="CE85">
        <f t="shared" si="22"/>
        <v>0</v>
      </c>
    </row>
    <row r="86" spans="2:83" x14ac:dyDescent="0.2">
      <c r="B86" t="s">
        <v>3445</v>
      </c>
    </row>
    <row r="87" spans="2:83" x14ac:dyDescent="0.2">
      <c r="C87">
        <v>441</v>
      </c>
      <c r="D87" t="s">
        <v>245</v>
      </c>
      <c r="I87">
        <f t="shared" ref="I87:I96" si="23">SUM(J87:U87)</f>
        <v>0</v>
      </c>
      <c r="Z87">
        <f t="shared" ref="Z87:Z96" si="24">I87+V87+W87+X87+Y87</f>
        <v>0</v>
      </c>
      <c r="BA87">
        <f t="shared" ref="BA87:BA97" ca="1" si="25">IF(OR($BA$1="13",$BA$1="16"),SUM(OFFSET(I87,0,1,1,12)),SUM(OFFSET(I87,0,1,1,$BA$1)))</f>
        <v>0</v>
      </c>
      <c r="BB87">
        <f t="shared" ref="BB87:BB97" ca="1" si="26">IF(OR($BA$1="13",$BA$1="16"),(OFFSET(I87,0,12,1,1)),(OFFSET(I87,0,$BA$1,1,1)))</f>
        <v>0</v>
      </c>
      <c r="CA87">
        <f t="shared" ref="CA87:CA96" si="27">IF(OR(H87&gt;0,I87&gt;0,K87&gt;0,L87&gt;0,M87&gt;0,N87&gt;0,O87&gt;0,P87&gt;0,Q87&gt;0,R87&gt;0,S87&gt;0,T87&gt;0,U87&gt;0,V87&gt;0,W87&gt;0,X87&gt;0,Y87&gt;0),1,0)</f>
        <v>0</v>
      </c>
      <c r="CC87">
        <f t="shared" ref="CC87:CC96" si="28">IF(AND(Z87&lt;0,ISBLANK(B87)),1,0)</f>
        <v>0</v>
      </c>
      <c r="CE87">
        <f t="shared" ref="CE87:CE96" si="29">IF(AND((Z87=0),COUNTA(B87)&lt;&gt;0),1,IF(AND((Z87=0),COUNTA(E87:G87)&lt;&gt;0),1,0))</f>
        <v>0</v>
      </c>
    </row>
    <row r="88" spans="2:83" x14ac:dyDescent="0.2">
      <c r="C88">
        <v>442</v>
      </c>
      <c r="D88" t="s">
        <v>245</v>
      </c>
      <c r="I88">
        <f t="shared" si="23"/>
        <v>0</v>
      </c>
      <c r="Z88">
        <f t="shared" si="24"/>
        <v>0</v>
      </c>
      <c r="BA88">
        <f t="shared" ca="1" si="25"/>
        <v>0</v>
      </c>
      <c r="BB88">
        <f t="shared" ca="1" si="26"/>
        <v>0</v>
      </c>
      <c r="CA88">
        <f t="shared" si="27"/>
        <v>0</v>
      </c>
      <c r="CC88">
        <f t="shared" si="28"/>
        <v>0</v>
      </c>
      <c r="CE88">
        <f t="shared" si="29"/>
        <v>0</v>
      </c>
    </row>
    <row r="89" spans="2:83" x14ac:dyDescent="0.2">
      <c r="C89">
        <v>443</v>
      </c>
      <c r="D89" t="s">
        <v>245</v>
      </c>
      <c r="I89">
        <f t="shared" si="23"/>
        <v>0</v>
      </c>
      <c r="Z89">
        <f t="shared" si="24"/>
        <v>0</v>
      </c>
      <c r="BA89">
        <f t="shared" ca="1" si="25"/>
        <v>0</v>
      </c>
      <c r="BB89">
        <f t="shared" ca="1" si="26"/>
        <v>0</v>
      </c>
      <c r="CA89">
        <f t="shared" si="27"/>
        <v>0</v>
      </c>
      <c r="CC89">
        <f t="shared" si="28"/>
        <v>0</v>
      </c>
      <c r="CE89">
        <f t="shared" si="29"/>
        <v>0</v>
      </c>
    </row>
    <row r="90" spans="2:83" x14ac:dyDescent="0.2">
      <c r="C90">
        <v>444</v>
      </c>
      <c r="D90" t="s">
        <v>245</v>
      </c>
      <c r="I90">
        <f t="shared" si="23"/>
        <v>0</v>
      </c>
      <c r="Z90">
        <f t="shared" si="24"/>
        <v>0</v>
      </c>
      <c r="BA90">
        <f t="shared" ca="1" si="25"/>
        <v>0</v>
      </c>
      <c r="BB90">
        <f t="shared" ca="1" si="26"/>
        <v>0</v>
      </c>
      <c r="CA90">
        <f t="shared" si="27"/>
        <v>0</v>
      </c>
      <c r="CC90">
        <f t="shared" si="28"/>
        <v>0</v>
      </c>
      <c r="CE90">
        <f t="shared" si="29"/>
        <v>0</v>
      </c>
    </row>
    <row r="91" spans="2:83" x14ac:dyDescent="0.2">
      <c r="C91">
        <v>445</v>
      </c>
      <c r="D91" t="s">
        <v>245</v>
      </c>
      <c r="I91">
        <f t="shared" si="23"/>
        <v>0</v>
      </c>
      <c r="Z91">
        <f t="shared" si="24"/>
        <v>0</v>
      </c>
      <c r="BA91">
        <f t="shared" ca="1" si="25"/>
        <v>0</v>
      </c>
      <c r="BB91">
        <f t="shared" ca="1" si="26"/>
        <v>0</v>
      </c>
      <c r="CA91">
        <f t="shared" si="27"/>
        <v>0</v>
      </c>
      <c r="CC91">
        <f t="shared" si="28"/>
        <v>0</v>
      </c>
      <c r="CE91">
        <f t="shared" si="29"/>
        <v>0</v>
      </c>
    </row>
    <row r="92" spans="2:83" x14ac:dyDescent="0.2">
      <c r="C92">
        <v>446</v>
      </c>
      <c r="D92" t="s">
        <v>245</v>
      </c>
      <c r="I92">
        <f t="shared" si="23"/>
        <v>0</v>
      </c>
      <c r="Z92">
        <f t="shared" si="24"/>
        <v>0</v>
      </c>
      <c r="BA92">
        <f t="shared" ca="1" si="25"/>
        <v>0</v>
      </c>
      <c r="BB92">
        <f t="shared" ca="1" si="26"/>
        <v>0</v>
      </c>
      <c r="CA92">
        <f t="shared" si="27"/>
        <v>0</v>
      </c>
      <c r="CC92">
        <f t="shared" si="28"/>
        <v>0</v>
      </c>
      <c r="CE92">
        <f t="shared" si="29"/>
        <v>0</v>
      </c>
    </row>
    <row r="93" spans="2:83" x14ac:dyDescent="0.2">
      <c r="C93">
        <v>447</v>
      </c>
      <c r="D93" t="s">
        <v>245</v>
      </c>
      <c r="I93">
        <f t="shared" si="23"/>
        <v>0</v>
      </c>
      <c r="Z93">
        <f t="shared" si="24"/>
        <v>0</v>
      </c>
      <c r="BA93">
        <f t="shared" ca="1" si="25"/>
        <v>0</v>
      </c>
      <c r="BB93">
        <f t="shared" ca="1" si="26"/>
        <v>0</v>
      </c>
      <c r="CA93">
        <f t="shared" si="27"/>
        <v>0</v>
      </c>
      <c r="CC93">
        <f t="shared" si="28"/>
        <v>0</v>
      </c>
      <c r="CE93">
        <f t="shared" si="29"/>
        <v>0</v>
      </c>
    </row>
    <row r="94" spans="2:83" x14ac:dyDescent="0.2">
      <c r="C94">
        <v>448</v>
      </c>
      <c r="D94" t="s">
        <v>245</v>
      </c>
      <c r="I94">
        <f t="shared" si="23"/>
        <v>0</v>
      </c>
      <c r="Z94">
        <f t="shared" si="24"/>
        <v>0</v>
      </c>
      <c r="BA94">
        <f t="shared" ca="1" si="25"/>
        <v>0</v>
      </c>
      <c r="BB94">
        <f t="shared" ca="1" si="26"/>
        <v>0</v>
      </c>
      <c r="CA94">
        <f t="shared" si="27"/>
        <v>0</v>
      </c>
      <c r="CC94">
        <f t="shared" si="28"/>
        <v>0</v>
      </c>
      <c r="CE94">
        <f t="shared" si="29"/>
        <v>0</v>
      </c>
    </row>
    <row r="95" spans="2:83" x14ac:dyDescent="0.2">
      <c r="C95">
        <v>449</v>
      </c>
      <c r="D95" t="s">
        <v>245</v>
      </c>
      <c r="I95">
        <f t="shared" si="23"/>
        <v>0</v>
      </c>
      <c r="Z95">
        <f t="shared" si="24"/>
        <v>0</v>
      </c>
      <c r="BA95">
        <f t="shared" ca="1" si="25"/>
        <v>0</v>
      </c>
      <c r="BB95">
        <f t="shared" ca="1" si="26"/>
        <v>0</v>
      </c>
      <c r="CA95">
        <f t="shared" si="27"/>
        <v>0</v>
      </c>
      <c r="CC95">
        <f t="shared" si="28"/>
        <v>0</v>
      </c>
      <c r="CE95">
        <f t="shared" si="29"/>
        <v>0</v>
      </c>
    </row>
    <row r="96" spans="2:83" x14ac:dyDescent="0.2">
      <c r="C96">
        <v>450</v>
      </c>
      <c r="D96" t="s">
        <v>245</v>
      </c>
      <c r="I96">
        <f t="shared" si="23"/>
        <v>0</v>
      </c>
      <c r="Z96">
        <f t="shared" si="24"/>
        <v>0</v>
      </c>
      <c r="BA96">
        <f t="shared" ca="1" si="25"/>
        <v>0</v>
      </c>
      <c r="BB96">
        <f t="shared" ca="1" si="26"/>
        <v>0</v>
      </c>
      <c r="CA96">
        <f t="shared" si="27"/>
        <v>0</v>
      </c>
      <c r="CC96">
        <f t="shared" si="28"/>
        <v>0</v>
      </c>
      <c r="CE96">
        <f t="shared" si="29"/>
        <v>0</v>
      </c>
    </row>
    <row r="97" spans="2:83" x14ac:dyDescent="0.2">
      <c r="B97" t="s">
        <v>2483</v>
      </c>
      <c r="C97">
        <v>452</v>
      </c>
      <c r="D97" t="s">
        <v>245</v>
      </c>
      <c r="I97">
        <f t="shared" ref="I97:Z97" si="30">SUM(I76:I96)</f>
        <v>0</v>
      </c>
      <c r="J97">
        <f t="shared" si="30"/>
        <v>0</v>
      </c>
      <c r="K97">
        <f t="shared" si="30"/>
        <v>0</v>
      </c>
      <c r="L97">
        <f t="shared" si="30"/>
        <v>0</v>
      </c>
      <c r="M97">
        <f t="shared" si="30"/>
        <v>0</v>
      </c>
      <c r="N97">
        <f t="shared" si="30"/>
        <v>0</v>
      </c>
      <c r="O97">
        <f t="shared" si="30"/>
        <v>0</v>
      </c>
      <c r="P97">
        <f t="shared" si="30"/>
        <v>0</v>
      </c>
      <c r="Q97">
        <f t="shared" si="30"/>
        <v>0</v>
      </c>
      <c r="R97">
        <f t="shared" si="30"/>
        <v>0</v>
      </c>
      <c r="S97">
        <f t="shared" si="30"/>
        <v>0</v>
      </c>
      <c r="T97">
        <f t="shared" si="30"/>
        <v>0</v>
      </c>
      <c r="U97">
        <f t="shared" si="30"/>
        <v>0</v>
      </c>
      <c r="V97">
        <f t="shared" si="30"/>
        <v>0</v>
      </c>
      <c r="W97">
        <f t="shared" si="30"/>
        <v>0</v>
      </c>
      <c r="X97">
        <f t="shared" si="30"/>
        <v>0</v>
      </c>
      <c r="Y97">
        <f t="shared" si="30"/>
        <v>0</v>
      </c>
      <c r="Z97">
        <f t="shared" si="30"/>
        <v>0</v>
      </c>
      <c r="BA97">
        <f t="shared" ca="1" si="25"/>
        <v>0</v>
      </c>
      <c r="BB97">
        <f t="shared" ca="1" si="26"/>
        <v>0</v>
      </c>
    </row>
    <row r="98" spans="2:83" x14ac:dyDescent="0.2">
      <c r="B98" t="s">
        <v>2484</v>
      </c>
    </row>
    <row r="99" spans="2:83" x14ac:dyDescent="0.2">
      <c r="C99">
        <v>470</v>
      </c>
      <c r="D99" t="s">
        <v>245</v>
      </c>
      <c r="I99">
        <f>SUM(J99:U99)</f>
        <v>0</v>
      </c>
      <c r="Z99">
        <f>I99+V99+W99+X99+Y99</f>
        <v>0</v>
      </c>
      <c r="BA99">
        <f t="shared" ref="BA99:BA104" ca="1" si="31">IF(OR($BA$1="13",$BA$1="16"),SUM(OFFSET(I99,0,1,1,12)),SUM(OFFSET(I99,0,1,1,$BA$1)))</f>
        <v>0</v>
      </c>
      <c r="BB99">
        <f t="shared" ref="BB99:BB104" ca="1" si="32">IF(OR($BA$1="13",$BA$1="16"),(OFFSET(I99,0,12,1,1)),(OFFSET(I99,0,$BA$1,1,1)))</f>
        <v>0</v>
      </c>
      <c r="CA99">
        <f>IF(OR(H99&gt;0,I99&gt;0,K99&gt;0,L99&gt;0,M99&gt;0,N99&gt;0,O99&gt;0,P99&gt;0,Q99&gt;0,R99&gt;0,S99&gt;0,T99&gt;0,U99&gt;0,V99&gt;0,W99&gt;0,X99&gt;0,Y99&gt;0),1,0)</f>
        <v>0</v>
      </c>
      <c r="CC99">
        <f>IF(AND(Z99&lt;0,ISBLANK(B99)),1,0)</f>
        <v>0</v>
      </c>
      <c r="CE99">
        <f>IF(AND((Z99=0),COUNTA(B99)&lt;&gt;0),1,IF(AND((Z99=0),COUNTA(E99:G99)&lt;&gt;0),1,0))</f>
        <v>0</v>
      </c>
    </row>
    <row r="100" spans="2:83" x14ac:dyDescent="0.2">
      <c r="C100">
        <v>475</v>
      </c>
      <c r="D100" t="s">
        <v>245</v>
      </c>
      <c r="I100">
        <f>SUM(J100:U100)</f>
        <v>0</v>
      </c>
      <c r="Z100">
        <f>I100+V100+W100+X100+Y100</f>
        <v>0</v>
      </c>
      <c r="BA100">
        <f t="shared" ca="1" si="31"/>
        <v>0</v>
      </c>
      <c r="BB100">
        <f t="shared" ca="1" si="32"/>
        <v>0</v>
      </c>
      <c r="CA100">
        <f>IF(OR(H100&gt;0,I100&gt;0,K100&gt;0,L100&gt;0,M100&gt;0,N100&gt;0,O100&gt;0,P100&gt;0,Q100&gt;0,R100&gt;0,S100&gt;0,T100&gt;0,U100&gt;0,V100&gt;0,W100&gt;0,X100&gt;0,Y100&gt;0),1,0)</f>
        <v>0</v>
      </c>
      <c r="CC100">
        <f>IF(AND(Z100&lt;0,ISBLANK(B100)),1,0)</f>
        <v>0</v>
      </c>
      <c r="CE100">
        <f>IF(AND((Z100=0),COUNTA(B100)&lt;&gt;0),1,IF(AND((Z100=0),COUNTA(E100:G100)&lt;&gt;0),1,0))</f>
        <v>0</v>
      </c>
    </row>
    <row r="101" spans="2:83" x14ac:dyDescent="0.2">
      <c r="C101">
        <v>480</v>
      </c>
      <c r="D101" t="s">
        <v>245</v>
      </c>
      <c r="I101">
        <f>SUM(J101:U101)</f>
        <v>0</v>
      </c>
      <c r="Z101">
        <f>I101+V101+W101+X101+Y101</f>
        <v>0</v>
      </c>
      <c r="BA101">
        <f t="shared" ca="1" si="31"/>
        <v>0</v>
      </c>
      <c r="BB101">
        <f t="shared" ca="1" si="32"/>
        <v>0</v>
      </c>
      <c r="CA101">
        <f>IF(OR(H101&gt;0,I101&gt;0,K101&gt;0,L101&gt;0,M101&gt;0,N101&gt;0,O101&gt;0,P101&gt;0,Q101&gt;0,R101&gt;0,S101&gt;0,T101&gt;0,U101&gt;0,V101&gt;0,W101&gt;0,X101&gt;0,Y101&gt;0),1,0)</f>
        <v>0</v>
      </c>
      <c r="CC101">
        <f>IF(AND(Z101&lt;0,ISBLANK(B101)),1,0)</f>
        <v>0</v>
      </c>
      <c r="CE101">
        <f>IF(AND((Z101=0),COUNTA(B101)&lt;&gt;0),1,IF(AND((Z101=0),COUNTA(E101:G101)&lt;&gt;0),1,0))</f>
        <v>0</v>
      </c>
    </row>
    <row r="102" spans="2:83" x14ac:dyDescent="0.2">
      <c r="C102">
        <v>484</v>
      </c>
      <c r="D102" t="s">
        <v>245</v>
      </c>
      <c r="I102">
        <f>SUM(J102:U102)</f>
        <v>0</v>
      </c>
      <c r="Z102">
        <f>I102+V102+W102+X102+Y102</f>
        <v>0</v>
      </c>
      <c r="BA102">
        <f t="shared" ca="1" si="31"/>
        <v>0</v>
      </c>
      <c r="BB102">
        <f t="shared" ca="1" si="32"/>
        <v>0</v>
      </c>
      <c r="CA102">
        <f>IF(OR(H102&gt;0,I102&gt;0,K102&gt;0,L102&gt;0,M102&gt;0,N102&gt;0,O102&gt;0,P102&gt;0,Q102&gt;0,R102&gt;0,S102&gt;0,T102&gt;0,U102&gt;0,V102&gt;0,W102&gt;0,X102&gt;0,Y102&gt;0),1,0)</f>
        <v>0</v>
      </c>
      <c r="CC102">
        <f>IF(AND(Z102&lt;0,ISBLANK(B102)),1,0)</f>
        <v>0</v>
      </c>
      <c r="CE102">
        <f>IF(AND((Z102=0),COUNTA(B102)&lt;&gt;0),1,IF(AND((Z102=0),COUNTA(E102:G102)&lt;&gt;0),1,0))</f>
        <v>0</v>
      </c>
    </row>
    <row r="103" spans="2:83" x14ac:dyDescent="0.2">
      <c r="B103" t="s">
        <v>2485</v>
      </c>
      <c r="C103">
        <v>488</v>
      </c>
      <c r="D103" t="s">
        <v>245</v>
      </c>
      <c r="I103">
        <f t="shared" ref="I103:Z103" si="33">SUM(I99:I102)</f>
        <v>0</v>
      </c>
      <c r="J103">
        <f t="shared" si="33"/>
        <v>0</v>
      </c>
      <c r="K103">
        <f t="shared" si="33"/>
        <v>0</v>
      </c>
      <c r="L103">
        <f t="shared" si="33"/>
        <v>0</v>
      </c>
      <c r="M103">
        <f t="shared" si="33"/>
        <v>0</v>
      </c>
      <c r="N103">
        <f t="shared" si="33"/>
        <v>0</v>
      </c>
      <c r="O103">
        <f t="shared" si="33"/>
        <v>0</v>
      </c>
      <c r="P103">
        <f t="shared" si="33"/>
        <v>0</v>
      </c>
      <c r="Q103">
        <f t="shared" si="33"/>
        <v>0</v>
      </c>
      <c r="R103">
        <f t="shared" si="33"/>
        <v>0</v>
      </c>
      <c r="S103">
        <f t="shared" si="33"/>
        <v>0</v>
      </c>
      <c r="T103">
        <f t="shared" si="33"/>
        <v>0</v>
      </c>
      <c r="U103">
        <f t="shared" si="33"/>
        <v>0</v>
      </c>
      <c r="V103">
        <f t="shared" si="33"/>
        <v>0</v>
      </c>
      <c r="W103">
        <f t="shared" si="33"/>
        <v>0</v>
      </c>
      <c r="X103">
        <f t="shared" si="33"/>
        <v>0</v>
      </c>
      <c r="Y103">
        <f t="shared" si="33"/>
        <v>0</v>
      </c>
      <c r="Z103">
        <f t="shared" si="33"/>
        <v>0</v>
      </c>
      <c r="BA103">
        <f t="shared" ca="1" si="31"/>
        <v>0</v>
      </c>
      <c r="BB103">
        <f t="shared" ca="1" si="32"/>
        <v>0</v>
      </c>
    </row>
    <row r="104" spans="2:83" x14ac:dyDescent="0.2">
      <c r="B104" t="s">
        <v>2486</v>
      </c>
      <c r="C104">
        <v>490</v>
      </c>
      <c r="D104" t="s">
        <v>251</v>
      </c>
      <c r="I104">
        <f t="shared" ref="I104:Z104" si="34">SUM(I67+I73+I97+I103)</f>
        <v>0</v>
      </c>
      <c r="J104">
        <f t="shared" si="34"/>
        <v>0</v>
      </c>
      <c r="K104">
        <f t="shared" si="34"/>
        <v>0</v>
      </c>
      <c r="L104">
        <f t="shared" si="34"/>
        <v>0</v>
      </c>
      <c r="M104">
        <f t="shared" si="34"/>
        <v>0</v>
      </c>
      <c r="N104">
        <f t="shared" si="34"/>
        <v>0</v>
      </c>
      <c r="O104">
        <f t="shared" si="34"/>
        <v>0</v>
      </c>
      <c r="P104">
        <f t="shared" si="34"/>
        <v>0</v>
      </c>
      <c r="Q104">
        <f t="shared" si="34"/>
        <v>0</v>
      </c>
      <c r="R104">
        <f t="shared" si="34"/>
        <v>0</v>
      </c>
      <c r="S104">
        <f t="shared" si="34"/>
        <v>0</v>
      </c>
      <c r="T104">
        <f t="shared" si="34"/>
        <v>0</v>
      </c>
      <c r="U104">
        <f t="shared" si="34"/>
        <v>0</v>
      </c>
      <c r="V104">
        <f t="shared" si="34"/>
        <v>0</v>
      </c>
      <c r="W104">
        <f t="shared" si="34"/>
        <v>0</v>
      </c>
      <c r="X104">
        <f t="shared" si="34"/>
        <v>0</v>
      </c>
      <c r="Y104">
        <f t="shared" si="34"/>
        <v>0</v>
      </c>
      <c r="Z104">
        <f t="shared" si="34"/>
        <v>0</v>
      </c>
      <c r="BA104">
        <f t="shared" ca="1" si="31"/>
        <v>0</v>
      </c>
      <c r="BB104">
        <f t="shared" ca="1" si="32"/>
        <v>0</v>
      </c>
    </row>
    <row r="106" spans="2:83" x14ac:dyDescent="0.2">
      <c r="E106" t="s">
        <v>2487</v>
      </c>
    </row>
    <row r="107" spans="2:83" x14ac:dyDescent="0.2">
      <c r="B107" t="s">
        <v>2488</v>
      </c>
      <c r="C107" t="s">
        <v>238</v>
      </c>
      <c r="D107" t="s">
        <v>1561</v>
      </c>
      <c r="E107" t="s">
        <v>2466</v>
      </c>
      <c r="F107" t="s">
        <v>2467</v>
      </c>
      <c r="G107" t="s">
        <v>2489</v>
      </c>
      <c r="I107" t="s">
        <v>1941</v>
      </c>
    </row>
    <row r="108" spans="2:83" x14ac:dyDescent="0.2">
      <c r="C108" t="s">
        <v>242</v>
      </c>
      <c r="E108" t="s">
        <v>2002</v>
      </c>
      <c r="F108" t="s">
        <v>2469</v>
      </c>
      <c r="G108" t="s">
        <v>2490</v>
      </c>
      <c r="I108" t="s">
        <v>3428</v>
      </c>
      <c r="J108" t="s">
        <v>3280</v>
      </c>
      <c r="K108" t="s">
        <v>2025</v>
      </c>
      <c r="L108" t="s">
        <v>2026</v>
      </c>
      <c r="M108" t="s">
        <v>2027</v>
      </c>
      <c r="N108" t="s">
        <v>2028</v>
      </c>
      <c r="O108" t="s">
        <v>2029</v>
      </c>
      <c r="P108" t="s">
        <v>2030</v>
      </c>
      <c r="Q108" t="s">
        <v>2031</v>
      </c>
      <c r="R108" t="s">
        <v>2032</v>
      </c>
      <c r="S108" t="s">
        <v>2033</v>
      </c>
      <c r="T108" t="s">
        <v>2034</v>
      </c>
      <c r="U108" t="s">
        <v>2035</v>
      </c>
      <c r="V108" t="s">
        <v>3406</v>
      </c>
      <c r="W108" t="s">
        <v>3414</v>
      </c>
      <c r="X108" t="s">
        <v>3415</v>
      </c>
      <c r="Y108" t="s">
        <v>3416</v>
      </c>
      <c r="Z108" t="s">
        <v>3425</v>
      </c>
    </row>
    <row r="109" spans="2:83" x14ac:dyDescent="0.2">
      <c r="E109" t="s">
        <v>2036</v>
      </c>
      <c r="F109" t="s">
        <v>2037</v>
      </c>
      <c r="G109" t="s">
        <v>2038</v>
      </c>
      <c r="I109" t="s">
        <v>2040</v>
      </c>
      <c r="J109" t="s">
        <v>2041</v>
      </c>
      <c r="K109" t="s">
        <v>2042</v>
      </c>
      <c r="L109" t="s">
        <v>2043</v>
      </c>
      <c r="M109" t="s">
        <v>2044</v>
      </c>
      <c r="N109" t="s">
        <v>2045</v>
      </c>
      <c r="O109" t="s">
        <v>2046</v>
      </c>
      <c r="P109" t="s">
        <v>2047</v>
      </c>
      <c r="Q109" t="s">
        <v>2048</v>
      </c>
      <c r="R109" t="s">
        <v>2049</v>
      </c>
      <c r="S109" t="s">
        <v>2050</v>
      </c>
      <c r="T109" t="s">
        <v>2051</v>
      </c>
      <c r="U109" t="s">
        <v>2052</v>
      </c>
      <c r="V109" t="s">
        <v>2053</v>
      </c>
      <c r="W109" t="s">
        <v>2054</v>
      </c>
      <c r="X109" t="s">
        <v>2055</v>
      </c>
      <c r="Y109" t="s">
        <v>2056</v>
      </c>
      <c r="Z109" t="s">
        <v>2057</v>
      </c>
    </row>
    <row r="110" spans="2:83" x14ac:dyDescent="0.2">
      <c r="I110" t="s">
        <v>243</v>
      </c>
      <c r="J110" t="s">
        <v>243</v>
      </c>
      <c r="K110" t="s">
        <v>243</v>
      </c>
      <c r="L110" t="s">
        <v>243</v>
      </c>
      <c r="M110" t="s">
        <v>243</v>
      </c>
      <c r="N110" t="s">
        <v>243</v>
      </c>
      <c r="O110" t="s">
        <v>243</v>
      </c>
      <c r="P110" t="s">
        <v>243</v>
      </c>
      <c r="Q110" t="s">
        <v>243</v>
      </c>
      <c r="R110" t="s">
        <v>243</v>
      </c>
      <c r="S110" t="s">
        <v>243</v>
      </c>
      <c r="T110" t="s">
        <v>243</v>
      </c>
      <c r="U110" t="s">
        <v>243</v>
      </c>
      <c r="V110" t="s">
        <v>243</v>
      </c>
      <c r="W110" t="s">
        <v>243</v>
      </c>
      <c r="X110" t="s">
        <v>243</v>
      </c>
      <c r="Y110" t="s">
        <v>243</v>
      </c>
      <c r="Z110" t="s">
        <v>243</v>
      </c>
    </row>
    <row r="111" spans="2:83" x14ac:dyDescent="0.2">
      <c r="B111" t="s">
        <v>3446</v>
      </c>
      <c r="C111">
        <v>500</v>
      </c>
      <c r="D111" t="s">
        <v>251</v>
      </c>
      <c r="G111" t="s">
        <v>2491</v>
      </c>
      <c r="I111">
        <f t="shared" ref="I111:I122" si="35">SUM(J111:U111)</f>
        <v>0</v>
      </c>
      <c r="J111">
        <f t="shared" ref="J111:Y112" si="36">SUMIF($G$14:$G$72,$G111,J$14:J$72)</f>
        <v>0</v>
      </c>
      <c r="K111">
        <f t="shared" si="36"/>
        <v>0</v>
      </c>
      <c r="L111">
        <f t="shared" si="36"/>
        <v>0</v>
      </c>
      <c r="M111">
        <f t="shared" si="36"/>
        <v>0</v>
      </c>
      <c r="N111">
        <f t="shared" si="36"/>
        <v>0</v>
      </c>
      <c r="O111">
        <f t="shared" si="36"/>
        <v>0</v>
      </c>
      <c r="P111">
        <f t="shared" si="36"/>
        <v>0</v>
      </c>
      <c r="Q111">
        <f t="shared" si="36"/>
        <v>0</v>
      </c>
      <c r="R111">
        <f t="shared" si="36"/>
        <v>0</v>
      </c>
      <c r="S111">
        <f t="shared" si="36"/>
        <v>0</v>
      </c>
      <c r="T111">
        <f t="shared" si="36"/>
        <v>0</v>
      </c>
      <c r="U111">
        <f t="shared" si="36"/>
        <v>0</v>
      </c>
      <c r="V111">
        <f t="shared" si="36"/>
        <v>0</v>
      </c>
      <c r="W111">
        <f t="shared" si="36"/>
        <v>0</v>
      </c>
      <c r="X111">
        <f t="shared" si="36"/>
        <v>0</v>
      </c>
      <c r="Y111">
        <f t="shared" si="36"/>
        <v>0</v>
      </c>
      <c r="Z111">
        <f t="shared" ref="Z111:Z121" si="37">I111+V111+W111+X111+Y111</f>
        <v>0</v>
      </c>
      <c r="BA111">
        <f t="shared" ref="BA111:BA143" ca="1" si="38">IF(OR($BA$1="13",$BA$1="16"),SUM(OFFSET(I111,0,1,1,12)),SUM(OFFSET(I111,0,1,1,$BA$1)))</f>
        <v>0</v>
      </c>
      <c r="BB111">
        <f t="shared" ref="BB111:BB143" ca="1" si="39">IF(OR($BA$1="13",$BA$1="16"),(OFFSET(I111,0,12,1,1)),(OFFSET(I111,0,$BA$1,1,1)))</f>
        <v>0</v>
      </c>
    </row>
    <row r="112" spans="2:83" x14ac:dyDescent="0.2">
      <c r="B112" t="s">
        <v>3447</v>
      </c>
      <c r="C112">
        <v>510</v>
      </c>
      <c r="D112" t="s">
        <v>251</v>
      </c>
      <c r="G112" t="s">
        <v>2492</v>
      </c>
      <c r="I112">
        <f t="shared" si="35"/>
        <v>0</v>
      </c>
      <c r="J112">
        <f t="shared" si="36"/>
        <v>0</v>
      </c>
      <c r="K112">
        <f t="shared" si="36"/>
        <v>0</v>
      </c>
      <c r="L112">
        <f t="shared" si="36"/>
        <v>0</v>
      </c>
      <c r="M112">
        <f t="shared" si="36"/>
        <v>0</v>
      </c>
      <c r="N112">
        <f t="shared" si="36"/>
        <v>0</v>
      </c>
      <c r="O112">
        <f t="shared" si="36"/>
        <v>0</v>
      </c>
      <c r="P112">
        <f t="shared" si="36"/>
        <v>0</v>
      </c>
      <c r="Q112">
        <f t="shared" si="36"/>
        <v>0</v>
      </c>
      <c r="R112">
        <f t="shared" si="36"/>
        <v>0</v>
      </c>
      <c r="S112">
        <f t="shared" si="36"/>
        <v>0</v>
      </c>
      <c r="T112">
        <f t="shared" si="36"/>
        <v>0</v>
      </c>
      <c r="U112">
        <f t="shared" si="36"/>
        <v>0</v>
      </c>
      <c r="V112">
        <f t="shared" si="36"/>
        <v>0</v>
      </c>
      <c r="W112">
        <f t="shared" si="36"/>
        <v>0</v>
      </c>
      <c r="X112">
        <f t="shared" si="36"/>
        <v>0</v>
      </c>
      <c r="Y112">
        <f t="shared" si="36"/>
        <v>0</v>
      </c>
      <c r="Z112">
        <f t="shared" si="37"/>
        <v>0</v>
      </c>
      <c r="BA112">
        <f t="shared" ca="1" si="38"/>
        <v>0</v>
      </c>
      <c r="BB112">
        <f t="shared" ca="1" si="39"/>
        <v>0</v>
      </c>
    </row>
    <row r="113" spans="2:91" x14ac:dyDescent="0.2">
      <c r="B113" t="s">
        <v>2493</v>
      </c>
      <c r="C113">
        <v>520</v>
      </c>
      <c r="D113" t="s">
        <v>251</v>
      </c>
      <c r="I113">
        <f t="shared" si="35"/>
        <v>0</v>
      </c>
      <c r="J113">
        <f t="shared" ref="J113:Y113" si="40">J111+J112</f>
        <v>0</v>
      </c>
      <c r="K113">
        <f t="shared" si="40"/>
        <v>0</v>
      </c>
      <c r="L113">
        <f t="shared" si="40"/>
        <v>0</v>
      </c>
      <c r="M113">
        <f t="shared" si="40"/>
        <v>0</v>
      </c>
      <c r="N113">
        <f t="shared" si="40"/>
        <v>0</v>
      </c>
      <c r="O113">
        <f t="shared" si="40"/>
        <v>0</v>
      </c>
      <c r="P113">
        <f t="shared" si="40"/>
        <v>0</v>
      </c>
      <c r="Q113">
        <f t="shared" si="40"/>
        <v>0</v>
      </c>
      <c r="R113">
        <f t="shared" si="40"/>
        <v>0</v>
      </c>
      <c r="S113">
        <f t="shared" si="40"/>
        <v>0</v>
      </c>
      <c r="T113">
        <f t="shared" si="40"/>
        <v>0</v>
      </c>
      <c r="U113">
        <f t="shared" si="40"/>
        <v>0</v>
      </c>
      <c r="V113">
        <f t="shared" si="40"/>
        <v>0</v>
      </c>
      <c r="W113">
        <f t="shared" si="40"/>
        <v>0</v>
      </c>
      <c r="X113">
        <f t="shared" si="40"/>
        <v>0</v>
      </c>
      <c r="Y113">
        <f t="shared" si="40"/>
        <v>0</v>
      </c>
      <c r="Z113">
        <f t="shared" si="37"/>
        <v>0</v>
      </c>
      <c r="BA113">
        <f t="shared" ca="1" si="38"/>
        <v>0</v>
      </c>
      <c r="BB113">
        <f t="shared" ca="1" si="39"/>
        <v>0</v>
      </c>
    </row>
    <row r="114" spans="2:91" x14ac:dyDescent="0.2">
      <c r="B114" t="s">
        <v>2494</v>
      </c>
      <c r="C114">
        <v>530</v>
      </c>
      <c r="D114" t="s">
        <v>251</v>
      </c>
      <c r="G114" t="s">
        <v>78</v>
      </c>
      <c r="I114">
        <f t="shared" si="35"/>
        <v>0</v>
      </c>
      <c r="J114">
        <f t="shared" ref="J114:Y114" si="41">SUMIF($G$14:$G$72,$G114,J$14:J$72)</f>
        <v>0</v>
      </c>
      <c r="K114">
        <f t="shared" si="41"/>
        <v>0</v>
      </c>
      <c r="L114">
        <f t="shared" si="41"/>
        <v>0</v>
      </c>
      <c r="M114">
        <f t="shared" si="41"/>
        <v>0</v>
      </c>
      <c r="N114">
        <f t="shared" si="41"/>
        <v>0</v>
      </c>
      <c r="O114">
        <f t="shared" si="41"/>
        <v>0</v>
      </c>
      <c r="P114">
        <f t="shared" si="41"/>
        <v>0</v>
      </c>
      <c r="Q114">
        <f t="shared" si="41"/>
        <v>0</v>
      </c>
      <c r="R114">
        <f t="shared" si="41"/>
        <v>0</v>
      </c>
      <c r="S114">
        <f t="shared" si="41"/>
        <v>0</v>
      </c>
      <c r="T114">
        <f t="shared" si="41"/>
        <v>0</v>
      </c>
      <c r="U114">
        <f t="shared" si="41"/>
        <v>0</v>
      </c>
      <c r="V114">
        <f t="shared" si="41"/>
        <v>0</v>
      </c>
      <c r="W114">
        <f t="shared" si="41"/>
        <v>0</v>
      </c>
      <c r="X114">
        <f t="shared" si="41"/>
        <v>0</v>
      </c>
      <c r="Y114">
        <f t="shared" si="41"/>
        <v>0</v>
      </c>
      <c r="Z114">
        <f t="shared" si="37"/>
        <v>0</v>
      </c>
      <c r="BA114">
        <f t="shared" ca="1" si="38"/>
        <v>0</v>
      </c>
      <c r="BB114">
        <f t="shared" ca="1" si="39"/>
        <v>0</v>
      </c>
    </row>
    <row r="115" spans="2:91" x14ac:dyDescent="0.2">
      <c r="B115" t="s">
        <v>2495</v>
      </c>
      <c r="C115">
        <v>535</v>
      </c>
      <c r="D115" t="s">
        <v>248</v>
      </c>
      <c r="I115">
        <f t="shared" si="35"/>
        <v>0</v>
      </c>
      <c r="J115">
        <f t="shared" ref="J115:Y115" si="42">SUM(J113:J114)</f>
        <v>0</v>
      </c>
      <c r="K115">
        <f t="shared" si="42"/>
        <v>0</v>
      </c>
      <c r="L115">
        <f t="shared" si="42"/>
        <v>0</v>
      </c>
      <c r="M115">
        <f t="shared" si="42"/>
        <v>0</v>
      </c>
      <c r="N115">
        <f t="shared" si="42"/>
        <v>0</v>
      </c>
      <c r="O115">
        <f t="shared" si="42"/>
        <v>0</v>
      </c>
      <c r="P115">
        <f t="shared" si="42"/>
        <v>0</v>
      </c>
      <c r="Q115">
        <f t="shared" si="42"/>
        <v>0</v>
      </c>
      <c r="R115">
        <f t="shared" si="42"/>
        <v>0</v>
      </c>
      <c r="S115">
        <f t="shared" si="42"/>
        <v>0</v>
      </c>
      <c r="T115">
        <f t="shared" si="42"/>
        <v>0</v>
      </c>
      <c r="U115">
        <f t="shared" si="42"/>
        <v>0</v>
      </c>
      <c r="V115">
        <f t="shared" si="42"/>
        <v>0</v>
      </c>
      <c r="W115">
        <f t="shared" si="42"/>
        <v>0</v>
      </c>
      <c r="X115">
        <f t="shared" si="42"/>
        <v>0</v>
      </c>
      <c r="Y115">
        <f t="shared" si="42"/>
        <v>0</v>
      </c>
      <c r="Z115">
        <f t="shared" si="37"/>
        <v>0</v>
      </c>
      <c r="BA115">
        <f t="shared" ca="1" si="38"/>
        <v>0</v>
      </c>
      <c r="BB115">
        <f t="shared" ca="1" si="39"/>
        <v>0</v>
      </c>
    </row>
    <row r="116" spans="2:91" x14ac:dyDescent="0.2">
      <c r="B116" t="s">
        <v>2496</v>
      </c>
      <c r="C116">
        <v>550</v>
      </c>
      <c r="D116" t="s">
        <v>248</v>
      </c>
      <c r="E116" t="s">
        <v>2496</v>
      </c>
      <c r="I116">
        <f t="shared" si="35"/>
        <v>0</v>
      </c>
      <c r="J116">
        <f t="shared" ref="J116:Y121" si="43">SUMIF($E$14:$E$72,$E116,J$14:J$72)</f>
        <v>0</v>
      </c>
      <c r="K116">
        <f t="shared" si="43"/>
        <v>0</v>
      </c>
      <c r="L116">
        <f t="shared" si="43"/>
        <v>0</v>
      </c>
      <c r="M116">
        <f t="shared" si="43"/>
        <v>0</v>
      </c>
      <c r="N116">
        <f t="shared" si="43"/>
        <v>0</v>
      </c>
      <c r="O116">
        <f t="shared" si="43"/>
        <v>0</v>
      </c>
      <c r="P116">
        <f t="shared" si="43"/>
        <v>0</v>
      </c>
      <c r="Q116">
        <f t="shared" si="43"/>
        <v>0</v>
      </c>
      <c r="R116">
        <f t="shared" si="43"/>
        <v>0</v>
      </c>
      <c r="S116">
        <f t="shared" si="43"/>
        <v>0</v>
      </c>
      <c r="T116">
        <f t="shared" si="43"/>
        <v>0</v>
      </c>
      <c r="U116">
        <f t="shared" si="43"/>
        <v>0</v>
      </c>
      <c r="V116">
        <f t="shared" si="43"/>
        <v>0</v>
      </c>
      <c r="W116">
        <f t="shared" si="43"/>
        <v>0</v>
      </c>
      <c r="X116">
        <f t="shared" si="43"/>
        <v>0</v>
      </c>
      <c r="Y116">
        <f t="shared" si="43"/>
        <v>0</v>
      </c>
      <c r="Z116">
        <f t="shared" si="37"/>
        <v>0</v>
      </c>
      <c r="BA116">
        <f t="shared" ca="1" si="38"/>
        <v>0</v>
      </c>
      <c r="BB116">
        <f t="shared" ca="1" si="39"/>
        <v>0</v>
      </c>
    </row>
    <row r="117" spans="2:91" x14ac:dyDescent="0.2">
      <c r="B117" t="s">
        <v>2497</v>
      </c>
      <c r="C117">
        <v>560</v>
      </c>
      <c r="D117" t="s">
        <v>248</v>
      </c>
      <c r="E117" t="s">
        <v>2498</v>
      </c>
      <c r="I117">
        <f t="shared" si="35"/>
        <v>0</v>
      </c>
      <c r="J117">
        <f t="shared" si="43"/>
        <v>0</v>
      </c>
      <c r="K117">
        <f t="shared" si="43"/>
        <v>0</v>
      </c>
      <c r="L117">
        <f t="shared" si="43"/>
        <v>0</v>
      </c>
      <c r="M117">
        <f t="shared" si="43"/>
        <v>0</v>
      </c>
      <c r="N117">
        <f t="shared" si="43"/>
        <v>0</v>
      </c>
      <c r="O117">
        <f t="shared" si="43"/>
        <v>0</v>
      </c>
      <c r="P117">
        <f t="shared" si="43"/>
        <v>0</v>
      </c>
      <c r="Q117">
        <f t="shared" si="43"/>
        <v>0</v>
      </c>
      <c r="R117">
        <f t="shared" si="43"/>
        <v>0</v>
      </c>
      <c r="S117">
        <f t="shared" si="43"/>
        <v>0</v>
      </c>
      <c r="T117">
        <f t="shared" si="43"/>
        <v>0</v>
      </c>
      <c r="U117">
        <f t="shared" si="43"/>
        <v>0</v>
      </c>
      <c r="V117">
        <f t="shared" si="43"/>
        <v>0</v>
      </c>
      <c r="W117">
        <f t="shared" si="43"/>
        <v>0</v>
      </c>
      <c r="X117">
        <f t="shared" si="43"/>
        <v>0</v>
      </c>
      <c r="Y117">
        <f t="shared" si="43"/>
        <v>0</v>
      </c>
      <c r="Z117">
        <f t="shared" si="37"/>
        <v>0</v>
      </c>
      <c r="BA117">
        <f t="shared" ca="1" si="38"/>
        <v>0</v>
      </c>
      <c r="BB117">
        <f t="shared" ca="1" si="39"/>
        <v>0</v>
      </c>
    </row>
    <row r="118" spans="2:91" x14ac:dyDescent="0.2">
      <c r="B118" t="s">
        <v>2499</v>
      </c>
      <c r="C118">
        <v>562</v>
      </c>
      <c r="D118" t="s">
        <v>248</v>
      </c>
      <c r="E118" t="s">
        <v>2475</v>
      </c>
      <c r="I118">
        <f t="shared" si="35"/>
        <v>0</v>
      </c>
      <c r="J118">
        <f t="shared" si="43"/>
        <v>0</v>
      </c>
      <c r="K118">
        <f t="shared" si="43"/>
        <v>0</v>
      </c>
      <c r="L118">
        <f t="shared" si="43"/>
        <v>0</v>
      </c>
      <c r="M118">
        <f t="shared" si="43"/>
        <v>0</v>
      </c>
      <c r="N118">
        <f t="shared" si="43"/>
        <v>0</v>
      </c>
      <c r="O118">
        <f t="shared" si="43"/>
        <v>0</v>
      </c>
      <c r="P118">
        <f t="shared" si="43"/>
        <v>0</v>
      </c>
      <c r="Q118">
        <f t="shared" si="43"/>
        <v>0</v>
      </c>
      <c r="R118">
        <f t="shared" si="43"/>
        <v>0</v>
      </c>
      <c r="S118">
        <f t="shared" si="43"/>
        <v>0</v>
      </c>
      <c r="T118">
        <f t="shared" si="43"/>
        <v>0</v>
      </c>
      <c r="U118">
        <f t="shared" si="43"/>
        <v>0</v>
      </c>
      <c r="V118">
        <f t="shared" si="43"/>
        <v>0</v>
      </c>
      <c r="W118">
        <f t="shared" si="43"/>
        <v>0</v>
      </c>
      <c r="X118">
        <f t="shared" si="43"/>
        <v>0</v>
      </c>
      <c r="Y118">
        <f t="shared" si="43"/>
        <v>0</v>
      </c>
      <c r="Z118">
        <f t="shared" si="37"/>
        <v>0</v>
      </c>
      <c r="BA118">
        <f t="shared" ca="1" si="38"/>
        <v>0</v>
      </c>
      <c r="BB118">
        <f t="shared" ca="1" si="39"/>
        <v>0</v>
      </c>
    </row>
    <row r="119" spans="2:91" x14ac:dyDescent="0.2">
      <c r="B119" t="s">
        <v>1051</v>
      </c>
      <c r="C119">
        <v>570</v>
      </c>
      <c r="D119" t="s">
        <v>248</v>
      </c>
      <c r="E119" t="s">
        <v>1051</v>
      </c>
      <c r="I119">
        <f t="shared" si="35"/>
        <v>0</v>
      </c>
      <c r="J119">
        <f t="shared" si="43"/>
        <v>0</v>
      </c>
      <c r="K119">
        <f t="shared" si="43"/>
        <v>0</v>
      </c>
      <c r="L119">
        <f t="shared" si="43"/>
        <v>0</v>
      </c>
      <c r="M119">
        <f t="shared" si="43"/>
        <v>0</v>
      </c>
      <c r="N119">
        <f t="shared" si="43"/>
        <v>0</v>
      </c>
      <c r="O119">
        <f t="shared" si="43"/>
        <v>0</v>
      </c>
      <c r="P119">
        <f t="shared" si="43"/>
        <v>0</v>
      </c>
      <c r="Q119">
        <f t="shared" si="43"/>
        <v>0</v>
      </c>
      <c r="R119">
        <f t="shared" si="43"/>
        <v>0</v>
      </c>
      <c r="S119">
        <f t="shared" si="43"/>
        <v>0</v>
      </c>
      <c r="T119">
        <f t="shared" si="43"/>
        <v>0</v>
      </c>
      <c r="U119">
        <f t="shared" si="43"/>
        <v>0</v>
      </c>
      <c r="V119">
        <f t="shared" si="43"/>
        <v>0</v>
      </c>
      <c r="W119">
        <f t="shared" si="43"/>
        <v>0</v>
      </c>
      <c r="X119">
        <f t="shared" si="43"/>
        <v>0</v>
      </c>
      <c r="Y119">
        <f t="shared" si="43"/>
        <v>0</v>
      </c>
      <c r="Z119">
        <f t="shared" si="37"/>
        <v>0</v>
      </c>
      <c r="BA119">
        <f t="shared" ca="1" si="38"/>
        <v>0</v>
      </c>
      <c r="BB119">
        <f t="shared" ca="1" si="39"/>
        <v>0</v>
      </c>
    </row>
    <row r="120" spans="2:91" x14ac:dyDescent="0.2">
      <c r="B120" t="s">
        <v>1123</v>
      </c>
      <c r="C120">
        <v>580</v>
      </c>
      <c r="D120" t="s">
        <v>248</v>
      </c>
      <c r="E120" t="s">
        <v>2500</v>
      </c>
      <c r="I120">
        <f t="shared" si="35"/>
        <v>0</v>
      </c>
      <c r="J120">
        <f t="shared" si="43"/>
        <v>0</v>
      </c>
      <c r="K120">
        <f t="shared" si="43"/>
        <v>0</v>
      </c>
      <c r="L120">
        <f t="shared" si="43"/>
        <v>0</v>
      </c>
      <c r="M120">
        <f t="shared" si="43"/>
        <v>0</v>
      </c>
      <c r="N120">
        <f t="shared" si="43"/>
        <v>0</v>
      </c>
      <c r="O120">
        <f t="shared" si="43"/>
        <v>0</v>
      </c>
      <c r="P120">
        <f t="shared" si="43"/>
        <v>0</v>
      </c>
      <c r="Q120">
        <f t="shared" si="43"/>
        <v>0</v>
      </c>
      <c r="R120">
        <f t="shared" si="43"/>
        <v>0</v>
      </c>
      <c r="S120">
        <f t="shared" si="43"/>
        <v>0</v>
      </c>
      <c r="T120">
        <f t="shared" si="43"/>
        <v>0</v>
      </c>
      <c r="U120">
        <f t="shared" si="43"/>
        <v>0</v>
      </c>
      <c r="V120">
        <f t="shared" si="43"/>
        <v>0</v>
      </c>
      <c r="W120">
        <f t="shared" si="43"/>
        <v>0</v>
      </c>
      <c r="X120">
        <f t="shared" si="43"/>
        <v>0</v>
      </c>
      <c r="Y120">
        <f t="shared" si="43"/>
        <v>0</v>
      </c>
      <c r="Z120">
        <f t="shared" si="37"/>
        <v>0</v>
      </c>
      <c r="BA120">
        <f t="shared" ca="1" si="38"/>
        <v>0</v>
      </c>
      <c r="BB120">
        <f t="shared" ca="1" si="39"/>
        <v>0</v>
      </c>
    </row>
    <row r="121" spans="2:91" x14ac:dyDescent="0.2">
      <c r="B121" t="s">
        <v>352</v>
      </c>
      <c r="C121">
        <v>590</v>
      </c>
      <c r="D121" t="s">
        <v>248</v>
      </c>
      <c r="E121" t="s">
        <v>352</v>
      </c>
      <c r="I121">
        <f t="shared" si="35"/>
        <v>0</v>
      </c>
      <c r="J121">
        <f t="shared" si="43"/>
        <v>0</v>
      </c>
      <c r="K121">
        <f t="shared" si="43"/>
        <v>0</v>
      </c>
      <c r="L121">
        <f t="shared" si="43"/>
        <v>0</v>
      </c>
      <c r="M121">
        <f t="shared" si="43"/>
        <v>0</v>
      </c>
      <c r="N121">
        <f t="shared" si="43"/>
        <v>0</v>
      </c>
      <c r="O121">
        <f t="shared" si="43"/>
        <v>0</v>
      </c>
      <c r="P121">
        <f t="shared" si="43"/>
        <v>0</v>
      </c>
      <c r="Q121">
        <f t="shared" si="43"/>
        <v>0</v>
      </c>
      <c r="R121">
        <f t="shared" si="43"/>
        <v>0</v>
      </c>
      <c r="S121">
        <f t="shared" si="43"/>
        <v>0</v>
      </c>
      <c r="T121">
        <f t="shared" si="43"/>
        <v>0</v>
      </c>
      <c r="U121">
        <f t="shared" si="43"/>
        <v>0</v>
      </c>
      <c r="V121">
        <f t="shared" si="43"/>
        <v>0</v>
      </c>
      <c r="W121">
        <f t="shared" si="43"/>
        <v>0</v>
      </c>
      <c r="X121">
        <f t="shared" si="43"/>
        <v>0</v>
      </c>
      <c r="Y121">
        <f t="shared" si="43"/>
        <v>0</v>
      </c>
      <c r="Z121">
        <f t="shared" si="37"/>
        <v>0</v>
      </c>
      <c r="BA121">
        <f t="shared" ca="1" si="38"/>
        <v>0</v>
      </c>
      <c r="BB121">
        <f t="shared" ca="1" si="39"/>
        <v>0</v>
      </c>
    </row>
    <row r="122" spans="2:91" x14ac:dyDescent="0.2">
      <c r="B122" t="s">
        <v>2495</v>
      </c>
      <c r="C122">
        <v>600</v>
      </c>
      <c r="D122" t="s">
        <v>248</v>
      </c>
      <c r="I122">
        <f t="shared" si="35"/>
        <v>0</v>
      </c>
      <c r="J122">
        <f t="shared" ref="J122:Z122" si="44">SUM(J116:J121)</f>
        <v>0</v>
      </c>
      <c r="K122">
        <f t="shared" si="44"/>
        <v>0</v>
      </c>
      <c r="L122">
        <f t="shared" si="44"/>
        <v>0</v>
      </c>
      <c r="M122">
        <f t="shared" si="44"/>
        <v>0</v>
      </c>
      <c r="N122">
        <f t="shared" si="44"/>
        <v>0</v>
      </c>
      <c r="O122">
        <f t="shared" si="44"/>
        <v>0</v>
      </c>
      <c r="P122">
        <f t="shared" si="44"/>
        <v>0</v>
      </c>
      <c r="Q122">
        <f t="shared" si="44"/>
        <v>0</v>
      </c>
      <c r="R122">
        <f t="shared" si="44"/>
        <v>0</v>
      </c>
      <c r="S122">
        <f t="shared" si="44"/>
        <v>0</v>
      </c>
      <c r="T122">
        <f t="shared" si="44"/>
        <v>0</v>
      </c>
      <c r="U122">
        <f t="shared" si="44"/>
        <v>0</v>
      </c>
      <c r="V122">
        <f t="shared" si="44"/>
        <v>0</v>
      </c>
      <c r="W122">
        <f t="shared" si="44"/>
        <v>0</v>
      </c>
      <c r="X122">
        <f t="shared" si="44"/>
        <v>0</v>
      </c>
      <c r="Y122">
        <f t="shared" si="44"/>
        <v>0</v>
      </c>
      <c r="Z122">
        <f t="shared" si="44"/>
        <v>0</v>
      </c>
      <c r="BA122">
        <f t="shared" ca="1" si="38"/>
        <v>0</v>
      </c>
      <c r="BB122">
        <f t="shared" ca="1" si="39"/>
        <v>0</v>
      </c>
    </row>
    <row r="123" spans="2:91" x14ac:dyDescent="0.2">
      <c r="B123" t="s">
        <v>2501</v>
      </c>
      <c r="C123">
        <v>610</v>
      </c>
      <c r="D123" t="s">
        <v>245</v>
      </c>
      <c r="I123">
        <f t="shared" ref="I123:Z123" si="45">I97</f>
        <v>0</v>
      </c>
      <c r="J123">
        <f t="shared" si="45"/>
        <v>0</v>
      </c>
      <c r="K123">
        <f t="shared" si="45"/>
        <v>0</v>
      </c>
      <c r="L123">
        <f t="shared" si="45"/>
        <v>0</v>
      </c>
      <c r="M123">
        <f t="shared" si="45"/>
        <v>0</v>
      </c>
      <c r="N123">
        <f t="shared" si="45"/>
        <v>0</v>
      </c>
      <c r="O123">
        <f t="shared" si="45"/>
        <v>0</v>
      </c>
      <c r="P123">
        <f t="shared" si="45"/>
        <v>0</v>
      </c>
      <c r="Q123">
        <f t="shared" si="45"/>
        <v>0</v>
      </c>
      <c r="R123">
        <f t="shared" si="45"/>
        <v>0</v>
      </c>
      <c r="S123">
        <f t="shared" si="45"/>
        <v>0</v>
      </c>
      <c r="T123">
        <f t="shared" si="45"/>
        <v>0</v>
      </c>
      <c r="U123">
        <f t="shared" si="45"/>
        <v>0</v>
      </c>
      <c r="V123">
        <f t="shared" si="45"/>
        <v>0</v>
      </c>
      <c r="W123">
        <f t="shared" si="45"/>
        <v>0</v>
      </c>
      <c r="X123">
        <f t="shared" si="45"/>
        <v>0</v>
      </c>
      <c r="Y123">
        <f t="shared" si="45"/>
        <v>0</v>
      </c>
      <c r="Z123">
        <f t="shared" si="45"/>
        <v>0</v>
      </c>
      <c r="BA123">
        <f t="shared" ca="1" si="38"/>
        <v>0</v>
      </c>
      <c r="BB123">
        <f t="shared" ca="1" si="39"/>
        <v>0</v>
      </c>
    </row>
    <row r="124" spans="2:91" x14ac:dyDescent="0.2">
      <c r="B124" t="s">
        <v>2502</v>
      </c>
      <c r="C124">
        <v>620</v>
      </c>
      <c r="D124" t="s">
        <v>245</v>
      </c>
      <c r="I124">
        <f t="shared" ref="I124:I143" si="46">SUM(J124:U124)</f>
        <v>0</v>
      </c>
      <c r="J124">
        <f t="shared" ref="J124:Z124" si="47">J103</f>
        <v>0</v>
      </c>
      <c r="K124">
        <f t="shared" si="47"/>
        <v>0</v>
      </c>
      <c r="L124">
        <f t="shared" si="47"/>
        <v>0</v>
      </c>
      <c r="M124">
        <f t="shared" si="47"/>
        <v>0</v>
      </c>
      <c r="N124">
        <f t="shared" si="47"/>
        <v>0</v>
      </c>
      <c r="O124">
        <f t="shared" si="47"/>
        <v>0</v>
      </c>
      <c r="P124">
        <f t="shared" si="47"/>
        <v>0</v>
      </c>
      <c r="Q124">
        <f t="shared" si="47"/>
        <v>0</v>
      </c>
      <c r="R124">
        <f t="shared" si="47"/>
        <v>0</v>
      </c>
      <c r="S124">
        <f t="shared" si="47"/>
        <v>0</v>
      </c>
      <c r="T124">
        <f t="shared" si="47"/>
        <v>0</v>
      </c>
      <c r="U124">
        <f t="shared" si="47"/>
        <v>0</v>
      </c>
      <c r="V124">
        <f t="shared" si="47"/>
        <v>0</v>
      </c>
      <c r="W124">
        <f t="shared" si="47"/>
        <v>0</v>
      </c>
      <c r="X124">
        <f t="shared" si="47"/>
        <v>0</v>
      </c>
      <c r="Y124">
        <f t="shared" si="47"/>
        <v>0</v>
      </c>
      <c r="Z124">
        <f t="shared" si="47"/>
        <v>0</v>
      </c>
      <c r="BA124">
        <f t="shared" ca="1" si="38"/>
        <v>0</v>
      </c>
      <c r="BB124">
        <f t="shared" ca="1" si="39"/>
        <v>0</v>
      </c>
    </row>
    <row r="125" spans="2:91" x14ac:dyDescent="0.2">
      <c r="B125" t="s">
        <v>2503</v>
      </c>
      <c r="C125">
        <v>630</v>
      </c>
      <c r="D125" t="s">
        <v>251</v>
      </c>
      <c r="I125">
        <f t="shared" si="46"/>
        <v>0</v>
      </c>
      <c r="J125">
        <f t="shared" ref="J125:Z125" si="48">SUM(J122:J124)</f>
        <v>0</v>
      </c>
      <c r="K125">
        <f t="shared" si="48"/>
        <v>0</v>
      </c>
      <c r="L125">
        <f t="shared" si="48"/>
        <v>0</v>
      </c>
      <c r="M125">
        <f t="shared" si="48"/>
        <v>0</v>
      </c>
      <c r="N125">
        <f t="shared" si="48"/>
        <v>0</v>
      </c>
      <c r="O125">
        <f t="shared" si="48"/>
        <v>0</v>
      </c>
      <c r="P125">
        <f t="shared" si="48"/>
        <v>0</v>
      </c>
      <c r="Q125">
        <f t="shared" si="48"/>
        <v>0</v>
      </c>
      <c r="R125">
        <f t="shared" si="48"/>
        <v>0</v>
      </c>
      <c r="S125">
        <f t="shared" si="48"/>
        <v>0</v>
      </c>
      <c r="T125">
        <f t="shared" si="48"/>
        <v>0</v>
      </c>
      <c r="U125">
        <f t="shared" si="48"/>
        <v>0</v>
      </c>
      <c r="V125">
        <f t="shared" si="48"/>
        <v>0</v>
      </c>
      <c r="W125">
        <f t="shared" si="48"/>
        <v>0</v>
      </c>
      <c r="X125">
        <f t="shared" si="48"/>
        <v>0</v>
      </c>
      <c r="Y125">
        <f t="shared" si="48"/>
        <v>0</v>
      </c>
      <c r="Z125">
        <f t="shared" si="48"/>
        <v>0</v>
      </c>
      <c r="BA125">
        <f t="shared" ca="1" si="38"/>
        <v>0</v>
      </c>
      <c r="BB125">
        <f t="shared" ca="1" si="39"/>
        <v>0</v>
      </c>
    </row>
    <row r="126" spans="2:91" x14ac:dyDescent="0.2">
      <c r="B126" t="s">
        <v>2504</v>
      </c>
      <c r="C126">
        <v>635</v>
      </c>
      <c r="D126" t="s">
        <v>248</v>
      </c>
      <c r="F126" t="s">
        <v>2505</v>
      </c>
      <c r="I126">
        <f t="shared" si="46"/>
        <v>0</v>
      </c>
      <c r="J126">
        <f t="shared" ref="J126:Y138" si="49">SUMIF($F$14:$F$72,$F126,J$14:J$72)</f>
        <v>0</v>
      </c>
      <c r="K126">
        <f t="shared" si="49"/>
        <v>0</v>
      </c>
      <c r="L126">
        <f t="shared" si="49"/>
        <v>0</v>
      </c>
      <c r="M126">
        <f t="shared" si="49"/>
        <v>0</v>
      </c>
      <c r="N126">
        <f t="shared" si="49"/>
        <v>0</v>
      </c>
      <c r="O126">
        <f t="shared" si="49"/>
        <v>0</v>
      </c>
      <c r="P126">
        <f t="shared" si="49"/>
        <v>0</v>
      </c>
      <c r="Q126">
        <f t="shared" si="49"/>
        <v>0</v>
      </c>
      <c r="R126">
        <f t="shared" si="49"/>
        <v>0</v>
      </c>
      <c r="S126">
        <f t="shared" si="49"/>
        <v>0</v>
      </c>
      <c r="T126">
        <f t="shared" si="49"/>
        <v>0</v>
      </c>
      <c r="U126">
        <f t="shared" si="49"/>
        <v>0</v>
      </c>
      <c r="V126">
        <f t="shared" si="49"/>
        <v>0</v>
      </c>
      <c r="W126">
        <f t="shared" si="49"/>
        <v>0</v>
      </c>
      <c r="X126">
        <f t="shared" si="49"/>
        <v>0</v>
      </c>
      <c r="Y126">
        <f t="shared" si="49"/>
        <v>0</v>
      </c>
      <c r="Z126">
        <f t="shared" ref="Z126:Z143" si="50">I126+V126+W126+X126+Y126</f>
        <v>0</v>
      </c>
      <c r="BA126">
        <f t="shared" ca="1" si="38"/>
        <v>0</v>
      </c>
      <c r="BB126">
        <f t="shared" ca="1" si="39"/>
        <v>0</v>
      </c>
      <c r="CM126">
        <f>IF(OR(I126+I127&lt;&gt;I118,V126+V127&lt;&gt;V118,W126+W127&lt;&gt;W118,X126+X127&lt;&gt;X118,Y126+Y127&lt;&gt;Y118),1,0)</f>
        <v>0</v>
      </c>
    </row>
    <row r="127" spans="2:91" x14ac:dyDescent="0.2">
      <c r="B127" t="s">
        <v>2506</v>
      </c>
      <c r="C127">
        <v>640</v>
      </c>
      <c r="D127" t="s">
        <v>248</v>
      </c>
      <c r="F127" t="s">
        <v>2507</v>
      </c>
      <c r="I127">
        <f t="shared" si="46"/>
        <v>0</v>
      </c>
      <c r="J127">
        <f t="shared" si="49"/>
        <v>0</v>
      </c>
      <c r="K127">
        <f t="shared" si="49"/>
        <v>0</v>
      </c>
      <c r="L127">
        <f t="shared" si="49"/>
        <v>0</v>
      </c>
      <c r="M127">
        <f t="shared" si="49"/>
        <v>0</v>
      </c>
      <c r="N127">
        <f t="shared" si="49"/>
        <v>0</v>
      </c>
      <c r="O127">
        <f t="shared" si="49"/>
        <v>0</v>
      </c>
      <c r="P127">
        <f t="shared" si="49"/>
        <v>0</v>
      </c>
      <c r="Q127">
        <f t="shared" si="49"/>
        <v>0</v>
      </c>
      <c r="R127">
        <f t="shared" si="49"/>
        <v>0</v>
      </c>
      <c r="S127">
        <f t="shared" si="49"/>
        <v>0</v>
      </c>
      <c r="T127">
        <f t="shared" si="49"/>
        <v>0</v>
      </c>
      <c r="U127">
        <f t="shared" si="49"/>
        <v>0</v>
      </c>
      <c r="V127">
        <f t="shared" si="49"/>
        <v>0</v>
      </c>
      <c r="W127">
        <f t="shared" si="49"/>
        <v>0</v>
      </c>
      <c r="X127">
        <f t="shared" si="49"/>
        <v>0</v>
      </c>
      <c r="Y127">
        <f t="shared" si="49"/>
        <v>0</v>
      </c>
      <c r="Z127">
        <f t="shared" si="50"/>
        <v>0</v>
      </c>
      <c r="BA127">
        <f t="shared" ca="1" si="38"/>
        <v>0</v>
      </c>
      <c r="BB127">
        <f t="shared" ca="1" si="39"/>
        <v>0</v>
      </c>
    </row>
    <row r="128" spans="2:91" x14ac:dyDescent="0.2">
      <c r="B128" t="s">
        <v>2508</v>
      </c>
      <c r="C128">
        <v>641</v>
      </c>
      <c r="D128" t="s">
        <v>248</v>
      </c>
      <c r="F128" t="s">
        <v>2509</v>
      </c>
      <c r="I128">
        <f t="shared" si="46"/>
        <v>0</v>
      </c>
      <c r="J128">
        <f t="shared" si="49"/>
        <v>0</v>
      </c>
      <c r="K128">
        <f t="shared" si="49"/>
        <v>0</v>
      </c>
      <c r="L128">
        <f t="shared" si="49"/>
        <v>0</v>
      </c>
      <c r="M128">
        <f t="shared" si="49"/>
        <v>0</v>
      </c>
      <c r="N128">
        <f t="shared" si="49"/>
        <v>0</v>
      </c>
      <c r="O128">
        <f t="shared" si="49"/>
        <v>0</v>
      </c>
      <c r="P128">
        <f t="shared" si="49"/>
        <v>0</v>
      </c>
      <c r="Q128">
        <f t="shared" si="49"/>
        <v>0</v>
      </c>
      <c r="R128">
        <f t="shared" si="49"/>
        <v>0</v>
      </c>
      <c r="S128">
        <f t="shared" si="49"/>
        <v>0</v>
      </c>
      <c r="T128">
        <f t="shared" si="49"/>
        <v>0</v>
      </c>
      <c r="U128">
        <f t="shared" si="49"/>
        <v>0</v>
      </c>
      <c r="V128">
        <f t="shared" si="49"/>
        <v>0</v>
      </c>
      <c r="W128">
        <f t="shared" si="49"/>
        <v>0</v>
      </c>
      <c r="X128">
        <f t="shared" si="49"/>
        <v>0</v>
      </c>
      <c r="Y128">
        <f t="shared" si="49"/>
        <v>0</v>
      </c>
      <c r="Z128">
        <f t="shared" si="50"/>
        <v>0</v>
      </c>
      <c r="BA128">
        <f t="shared" ca="1" si="38"/>
        <v>0</v>
      </c>
      <c r="BB128">
        <f t="shared" ca="1" si="39"/>
        <v>0</v>
      </c>
    </row>
    <row r="129" spans="2:54" x14ac:dyDescent="0.2">
      <c r="B129" t="s">
        <v>2510</v>
      </c>
      <c r="C129">
        <v>642</v>
      </c>
      <c r="D129" t="s">
        <v>248</v>
      </c>
      <c r="F129" t="s">
        <v>1289</v>
      </c>
      <c r="I129">
        <f t="shared" si="46"/>
        <v>0</v>
      </c>
      <c r="J129">
        <f t="shared" si="49"/>
        <v>0</v>
      </c>
      <c r="K129">
        <f t="shared" si="49"/>
        <v>0</v>
      </c>
      <c r="L129">
        <f t="shared" si="49"/>
        <v>0</v>
      </c>
      <c r="M129">
        <f t="shared" si="49"/>
        <v>0</v>
      </c>
      <c r="N129">
        <f t="shared" si="49"/>
        <v>0</v>
      </c>
      <c r="O129">
        <f t="shared" si="49"/>
        <v>0</v>
      </c>
      <c r="P129">
        <f t="shared" si="49"/>
        <v>0</v>
      </c>
      <c r="Q129">
        <f t="shared" si="49"/>
        <v>0</v>
      </c>
      <c r="R129">
        <f t="shared" si="49"/>
        <v>0</v>
      </c>
      <c r="S129">
        <f t="shared" si="49"/>
        <v>0</v>
      </c>
      <c r="T129">
        <f t="shared" si="49"/>
        <v>0</v>
      </c>
      <c r="U129">
        <f t="shared" si="49"/>
        <v>0</v>
      </c>
      <c r="V129">
        <f t="shared" si="49"/>
        <v>0</v>
      </c>
      <c r="W129">
        <f t="shared" si="49"/>
        <v>0</v>
      </c>
      <c r="X129">
        <f t="shared" si="49"/>
        <v>0</v>
      </c>
      <c r="Y129">
        <f t="shared" si="49"/>
        <v>0</v>
      </c>
      <c r="Z129">
        <f t="shared" si="50"/>
        <v>0</v>
      </c>
      <c r="BA129">
        <f t="shared" ca="1" si="38"/>
        <v>0</v>
      </c>
      <c r="BB129">
        <f t="shared" ca="1" si="39"/>
        <v>0</v>
      </c>
    </row>
    <row r="130" spans="2:54" x14ac:dyDescent="0.2">
      <c r="B130" t="s">
        <v>3448</v>
      </c>
      <c r="C130">
        <v>643</v>
      </c>
      <c r="D130" t="s">
        <v>248</v>
      </c>
      <c r="F130" t="s">
        <v>3449</v>
      </c>
      <c r="I130">
        <f t="shared" si="46"/>
        <v>0</v>
      </c>
      <c r="J130">
        <f t="shared" si="49"/>
        <v>0</v>
      </c>
      <c r="K130">
        <f t="shared" si="49"/>
        <v>0</v>
      </c>
      <c r="L130">
        <f t="shared" si="49"/>
        <v>0</v>
      </c>
      <c r="M130">
        <f t="shared" si="49"/>
        <v>0</v>
      </c>
      <c r="N130">
        <f t="shared" si="49"/>
        <v>0</v>
      </c>
      <c r="O130">
        <f t="shared" si="49"/>
        <v>0</v>
      </c>
      <c r="P130">
        <f t="shared" si="49"/>
        <v>0</v>
      </c>
      <c r="Q130">
        <f t="shared" si="49"/>
        <v>0</v>
      </c>
      <c r="R130">
        <f t="shared" si="49"/>
        <v>0</v>
      </c>
      <c r="S130">
        <f t="shared" si="49"/>
        <v>0</v>
      </c>
      <c r="T130">
        <f t="shared" si="49"/>
        <v>0</v>
      </c>
      <c r="U130">
        <f t="shared" si="49"/>
        <v>0</v>
      </c>
      <c r="V130">
        <f t="shared" si="49"/>
        <v>0</v>
      </c>
      <c r="W130">
        <f t="shared" si="49"/>
        <v>0</v>
      </c>
      <c r="X130">
        <f t="shared" si="49"/>
        <v>0</v>
      </c>
      <c r="Y130">
        <f t="shared" si="49"/>
        <v>0</v>
      </c>
      <c r="Z130">
        <f t="shared" si="50"/>
        <v>0</v>
      </c>
      <c r="BA130">
        <f t="shared" ca="1" si="38"/>
        <v>0</v>
      </c>
      <c r="BB130">
        <f t="shared" ca="1" si="39"/>
        <v>0</v>
      </c>
    </row>
    <row r="131" spans="2:54" x14ac:dyDescent="0.2">
      <c r="B131" t="s">
        <v>2511</v>
      </c>
      <c r="C131">
        <v>644</v>
      </c>
      <c r="D131" t="s">
        <v>248</v>
      </c>
      <c r="F131" t="s">
        <v>2512</v>
      </c>
      <c r="I131">
        <f t="shared" si="46"/>
        <v>0</v>
      </c>
      <c r="J131">
        <f t="shared" si="49"/>
        <v>0</v>
      </c>
      <c r="K131">
        <f t="shared" si="49"/>
        <v>0</v>
      </c>
      <c r="L131">
        <f t="shared" si="49"/>
        <v>0</v>
      </c>
      <c r="M131">
        <f t="shared" si="49"/>
        <v>0</v>
      </c>
      <c r="N131">
        <f t="shared" si="49"/>
        <v>0</v>
      </c>
      <c r="O131">
        <f t="shared" si="49"/>
        <v>0</v>
      </c>
      <c r="P131">
        <f t="shared" si="49"/>
        <v>0</v>
      </c>
      <c r="Q131">
        <f t="shared" si="49"/>
        <v>0</v>
      </c>
      <c r="R131">
        <f t="shared" si="49"/>
        <v>0</v>
      </c>
      <c r="S131">
        <f t="shared" si="49"/>
        <v>0</v>
      </c>
      <c r="T131">
        <f t="shared" si="49"/>
        <v>0</v>
      </c>
      <c r="U131">
        <f t="shared" si="49"/>
        <v>0</v>
      </c>
      <c r="V131">
        <f t="shared" si="49"/>
        <v>0</v>
      </c>
      <c r="W131">
        <f t="shared" si="49"/>
        <v>0</v>
      </c>
      <c r="X131">
        <f t="shared" si="49"/>
        <v>0</v>
      </c>
      <c r="Y131">
        <f t="shared" si="49"/>
        <v>0</v>
      </c>
      <c r="Z131">
        <f t="shared" si="50"/>
        <v>0</v>
      </c>
      <c r="BA131">
        <f t="shared" ca="1" si="38"/>
        <v>0</v>
      </c>
      <c r="BB131">
        <f t="shared" ca="1" si="39"/>
        <v>0</v>
      </c>
    </row>
    <row r="132" spans="2:54" x14ac:dyDescent="0.2">
      <c r="B132" t="s">
        <v>2513</v>
      </c>
      <c r="C132">
        <v>646</v>
      </c>
      <c r="D132" t="s">
        <v>248</v>
      </c>
      <c r="F132" t="s">
        <v>2514</v>
      </c>
      <c r="I132">
        <f t="shared" si="46"/>
        <v>0</v>
      </c>
      <c r="J132">
        <f t="shared" si="49"/>
        <v>0</v>
      </c>
      <c r="K132">
        <f t="shared" si="49"/>
        <v>0</v>
      </c>
      <c r="L132">
        <f t="shared" si="49"/>
        <v>0</v>
      </c>
      <c r="M132">
        <f t="shared" si="49"/>
        <v>0</v>
      </c>
      <c r="N132">
        <f t="shared" si="49"/>
        <v>0</v>
      </c>
      <c r="O132">
        <f t="shared" si="49"/>
        <v>0</v>
      </c>
      <c r="P132">
        <f t="shared" si="49"/>
        <v>0</v>
      </c>
      <c r="Q132">
        <f t="shared" si="49"/>
        <v>0</v>
      </c>
      <c r="R132">
        <f t="shared" si="49"/>
        <v>0</v>
      </c>
      <c r="S132">
        <f t="shared" si="49"/>
        <v>0</v>
      </c>
      <c r="T132">
        <f t="shared" si="49"/>
        <v>0</v>
      </c>
      <c r="U132">
        <f t="shared" si="49"/>
        <v>0</v>
      </c>
      <c r="V132">
        <f t="shared" si="49"/>
        <v>0</v>
      </c>
      <c r="W132">
        <f t="shared" si="49"/>
        <v>0</v>
      </c>
      <c r="X132">
        <f t="shared" si="49"/>
        <v>0</v>
      </c>
      <c r="Y132">
        <f t="shared" si="49"/>
        <v>0</v>
      </c>
      <c r="Z132">
        <f t="shared" si="50"/>
        <v>0</v>
      </c>
      <c r="BA132">
        <f t="shared" ca="1" si="38"/>
        <v>0</v>
      </c>
      <c r="BB132">
        <f t="shared" ca="1" si="39"/>
        <v>0</v>
      </c>
    </row>
    <row r="133" spans="2:54" x14ac:dyDescent="0.2">
      <c r="B133" t="s">
        <v>2515</v>
      </c>
      <c r="C133">
        <v>648</v>
      </c>
      <c r="D133" t="s">
        <v>248</v>
      </c>
      <c r="F133" t="s">
        <v>2516</v>
      </c>
      <c r="I133">
        <f t="shared" si="46"/>
        <v>0</v>
      </c>
      <c r="J133">
        <f t="shared" si="49"/>
        <v>0</v>
      </c>
      <c r="K133">
        <f t="shared" si="49"/>
        <v>0</v>
      </c>
      <c r="L133">
        <f t="shared" si="49"/>
        <v>0</v>
      </c>
      <c r="M133">
        <f t="shared" si="49"/>
        <v>0</v>
      </c>
      <c r="N133">
        <f t="shared" si="49"/>
        <v>0</v>
      </c>
      <c r="O133">
        <f t="shared" si="49"/>
        <v>0</v>
      </c>
      <c r="P133">
        <f t="shared" si="49"/>
        <v>0</v>
      </c>
      <c r="Q133">
        <f t="shared" si="49"/>
        <v>0</v>
      </c>
      <c r="R133">
        <f t="shared" si="49"/>
        <v>0</v>
      </c>
      <c r="S133">
        <f t="shared" si="49"/>
        <v>0</v>
      </c>
      <c r="T133">
        <f t="shared" si="49"/>
        <v>0</v>
      </c>
      <c r="U133">
        <f t="shared" si="49"/>
        <v>0</v>
      </c>
      <c r="V133">
        <f t="shared" si="49"/>
        <v>0</v>
      </c>
      <c r="W133">
        <f t="shared" si="49"/>
        <v>0</v>
      </c>
      <c r="X133">
        <f t="shared" si="49"/>
        <v>0</v>
      </c>
      <c r="Y133">
        <f t="shared" si="49"/>
        <v>0</v>
      </c>
      <c r="Z133">
        <f t="shared" si="50"/>
        <v>0</v>
      </c>
      <c r="BA133">
        <f t="shared" ca="1" si="38"/>
        <v>0</v>
      </c>
      <c r="BB133">
        <f t="shared" ca="1" si="39"/>
        <v>0</v>
      </c>
    </row>
    <row r="134" spans="2:54" x14ac:dyDescent="0.2">
      <c r="B134" t="s">
        <v>3450</v>
      </c>
      <c r="C134">
        <v>649</v>
      </c>
      <c r="D134" t="s">
        <v>248</v>
      </c>
      <c r="F134" t="s">
        <v>2517</v>
      </c>
      <c r="I134">
        <f t="shared" si="46"/>
        <v>0</v>
      </c>
      <c r="J134">
        <f t="shared" si="49"/>
        <v>0</v>
      </c>
      <c r="K134">
        <f t="shared" si="49"/>
        <v>0</v>
      </c>
      <c r="L134">
        <f t="shared" si="49"/>
        <v>0</v>
      </c>
      <c r="M134">
        <f t="shared" si="49"/>
        <v>0</v>
      </c>
      <c r="N134">
        <f t="shared" si="49"/>
        <v>0</v>
      </c>
      <c r="O134">
        <f t="shared" si="49"/>
        <v>0</v>
      </c>
      <c r="P134">
        <f t="shared" si="49"/>
        <v>0</v>
      </c>
      <c r="Q134">
        <f t="shared" si="49"/>
        <v>0</v>
      </c>
      <c r="R134">
        <f t="shared" si="49"/>
        <v>0</v>
      </c>
      <c r="S134">
        <f t="shared" si="49"/>
        <v>0</v>
      </c>
      <c r="T134">
        <f t="shared" si="49"/>
        <v>0</v>
      </c>
      <c r="U134">
        <f t="shared" si="49"/>
        <v>0</v>
      </c>
      <c r="V134">
        <f t="shared" si="49"/>
        <v>0</v>
      </c>
      <c r="W134">
        <f t="shared" si="49"/>
        <v>0</v>
      </c>
      <c r="X134">
        <f t="shared" si="49"/>
        <v>0</v>
      </c>
      <c r="Y134">
        <f t="shared" si="49"/>
        <v>0</v>
      </c>
      <c r="Z134">
        <f t="shared" si="50"/>
        <v>0</v>
      </c>
      <c r="BA134">
        <f t="shared" ca="1" si="38"/>
        <v>0</v>
      </c>
      <c r="BB134">
        <f t="shared" ca="1" si="39"/>
        <v>0</v>
      </c>
    </row>
    <row r="135" spans="2:54" x14ac:dyDescent="0.2">
      <c r="B135" t="s">
        <v>2518</v>
      </c>
      <c r="C135">
        <v>650</v>
      </c>
      <c r="D135" t="s">
        <v>248</v>
      </c>
      <c r="F135" t="s">
        <v>2519</v>
      </c>
      <c r="I135">
        <f t="shared" si="46"/>
        <v>0</v>
      </c>
      <c r="J135">
        <f t="shared" si="49"/>
        <v>0</v>
      </c>
      <c r="K135">
        <f t="shared" si="49"/>
        <v>0</v>
      </c>
      <c r="L135">
        <f t="shared" si="49"/>
        <v>0</v>
      </c>
      <c r="M135">
        <f t="shared" si="49"/>
        <v>0</v>
      </c>
      <c r="N135">
        <f t="shared" si="49"/>
        <v>0</v>
      </c>
      <c r="O135">
        <f t="shared" si="49"/>
        <v>0</v>
      </c>
      <c r="P135">
        <f t="shared" si="49"/>
        <v>0</v>
      </c>
      <c r="Q135">
        <f t="shared" si="49"/>
        <v>0</v>
      </c>
      <c r="R135">
        <f t="shared" si="49"/>
        <v>0</v>
      </c>
      <c r="S135">
        <f t="shared" si="49"/>
        <v>0</v>
      </c>
      <c r="T135">
        <f t="shared" si="49"/>
        <v>0</v>
      </c>
      <c r="U135">
        <f t="shared" si="49"/>
        <v>0</v>
      </c>
      <c r="V135">
        <f t="shared" si="49"/>
        <v>0</v>
      </c>
      <c r="W135">
        <f t="shared" si="49"/>
        <v>0</v>
      </c>
      <c r="X135">
        <f t="shared" si="49"/>
        <v>0</v>
      </c>
      <c r="Y135">
        <f t="shared" si="49"/>
        <v>0</v>
      </c>
      <c r="Z135">
        <f t="shared" si="50"/>
        <v>0</v>
      </c>
      <c r="BA135">
        <f t="shared" ca="1" si="38"/>
        <v>0</v>
      </c>
      <c r="BB135">
        <f t="shared" ca="1" si="39"/>
        <v>0</v>
      </c>
    </row>
    <row r="136" spans="2:54" x14ac:dyDescent="0.2">
      <c r="B136" t="s">
        <v>2520</v>
      </c>
      <c r="C136">
        <v>651</v>
      </c>
      <c r="D136" t="s">
        <v>248</v>
      </c>
      <c r="F136" t="s">
        <v>2521</v>
      </c>
      <c r="I136">
        <f t="shared" si="46"/>
        <v>0</v>
      </c>
      <c r="J136">
        <f t="shared" si="49"/>
        <v>0</v>
      </c>
      <c r="K136">
        <f t="shared" si="49"/>
        <v>0</v>
      </c>
      <c r="L136">
        <f t="shared" si="49"/>
        <v>0</v>
      </c>
      <c r="M136">
        <f t="shared" si="49"/>
        <v>0</v>
      </c>
      <c r="N136">
        <f t="shared" si="49"/>
        <v>0</v>
      </c>
      <c r="O136">
        <f t="shared" si="49"/>
        <v>0</v>
      </c>
      <c r="P136">
        <f t="shared" si="49"/>
        <v>0</v>
      </c>
      <c r="Q136">
        <f t="shared" si="49"/>
        <v>0</v>
      </c>
      <c r="R136">
        <f t="shared" si="49"/>
        <v>0</v>
      </c>
      <c r="S136">
        <f t="shared" si="49"/>
        <v>0</v>
      </c>
      <c r="T136">
        <f t="shared" si="49"/>
        <v>0</v>
      </c>
      <c r="U136">
        <f t="shared" si="49"/>
        <v>0</v>
      </c>
      <c r="V136">
        <f t="shared" si="49"/>
        <v>0</v>
      </c>
      <c r="W136">
        <f t="shared" si="49"/>
        <v>0</v>
      </c>
      <c r="X136">
        <f t="shared" si="49"/>
        <v>0</v>
      </c>
      <c r="Y136">
        <f t="shared" si="49"/>
        <v>0</v>
      </c>
      <c r="Z136">
        <f t="shared" si="50"/>
        <v>0</v>
      </c>
      <c r="BA136">
        <f t="shared" ca="1" si="38"/>
        <v>0</v>
      </c>
      <c r="BB136">
        <f t="shared" ca="1" si="39"/>
        <v>0</v>
      </c>
    </row>
    <row r="137" spans="2:54" x14ac:dyDescent="0.2">
      <c r="B137" t="s">
        <v>2522</v>
      </c>
      <c r="C137">
        <v>655</v>
      </c>
      <c r="D137" t="s">
        <v>248</v>
      </c>
      <c r="F137" t="s">
        <v>2479</v>
      </c>
      <c r="I137">
        <f t="shared" si="46"/>
        <v>0</v>
      </c>
      <c r="J137">
        <f t="shared" si="49"/>
        <v>0</v>
      </c>
      <c r="K137">
        <f t="shared" si="49"/>
        <v>0</v>
      </c>
      <c r="L137">
        <f t="shared" si="49"/>
        <v>0</v>
      </c>
      <c r="M137">
        <f t="shared" si="49"/>
        <v>0</v>
      </c>
      <c r="N137">
        <f t="shared" si="49"/>
        <v>0</v>
      </c>
      <c r="O137">
        <f t="shared" si="49"/>
        <v>0</v>
      </c>
      <c r="P137">
        <f t="shared" si="49"/>
        <v>0</v>
      </c>
      <c r="Q137">
        <f t="shared" si="49"/>
        <v>0</v>
      </c>
      <c r="R137">
        <f t="shared" si="49"/>
        <v>0</v>
      </c>
      <c r="S137">
        <f t="shared" si="49"/>
        <v>0</v>
      </c>
      <c r="T137">
        <f t="shared" si="49"/>
        <v>0</v>
      </c>
      <c r="U137">
        <f t="shared" si="49"/>
        <v>0</v>
      </c>
      <c r="V137">
        <f t="shared" si="49"/>
        <v>0</v>
      </c>
      <c r="W137">
        <f t="shared" si="49"/>
        <v>0</v>
      </c>
      <c r="X137">
        <f t="shared" si="49"/>
        <v>0</v>
      </c>
      <c r="Y137">
        <f t="shared" si="49"/>
        <v>0</v>
      </c>
      <c r="Z137">
        <f t="shared" si="50"/>
        <v>0</v>
      </c>
      <c r="BA137">
        <f t="shared" ca="1" si="38"/>
        <v>0</v>
      </c>
      <c r="BB137">
        <f t="shared" ca="1" si="39"/>
        <v>0</v>
      </c>
    </row>
    <row r="138" spans="2:54" x14ac:dyDescent="0.2">
      <c r="B138" t="s">
        <v>2523</v>
      </c>
      <c r="C138">
        <v>660</v>
      </c>
      <c r="D138" t="s">
        <v>248</v>
      </c>
      <c r="F138" t="s">
        <v>2481</v>
      </c>
      <c r="I138">
        <f t="shared" si="46"/>
        <v>0</v>
      </c>
      <c r="J138">
        <f t="shared" si="49"/>
        <v>0</v>
      </c>
      <c r="K138">
        <f t="shared" si="49"/>
        <v>0</v>
      </c>
      <c r="L138">
        <f t="shared" si="49"/>
        <v>0</v>
      </c>
      <c r="M138">
        <f t="shared" si="49"/>
        <v>0</v>
      </c>
      <c r="N138">
        <f t="shared" si="49"/>
        <v>0</v>
      </c>
      <c r="O138">
        <f t="shared" si="49"/>
        <v>0</v>
      </c>
      <c r="P138">
        <f t="shared" si="49"/>
        <v>0</v>
      </c>
      <c r="Q138">
        <f t="shared" si="49"/>
        <v>0</v>
      </c>
      <c r="R138">
        <f t="shared" si="49"/>
        <v>0</v>
      </c>
      <c r="S138">
        <f t="shared" si="49"/>
        <v>0</v>
      </c>
      <c r="T138">
        <f t="shared" si="49"/>
        <v>0</v>
      </c>
      <c r="U138">
        <f t="shared" si="49"/>
        <v>0</v>
      </c>
      <c r="V138">
        <f t="shared" si="49"/>
        <v>0</v>
      </c>
      <c r="W138">
        <f t="shared" si="49"/>
        <v>0</v>
      </c>
      <c r="X138">
        <f t="shared" si="49"/>
        <v>0</v>
      </c>
      <c r="Y138">
        <f t="shared" si="49"/>
        <v>0</v>
      </c>
      <c r="Z138">
        <f t="shared" si="50"/>
        <v>0</v>
      </c>
      <c r="BA138">
        <f t="shared" ca="1" si="38"/>
        <v>0</v>
      </c>
      <c r="BB138">
        <f t="shared" ca="1" si="39"/>
        <v>0</v>
      </c>
    </row>
    <row r="139" spans="2:54" x14ac:dyDescent="0.2">
      <c r="B139" t="s">
        <v>2495</v>
      </c>
      <c r="C139">
        <v>670</v>
      </c>
      <c r="D139" t="s">
        <v>248</v>
      </c>
      <c r="I139">
        <f t="shared" si="46"/>
        <v>0</v>
      </c>
      <c r="J139">
        <f t="shared" ref="J139:Y139" si="51">SUM(J126:J138)</f>
        <v>0</v>
      </c>
      <c r="K139">
        <f t="shared" si="51"/>
        <v>0</v>
      </c>
      <c r="L139">
        <f t="shared" si="51"/>
        <v>0</v>
      </c>
      <c r="M139">
        <f t="shared" si="51"/>
        <v>0</v>
      </c>
      <c r="N139">
        <f t="shared" si="51"/>
        <v>0</v>
      </c>
      <c r="O139">
        <f t="shared" si="51"/>
        <v>0</v>
      </c>
      <c r="P139">
        <f t="shared" si="51"/>
        <v>0</v>
      </c>
      <c r="Q139">
        <f t="shared" si="51"/>
        <v>0</v>
      </c>
      <c r="R139">
        <f t="shared" si="51"/>
        <v>0</v>
      </c>
      <c r="S139">
        <f t="shared" si="51"/>
        <v>0</v>
      </c>
      <c r="T139">
        <f t="shared" si="51"/>
        <v>0</v>
      </c>
      <c r="U139">
        <f t="shared" si="51"/>
        <v>0</v>
      </c>
      <c r="V139">
        <f t="shared" si="51"/>
        <v>0</v>
      </c>
      <c r="W139">
        <f t="shared" si="51"/>
        <v>0</v>
      </c>
      <c r="X139">
        <f t="shared" si="51"/>
        <v>0</v>
      </c>
      <c r="Y139">
        <f t="shared" si="51"/>
        <v>0</v>
      </c>
      <c r="Z139">
        <f t="shared" si="50"/>
        <v>0</v>
      </c>
      <c r="BA139">
        <f t="shared" ca="1" si="38"/>
        <v>0</v>
      </c>
      <c r="BB139">
        <f t="shared" ca="1" si="39"/>
        <v>0</v>
      </c>
    </row>
    <row r="140" spans="2:54" x14ac:dyDescent="0.2">
      <c r="B140" t="s">
        <v>2501</v>
      </c>
      <c r="C140">
        <v>680</v>
      </c>
      <c r="D140" t="s">
        <v>245</v>
      </c>
      <c r="I140">
        <f t="shared" si="46"/>
        <v>0</v>
      </c>
      <c r="J140">
        <f t="shared" ref="J140:Y140" si="52">J123</f>
        <v>0</v>
      </c>
      <c r="K140">
        <f t="shared" si="52"/>
        <v>0</v>
      </c>
      <c r="L140">
        <f t="shared" si="52"/>
        <v>0</v>
      </c>
      <c r="M140">
        <f t="shared" si="52"/>
        <v>0</v>
      </c>
      <c r="N140">
        <f t="shared" si="52"/>
        <v>0</v>
      </c>
      <c r="O140">
        <f t="shared" si="52"/>
        <v>0</v>
      </c>
      <c r="P140">
        <f t="shared" si="52"/>
        <v>0</v>
      </c>
      <c r="Q140">
        <f t="shared" si="52"/>
        <v>0</v>
      </c>
      <c r="R140">
        <f t="shared" si="52"/>
        <v>0</v>
      </c>
      <c r="S140">
        <f t="shared" si="52"/>
        <v>0</v>
      </c>
      <c r="T140">
        <f t="shared" si="52"/>
        <v>0</v>
      </c>
      <c r="U140">
        <f t="shared" si="52"/>
        <v>0</v>
      </c>
      <c r="V140">
        <f t="shared" si="52"/>
        <v>0</v>
      </c>
      <c r="W140">
        <f t="shared" si="52"/>
        <v>0</v>
      </c>
      <c r="X140">
        <f t="shared" si="52"/>
        <v>0</v>
      </c>
      <c r="Y140">
        <f t="shared" si="52"/>
        <v>0</v>
      </c>
      <c r="Z140">
        <f t="shared" si="50"/>
        <v>0</v>
      </c>
      <c r="BA140">
        <f t="shared" ca="1" si="38"/>
        <v>0</v>
      </c>
      <c r="BB140">
        <f t="shared" ca="1" si="39"/>
        <v>0</v>
      </c>
    </row>
    <row r="141" spans="2:54" x14ac:dyDescent="0.2">
      <c r="B141" t="s">
        <v>2502</v>
      </c>
      <c r="C141">
        <v>690</v>
      </c>
      <c r="D141" t="s">
        <v>245</v>
      </c>
      <c r="I141">
        <f t="shared" si="46"/>
        <v>0</v>
      </c>
      <c r="J141">
        <f t="shared" ref="J141:Y141" si="53">J124</f>
        <v>0</v>
      </c>
      <c r="K141">
        <f t="shared" si="53"/>
        <v>0</v>
      </c>
      <c r="L141">
        <f t="shared" si="53"/>
        <v>0</v>
      </c>
      <c r="M141">
        <f t="shared" si="53"/>
        <v>0</v>
      </c>
      <c r="N141">
        <f t="shared" si="53"/>
        <v>0</v>
      </c>
      <c r="O141">
        <f t="shared" si="53"/>
        <v>0</v>
      </c>
      <c r="P141">
        <f t="shared" si="53"/>
        <v>0</v>
      </c>
      <c r="Q141">
        <f t="shared" si="53"/>
        <v>0</v>
      </c>
      <c r="R141">
        <f t="shared" si="53"/>
        <v>0</v>
      </c>
      <c r="S141">
        <f t="shared" si="53"/>
        <v>0</v>
      </c>
      <c r="T141">
        <f t="shared" si="53"/>
        <v>0</v>
      </c>
      <c r="U141">
        <f t="shared" si="53"/>
        <v>0</v>
      </c>
      <c r="V141">
        <f t="shared" si="53"/>
        <v>0</v>
      </c>
      <c r="W141">
        <f t="shared" si="53"/>
        <v>0</v>
      </c>
      <c r="X141">
        <f t="shared" si="53"/>
        <v>0</v>
      </c>
      <c r="Y141">
        <f t="shared" si="53"/>
        <v>0</v>
      </c>
      <c r="Z141">
        <f t="shared" si="50"/>
        <v>0</v>
      </c>
      <c r="BA141">
        <f t="shared" ca="1" si="38"/>
        <v>0</v>
      </c>
      <c r="BB141">
        <f t="shared" ca="1" si="39"/>
        <v>0</v>
      </c>
    </row>
    <row r="142" spans="2:54" x14ac:dyDescent="0.2">
      <c r="B142" t="s">
        <v>2503</v>
      </c>
      <c r="C142">
        <v>700</v>
      </c>
      <c r="D142" t="s">
        <v>251</v>
      </c>
      <c r="I142">
        <f t="shared" si="46"/>
        <v>0</v>
      </c>
      <c r="J142">
        <f t="shared" ref="J142:Y142" si="54">SUM(J139:J141)</f>
        <v>0</v>
      </c>
      <c r="K142">
        <f t="shared" si="54"/>
        <v>0</v>
      </c>
      <c r="L142">
        <f t="shared" si="54"/>
        <v>0</v>
      </c>
      <c r="M142">
        <f t="shared" si="54"/>
        <v>0</v>
      </c>
      <c r="N142">
        <f t="shared" si="54"/>
        <v>0</v>
      </c>
      <c r="O142">
        <f t="shared" si="54"/>
        <v>0</v>
      </c>
      <c r="P142">
        <f t="shared" si="54"/>
        <v>0</v>
      </c>
      <c r="Q142">
        <f t="shared" si="54"/>
        <v>0</v>
      </c>
      <c r="R142">
        <f t="shared" si="54"/>
        <v>0</v>
      </c>
      <c r="S142">
        <f t="shared" si="54"/>
        <v>0</v>
      </c>
      <c r="T142">
        <f t="shared" si="54"/>
        <v>0</v>
      </c>
      <c r="U142">
        <f t="shared" si="54"/>
        <v>0</v>
      </c>
      <c r="V142">
        <f t="shared" si="54"/>
        <v>0</v>
      </c>
      <c r="W142">
        <f t="shared" si="54"/>
        <v>0</v>
      </c>
      <c r="X142">
        <f t="shared" si="54"/>
        <v>0</v>
      </c>
      <c r="Y142">
        <f t="shared" si="54"/>
        <v>0</v>
      </c>
      <c r="Z142">
        <f t="shared" si="50"/>
        <v>0</v>
      </c>
      <c r="BA142">
        <f t="shared" ca="1" si="38"/>
        <v>0</v>
      </c>
      <c r="BB142">
        <f t="shared" ca="1" si="39"/>
        <v>0</v>
      </c>
    </row>
    <row r="143" spans="2:54" x14ac:dyDescent="0.2">
      <c r="B143" t="s">
        <v>2524</v>
      </c>
      <c r="C143">
        <v>710</v>
      </c>
      <c r="D143" t="s">
        <v>248</v>
      </c>
      <c r="I143">
        <f t="shared" si="46"/>
        <v>0</v>
      </c>
      <c r="J143">
        <f t="shared" ref="J143:Y143" si="55">J142</f>
        <v>0</v>
      </c>
      <c r="K143">
        <f t="shared" si="55"/>
        <v>0</v>
      </c>
      <c r="L143">
        <f t="shared" si="55"/>
        <v>0</v>
      </c>
      <c r="M143">
        <f t="shared" si="55"/>
        <v>0</v>
      </c>
      <c r="N143">
        <f t="shared" si="55"/>
        <v>0</v>
      </c>
      <c r="O143">
        <f t="shared" si="55"/>
        <v>0</v>
      </c>
      <c r="P143">
        <f t="shared" si="55"/>
        <v>0</v>
      </c>
      <c r="Q143">
        <f t="shared" si="55"/>
        <v>0</v>
      </c>
      <c r="R143">
        <f t="shared" si="55"/>
        <v>0</v>
      </c>
      <c r="S143">
        <f t="shared" si="55"/>
        <v>0</v>
      </c>
      <c r="T143">
        <f t="shared" si="55"/>
        <v>0</v>
      </c>
      <c r="U143">
        <f t="shared" si="55"/>
        <v>0</v>
      </c>
      <c r="V143">
        <f t="shared" si="55"/>
        <v>0</v>
      </c>
      <c r="W143">
        <f t="shared" si="55"/>
        <v>0</v>
      </c>
      <c r="X143">
        <f t="shared" si="55"/>
        <v>0</v>
      </c>
      <c r="Y143">
        <f t="shared" si="55"/>
        <v>0</v>
      </c>
      <c r="Z143">
        <f t="shared" si="50"/>
        <v>0</v>
      </c>
      <c r="BA143">
        <f t="shared" ca="1" si="38"/>
        <v>0</v>
      </c>
      <c r="BB143">
        <f t="shared" ca="1" si="39"/>
        <v>0</v>
      </c>
    </row>
    <row r="145" spans="2:100" x14ac:dyDescent="0.2">
      <c r="B145" t="s">
        <v>3451</v>
      </c>
      <c r="D145" t="s">
        <v>3452</v>
      </c>
    </row>
    <row r="146" spans="2:100" x14ac:dyDescent="0.2">
      <c r="B146" t="s">
        <v>3453</v>
      </c>
      <c r="C146">
        <v>720</v>
      </c>
      <c r="CD146">
        <f>IF(D146=0,1,0)</f>
        <v>1</v>
      </c>
    </row>
    <row r="147" spans="2:100" x14ac:dyDescent="0.2">
      <c r="B147" t="s">
        <v>3454</v>
      </c>
      <c r="C147">
        <v>730</v>
      </c>
      <c r="D147">
        <f>5000</f>
        <v>5000</v>
      </c>
    </row>
    <row r="148" spans="2:100" x14ac:dyDescent="0.2">
      <c r="B148" t="s">
        <v>3455</v>
      </c>
      <c r="C148">
        <v>740</v>
      </c>
      <c r="D148">
        <f>D146*0.03</f>
        <v>0</v>
      </c>
    </row>
    <row r="149" spans="2:100" x14ac:dyDescent="0.2">
      <c r="B149" t="s">
        <v>3456</v>
      </c>
      <c r="C149">
        <v>750</v>
      </c>
      <c r="D149">
        <f>MIN(D147:D148)</f>
        <v>0</v>
      </c>
    </row>
    <row r="150" spans="2:100" x14ac:dyDescent="0.2">
      <c r="B150" t="s">
        <v>3457</v>
      </c>
      <c r="D150" t="s">
        <v>3452</v>
      </c>
      <c r="E150" t="s">
        <v>3458</v>
      </c>
      <c r="F150" t="s">
        <v>3459</v>
      </c>
      <c r="G150" t="s">
        <v>3460</v>
      </c>
      <c r="H150" t="s">
        <v>3461</v>
      </c>
    </row>
    <row r="151" spans="2:100" x14ac:dyDescent="0.2">
      <c r="B151">
        <f t="shared" ref="B151:B170" si="56">B47</f>
        <v>0</v>
      </c>
      <c r="C151">
        <v>760</v>
      </c>
      <c r="D151">
        <f t="shared" ref="D151:D170" si="57">Z47</f>
        <v>0</v>
      </c>
      <c r="CC151" t="b">
        <f t="shared" ref="CC151:CC170" si="58">IF(AND(D151&gt;0,ISBLANK(E151)),1,IF(AND(D151&gt;0,ISBLANK(G151)),1,IF(AND(D151&gt;0,ISBLANK(H151)),1)))</f>
        <v>0</v>
      </c>
      <c r="CL151" t="s">
        <v>2386</v>
      </c>
      <c r="CM151" t="s">
        <v>3462</v>
      </c>
      <c r="CO151" t="s">
        <v>3317</v>
      </c>
    </row>
    <row r="152" spans="2:100" x14ac:dyDescent="0.2">
      <c r="B152">
        <f t="shared" si="56"/>
        <v>0</v>
      </c>
      <c r="C152">
        <v>761</v>
      </c>
      <c r="D152">
        <f t="shared" si="57"/>
        <v>0</v>
      </c>
      <c r="CC152" t="b">
        <f t="shared" si="58"/>
        <v>0</v>
      </c>
      <c r="CL152" t="s">
        <v>2004</v>
      </c>
    </row>
    <row r="153" spans="2:100" x14ac:dyDescent="0.2">
      <c r="B153">
        <f t="shared" si="56"/>
        <v>0</v>
      </c>
      <c r="C153">
        <v>762</v>
      </c>
      <c r="D153">
        <f t="shared" si="57"/>
        <v>0</v>
      </c>
      <c r="CC153" t="b">
        <f t="shared" si="58"/>
        <v>0</v>
      </c>
      <c r="CL153" t="s">
        <v>243</v>
      </c>
    </row>
    <row r="154" spans="2:100" x14ac:dyDescent="0.2">
      <c r="B154">
        <f t="shared" si="56"/>
        <v>0</v>
      </c>
      <c r="C154">
        <v>763</v>
      </c>
      <c r="D154">
        <f t="shared" si="57"/>
        <v>0</v>
      </c>
      <c r="CC154" t="b">
        <f t="shared" si="58"/>
        <v>0</v>
      </c>
    </row>
    <row r="155" spans="2:100" x14ac:dyDescent="0.2">
      <c r="B155">
        <f t="shared" si="56"/>
        <v>0</v>
      </c>
      <c r="C155">
        <v>764</v>
      </c>
      <c r="D155">
        <f t="shared" si="57"/>
        <v>0</v>
      </c>
      <c r="CC155" t="b">
        <f t="shared" si="58"/>
        <v>0</v>
      </c>
      <c r="CQ155" t="s">
        <v>2469</v>
      </c>
      <c r="CR155" t="s">
        <v>3463</v>
      </c>
      <c r="CS155" t="s">
        <v>3464</v>
      </c>
      <c r="CT155" t="s">
        <v>3465</v>
      </c>
      <c r="CU155" t="s">
        <v>340</v>
      </c>
      <c r="CV155" t="s">
        <v>3466</v>
      </c>
    </row>
    <row r="156" spans="2:100" x14ac:dyDescent="0.2">
      <c r="B156">
        <f t="shared" si="56"/>
        <v>0</v>
      </c>
      <c r="C156">
        <v>765</v>
      </c>
      <c r="D156">
        <f t="shared" si="57"/>
        <v>0</v>
      </c>
      <c r="CC156" t="b">
        <f t="shared" si="58"/>
        <v>0</v>
      </c>
      <c r="CL156">
        <f t="shared" ref="CL156:CL187" si="59">I14</f>
        <v>0</v>
      </c>
      <c r="CM156" t="str">
        <f t="shared" ref="CM156:CM187" si="60">CONCATENATE(F14,H14)</f>
        <v/>
      </c>
      <c r="CO156" t="s">
        <v>3467</v>
      </c>
      <c r="CP156">
        <f t="shared" ref="CP156:CP168" si="61">SUMIF($CM$156:$CM$215,CO156,$CL$156:$CL$215)</f>
        <v>0</v>
      </c>
      <c r="CU156">
        <f t="shared" ref="CU156:CU168" si="62">CQ156+CR156+CS156+CT156</f>
        <v>0</v>
      </c>
      <c r="CV156">
        <f>IF(CP156&gt;0,1,0)</f>
        <v>0</v>
      </c>
    </row>
    <row r="157" spans="2:100" x14ac:dyDescent="0.2">
      <c r="B157">
        <f t="shared" si="56"/>
        <v>0</v>
      </c>
      <c r="C157">
        <v>766</v>
      </c>
      <c r="D157">
        <f t="shared" si="57"/>
        <v>0</v>
      </c>
      <c r="CC157" t="b">
        <f t="shared" si="58"/>
        <v>0</v>
      </c>
      <c r="CL157">
        <f t="shared" si="59"/>
        <v>0</v>
      </c>
      <c r="CM157" t="str">
        <f t="shared" si="60"/>
        <v/>
      </c>
      <c r="CO157" t="s">
        <v>3468</v>
      </c>
      <c r="CP157">
        <f t="shared" si="61"/>
        <v>0</v>
      </c>
      <c r="CQ157">
        <f t="shared" ref="CQ157:CQ163" si="63">CP157</f>
        <v>0</v>
      </c>
      <c r="CU157">
        <f t="shared" si="62"/>
        <v>0</v>
      </c>
    </row>
    <row r="158" spans="2:100" x14ac:dyDescent="0.2">
      <c r="B158">
        <f t="shared" si="56"/>
        <v>0</v>
      </c>
      <c r="C158">
        <v>767</v>
      </c>
      <c r="D158">
        <f t="shared" si="57"/>
        <v>0</v>
      </c>
      <c r="CC158" t="b">
        <f t="shared" si="58"/>
        <v>0</v>
      </c>
      <c r="CL158">
        <f t="shared" si="59"/>
        <v>0</v>
      </c>
      <c r="CM158" t="str">
        <f t="shared" si="60"/>
        <v/>
      </c>
      <c r="CO158" t="s">
        <v>3469</v>
      </c>
      <c r="CP158">
        <f t="shared" si="61"/>
        <v>0</v>
      </c>
      <c r="CQ158">
        <f t="shared" si="63"/>
        <v>0</v>
      </c>
      <c r="CU158">
        <f t="shared" si="62"/>
        <v>0</v>
      </c>
    </row>
    <row r="159" spans="2:100" x14ac:dyDescent="0.2">
      <c r="B159">
        <f t="shared" si="56"/>
        <v>0</v>
      </c>
      <c r="C159">
        <v>768</v>
      </c>
      <c r="D159">
        <f t="shared" si="57"/>
        <v>0</v>
      </c>
      <c r="CC159" t="b">
        <f t="shared" si="58"/>
        <v>0</v>
      </c>
      <c r="CL159">
        <f t="shared" si="59"/>
        <v>0</v>
      </c>
      <c r="CM159" t="str">
        <f t="shared" si="60"/>
        <v/>
      </c>
      <c r="CO159" t="s">
        <v>3470</v>
      </c>
      <c r="CP159">
        <f t="shared" si="61"/>
        <v>0</v>
      </c>
      <c r="CQ159">
        <f t="shared" si="63"/>
        <v>0</v>
      </c>
      <c r="CU159">
        <f t="shared" si="62"/>
        <v>0</v>
      </c>
    </row>
    <row r="160" spans="2:100" x14ac:dyDescent="0.2">
      <c r="B160">
        <f t="shared" si="56"/>
        <v>0</v>
      </c>
      <c r="C160">
        <v>769</v>
      </c>
      <c r="D160">
        <f t="shared" si="57"/>
        <v>0</v>
      </c>
      <c r="CC160" t="b">
        <f t="shared" si="58"/>
        <v>0</v>
      </c>
      <c r="CL160">
        <f t="shared" si="59"/>
        <v>0</v>
      </c>
      <c r="CM160" t="str">
        <f t="shared" si="60"/>
        <v/>
      </c>
      <c r="CO160" t="s">
        <v>3471</v>
      </c>
      <c r="CP160">
        <f t="shared" si="61"/>
        <v>0</v>
      </c>
      <c r="CQ160">
        <f t="shared" si="63"/>
        <v>0</v>
      </c>
      <c r="CU160">
        <f t="shared" si="62"/>
        <v>0</v>
      </c>
    </row>
    <row r="161" spans="2:100" x14ac:dyDescent="0.2">
      <c r="B161">
        <f t="shared" si="56"/>
        <v>0</v>
      </c>
      <c r="C161">
        <v>770</v>
      </c>
      <c r="D161">
        <f t="shared" si="57"/>
        <v>0</v>
      </c>
      <c r="CC161" t="b">
        <f t="shared" si="58"/>
        <v>0</v>
      </c>
      <c r="CL161">
        <f t="shared" si="59"/>
        <v>0</v>
      </c>
      <c r="CM161" t="str">
        <f t="shared" si="60"/>
        <v/>
      </c>
      <c r="CO161" t="s">
        <v>3472</v>
      </c>
      <c r="CP161">
        <f t="shared" si="61"/>
        <v>0</v>
      </c>
      <c r="CQ161">
        <f t="shared" si="63"/>
        <v>0</v>
      </c>
      <c r="CU161">
        <f t="shared" si="62"/>
        <v>0</v>
      </c>
    </row>
    <row r="162" spans="2:100" x14ac:dyDescent="0.2">
      <c r="B162">
        <f t="shared" si="56"/>
        <v>0</v>
      </c>
      <c r="C162">
        <v>771</v>
      </c>
      <c r="D162">
        <f t="shared" si="57"/>
        <v>0</v>
      </c>
      <c r="CC162" t="b">
        <f t="shared" si="58"/>
        <v>0</v>
      </c>
      <c r="CL162">
        <f t="shared" si="59"/>
        <v>0</v>
      </c>
      <c r="CM162" t="str">
        <f t="shared" si="60"/>
        <v/>
      </c>
      <c r="CO162" t="s">
        <v>3473</v>
      </c>
      <c r="CP162">
        <f t="shared" si="61"/>
        <v>0</v>
      </c>
      <c r="CQ162">
        <f t="shared" si="63"/>
        <v>0</v>
      </c>
      <c r="CU162">
        <f t="shared" si="62"/>
        <v>0</v>
      </c>
    </row>
    <row r="163" spans="2:100" x14ac:dyDescent="0.2">
      <c r="B163">
        <f t="shared" si="56"/>
        <v>0</v>
      </c>
      <c r="C163">
        <v>772</v>
      </c>
      <c r="D163">
        <f t="shared" si="57"/>
        <v>0</v>
      </c>
      <c r="CC163" t="b">
        <f t="shared" si="58"/>
        <v>0</v>
      </c>
      <c r="CL163">
        <f t="shared" si="59"/>
        <v>0</v>
      </c>
      <c r="CM163" t="str">
        <f t="shared" si="60"/>
        <v/>
      </c>
      <c r="CO163" t="s">
        <v>3474</v>
      </c>
      <c r="CP163">
        <f t="shared" si="61"/>
        <v>0</v>
      </c>
      <c r="CQ163">
        <f t="shared" si="63"/>
        <v>0</v>
      </c>
      <c r="CU163">
        <f t="shared" si="62"/>
        <v>0</v>
      </c>
    </row>
    <row r="164" spans="2:100" x14ac:dyDescent="0.2">
      <c r="B164">
        <f t="shared" si="56"/>
        <v>0</v>
      </c>
      <c r="C164">
        <v>773</v>
      </c>
      <c r="D164">
        <f t="shared" si="57"/>
        <v>0</v>
      </c>
      <c r="CC164" t="b">
        <f t="shared" si="58"/>
        <v>0</v>
      </c>
      <c r="CL164">
        <f t="shared" si="59"/>
        <v>0</v>
      </c>
      <c r="CM164" t="str">
        <f t="shared" si="60"/>
        <v/>
      </c>
      <c r="CO164" t="s">
        <v>3475</v>
      </c>
      <c r="CP164">
        <f t="shared" si="61"/>
        <v>0</v>
      </c>
      <c r="CS164">
        <f>CP164</f>
        <v>0</v>
      </c>
      <c r="CU164">
        <f t="shared" si="62"/>
        <v>0</v>
      </c>
    </row>
    <row r="165" spans="2:100" x14ac:dyDescent="0.2">
      <c r="B165">
        <f t="shared" si="56"/>
        <v>0</v>
      </c>
      <c r="C165">
        <v>774</v>
      </c>
      <c r="D165">
        <f t="shared" si="57"/>
        <v>0</v>
      </c>
      <c r="CC165" t="b">
        <f t="shared" si="58"/>
        <v>0</v>
      </c>
      <c r="CL165">
        <f t="shared" si="59"/>
        <v>0</v>
      </c>
      <c r="CM165" t="str">
        <f t="shared" si="60"/>
        <v/>
      </c>
      <c r="CO165" t="s">
        <v>3476</v>
      </c>
      <c r="CP165">
        <f t="shared" si="61"/>
        <v>0</v>
      </c>
      <c r="CQ165">
        <f>CP165</f>
        <v>0</v>
      </c>
      <c r="CU165">
        <f t="shared" si="62"/>
        <v>0</v>
      </c>
    </row>
    <row r="166" spans="2:100" x14ac:dyDescent="0.2">
      <c r="B166">
        <f t="shared" si="56"/>
        <v>0</v>
      </c>
      <c r="C166">
        <v>775</v>
      </c>
      <c r="D166">
        <f t="shared" si="57"/>
        <v>0</v>
      </c>
      <c r="CC166" t="b">
        <f t="shared" si="58"/>
        <v>0</v>
      </c>
      <c r="CL166">
        <f t="shared" si="59"/>
        <v>0</v>
      </c>
      <c r="CM166" t="str">
        <f t="shared" si="60"/>
        <v/>
      </c>
      <c r="CO166" t="s">
        <v>3477</v>
      </c>
      <c r="CP166">
        <f t="shared" si="61"/>
        <v>0</v>
      </c>
      <c r="CT166">
        <f>CP166</f>
        <v>0</v>
      </c>
      <c r="CU166">
        <f t="shared" si="62"/>
        <v>0</v>
      </c>
    </row>
    <row r="167" spans="2:100" x14ac:dyDescent="0.2">
      <c r="B167">
        <f t="shared" si="56"/>
        <v>0</v>
      </c>
      <c r="C167">
        <v>776</v>
      </c>
      <c r="D167">
        <f t="shared" si="57"/>
        <v>0</v>
      </c>
      <c r="CC167" t="b">
        <f t="shared" si="58"/>
        <v>0</v>
      </c>
      <c r="CL167">
        <f t="shared" si="59"/>
        <v>0</v>
      </c>
      <c r="CM167" t="str">
        <f t="shared" si="60"/>
        <v/>
      </c>
      <c r="CO167" t="s">
        <v>3478</v>
      </c>
      <c r="CP167">
        <f t="shared" si="61"/>
        <v>0</v>
      </c>
      <c r="CR167">
        <f>CP167</f>
        <v>0</v>
      </c>
      <c r="CU167">
        <f t="shared" si="62"/>
        <v>0</v>
      </c>
    </row>
    <row r="168" spans="2:100" x14ac:dyDescent="0.2">
      <c r="B168">
        <f t="shared" si="56"/>
        <v>0</v>
      </c>
      <c r="C168">
        <v>777</v>
      </c>
      <c r="D168">
        <f t="shared" si="57"/>
        <v>0</v>
      </c>
      <c r="CC168" t="b">
        <f t="shared" si="58"/>
        <v>0</v>
      </c>
      <c r="CL168">
        <f t="shared" si="59"/>
        <v>0</v>
      </c>
      <c r="CM168" t="str">
        <f t="shared" si="60"/>
        <v/>
      </c>
      <c r="CO168" t="s">
        <v>3479</v>
      </c>
      <c r="CP168">
        <f t="shared" si="61"/>
        <v>0</v>
      </c>
      <c r="CU168">
        <f t="shared" si="62"/>
        <v>0</v>
      </c>
      <c r="CV168">
        <f>IF(CP168&gt;0,1,0)</f>
        <v>0</v>
      </c>
    </row>
    <row r="169" spans="2:100" x14ac:dyDescent="0.2">
      <c r="B169">
        <f t="shared" si="56"/>
        <v>0</v>
      </c>
      <c r="C169">
        <v>778</v>
      </c>
      <c r="D169">
        <f t="shared" si="57"/>
        <v>0</v>
      </c>
      <c r="CC169" t="b">
        <f t="shared" si="58"/>
        <v>0</v>
      </c>
      <c r="CL169">
        <f t="shared" si="59"/>
        <v>0</v>
      </c>
      <c r="CM169" t="str">
        <f t="shared" si="60"/>
        <v/>
      </c>
      <c r="CU169">
        <f>SUM(CU156:CU168)</f>
        <v>0</v>
      </c>
    </row>
    <row r="170" spans="2:100" x14ac:dyDescent="0.2">
      <c r="B170">
        <f t="shared" si="56"/>
        <v>0</v>
      </c>
      <c r="C170">
        <v>779</v>
      </c>
      <c r="D170">
        <f t="shared" si="57"/>
        <v>0</v>
      </c>
      <c r="CC170" t="b">
        <f t="shared" si="58"/>
        <v>0</v>
      </c>
      <c r="CL170">
        <f t="shared" si="59"/>
        <v>0</v>
      </c>
      <c r="CM170" t="str">
        <f t="shared" si="60"/>
        <v/>
      </c>
    </row>
    <row r="171" spans="2:100" x14ac:dyDescent="0.2">
      <c r="B171">
        <f t="shared" ref="B171:B180" si="64">B87</f>
        <v>0</v>
      </c>
      <c r="C171">
        <v>780</v>
      </c>
      <c r="D171">
        <f t="shared" ref="D171:D180" si="65">Z87</f>
        <v>0</v>
      </c>
      <c r="CC171" t="b">
        <f t="shared" ref="CC171:CC180" si="66">IF(AND(D171&lt;0,ISBLANK(E171)),1,IF(AND(D171&lt;0,ISBLANK(G171)),1,IF(AND(D171&lt;0,ISBLANK(H171)),1)))</f>
        <v>0</v>
      </c>
      <c r="CL171">
        <f t="shared" si="59"/>
        <v>0</v>
      </c>
      <c r="CM171" t="str">
        <f t="shared" si="60"/>
        <v/>
      </c>
      <c r="CO171" t="s">
        <v>3480</v>
      </c>
      <c r="CP171">
        <f t="shared" ref="CP171:CP183" si="67">SUMIF($CM$156:$CM$215,CO171,$CL$156:$CL$215)</f>
        <v>0</v>
      </c>
      <c r="CU171">
        <f t="shared" ref="CU171:CU183" si="68">CQ171+CR171+CS171+CT171</f>
        <v>0</v>
      </c>
      <c r="CV171">
        <f>IF(CP171&gt;0,1,0)</f>
        <v>0</v>
      </c>
    </row>
    <row r="172" spans="2:100" x14ac:dyDescent="0.2">
      <c r="B172">
        <f t="shared" si="64"/>
        <v>0</v>
      </c>
      <c r="C172">
        <v>781</v>
      </c>
      <c r="D172">
        <f t="shared" si="65"/>
        <v>0</v>
      </c>
      <c r="CC172" t="b">
        <f t="shared" si="66"/>
        <v>0</v>
      </c>
      <c r="CL172">
        <f t="shared" si="59"/>
        <v>0</v>
      </c>
      <c r="CM172" t="str">
        <f t="shared" si="60"/>
        <v/>
      </c>
      <c r="CO172" t="s">
        <v>3481</v>
      </c>
      <c r="CP172">
        <f t="shared" si="67"/>
        <v>0</v>
      </c>
      <c r="CQ172">
        <f t="shared" ref="CQ172:CQ178" si="69">CP172</f>
        <v>0</v>
      </c>
      <c r="CU172">
        <f t="shared" si="68"/>
        <v>0</v>
      </c>
    </row>
    <row r="173" spans="2:100" x14ac:dyDescent="0.2">
      <c r="B173">
        <f t="shared" si="64"/>
        <v>0</v>
      </c>
      <c r="C173">
        <v>782</v>
      </c>
      <c r="D173">
        <f t="shared" si="65"/>
        <v>0</v>
      </c>
      <c r="CC173" t="b">
        <f t="shared" si="66"/>
        <v>0</v>
      </c>
      <c r="CL173">
        <f t="shared" si="59"/>
        <v>0</v>
      </c>
      <c r="CM173" t="str">
        <f t="shared" si="60"/>
        <v/>
      </c>
      <c r="CO173" t="s">
        <v>3482</v>
      </c>
      <c r="CP173">
        <f t="shared" si="67"/>
        <v>0</v>
      </c>
      <c r="CQ173">
        <f t="shared" si="69"/>
        <v>0</v>
      </c>
      <c r="CU173">
        <f t="shared" si="68"/>
        <v>0</v>
      </c>
    </row>
    <row r="174" spans="2:100" x14ac:dyDescent="0.2">
      <c r="B174">
        <f t="shared" si="64"/>
        <v>0</v>
      </c>
      <c r="C174">
        <v>783</v>
      </c>
      <c r="D174">
        <f t="shared" si="65"/>
        <v>0</v>
      </c>
      <c r="CC174" t="b">
        <f t="shared" si="66"/>
        <v>0</v>
      </c>
      <c r="CL174">
        <f t="shared" si="59"/>
        <v>0</v>
      </c>
      <c r="CM174" t="str">
        <f t="shared" si="60"/>
        <v/>
      </c>
      <c r="CO174" t="s">
        <v>3483</v>
      </c>
      <c r="CP174">
        <f t="shared" si="67"/>
        <v>0</v>
      </c>
      <c r="CQ174">
        <f t="shared" si="69"/>
        <v>0</v>
      </c>
      <c r="CU174">
        <f t="shared" si="68"/>
        <v>0</v>
      </c>
    </row>
    <row r="175" spans="2:100" x14ac:dyDescent="0.2">
      <c r="B175">
        <f t="shared" si="64"/>
        <v>0</v>
      </c>
      <c r="C175">
        <v>784</v>
      </c>
      <c r="D175">
        <f t="shared" si="65"/>
        <v>0</v>
      </c>
      <c r="CC175" t="b">
        <f t="shared" si="66"/>
        <v>0</v>
      </c>
      <c r="CL175">
        <f t="shared" si="59"/>
        <v>0</v>
      </c>
      <c r="CM175" t="str">
        <f t="shared" si="60"/>
        <v/>
      </c>
      <c r="CO175" t="s">
        <v>3484</v>
      </c>
      <c r="CP175">
        <f t="shared" si="67"/>
        <v>0</v>
      </c>
      <c r="CQ175">
        <f t="shared" si="69"/>
        <v>0</v>
      </c>
      <c r="CU175">
        <f t="shared" si="68"/>
        <v>0</v>
      </c>
    </row>
    <row r="176" spans="2:100" x14ac:dyDescent="0.2">
      <c r="B176">
        <f t="shared" si="64"/>
        <v>0</v>
      </c>
      <c r="C176">
        <v>785</v>
      </c>
      <c r="D176">
        <f t="shared" si="65"/>
        <v>0</v>
      </c>
      <c r="CC176" t="b">
        <f t="shared" si="66"/>
        <v>0</v>
      </c>
      <c r="CL176">
        <f t="shared" si="59"/>
        <v>0</v>
      </c>
      <c r="CM176" t="str">
        <f t="shared" si="60"/>
        <v/>
      </c>
      <c r="CO176" t="s">
        <v>3485</v>
      </c>
      <c r="CP176">
        <f t="shared" si="67"/>
        <v>0</v>
      </c>
      <c r="CQ176">
        <f t="shared" si="69"/>
        <v>0</v>
      </c>
      <c r="CU176">
        <f t="shared" si="68"/>
        <v>0</v>
      </c>
    </row>
    <row r="177" spans="2:100" x14ac:dyDescent="0.2">
      <c r="B177">
        <f t="shared" si="64"/>
        <v>0</v>
      </c>
      <c r="C177">
        <v>786</v>
      </c>
      <c r="D177">
        <f t="shared" si="65"/>
        <v>0</v>
      </c>
      <c r="CC177" t="b">
        <f t="shared" si="66"/>
        <v>0</v>
      </c>
      <c r="CL177">
        <f t="shared" si="59"/>
        <v>0</v>
      </c>
      <c r="CM177" t="str">
        <f t="shared" si="60"/>
        <v/>
      </c>
      <c r="CO177" t="s">
        <v>3486</v>
      </c>
      <c r="CP177">
        <f t="shared" si="67"/>
        <v>0</v>
      </c>
      <c r="CQ177">
        <f t="shared" si="69"/>
        <v>0</v>
      </c>
      <c r="CU177">
        <f t="shared" si="68"/>
        <v>0</v>
      </c>
    </row>
    <row r="178" spans="2:100" x14ac:dyDescent="0.2">
      <c r="B178">
        <f t="shared" si="64"/>
        <v>0</v>
      </c>
      <c r="C178">
        <v>787</v>
      </c>
      <c r="D178">
        <f t="shared" si="65"/>
        <v>0</v>
      </c>
      <c r="CC178" t="b">
        <f t="shared" si="66"/>
        <v>0</v>
      </c>
      <c r="CL178">
        <f t="shared" si="59"/>
        <v>0</v>
      </c>
      <c r="CM178" t="str">
        <f t="shared" si="60"/>
        <v/>
      </c>
      <c r="CO178" t="s">
        <v>3487</v>
      </c>
      <c r="CP178">
        <f t="shared" si="67"/>
        <v>0</v>
      </c>
      <c r="CQ178">
        <f t="shared" si="69"/>
        <v>0</v>
      </c>
      <c r="CU178">
        <f t="shared" si="68"/>
        <v>0</v>
      </c>
    </row>
    <row r="179" spans="2:100" x14ac:dyDescent="0.2">
      <c r="B179">
        <f t="shared" si="64"/>
        <v>0</v>
      </c>
      <c r="C179">
        <v>788</v>
      </c>
      <c r="D179">
        <f t="shared" si="65"/>
        <v>0</v>
      </c>
      <c r="CC179" t="b">
        <f t="shared" si="66"/>
        <v>0</v>
      </c>
      <c r="CL179">
        <f t="shared" si="59"/>
        <v>0</v>
      </c>
      <c r="CM179" t="str">
        <f t="shared" si="60"/>
        <v/>
      </c>
      <c r="CO179" t="s">
        <v>3488</v>
      </c>
      <c r="CP179">
        <f t="shared" si="67"/>
        <v>0</v>
      </c>
      <c r="CS179">
        <f>CP179</f>
        <v>0</v>
      </c>
      <c r="CU179">
        <f t="shared" si="68"/>
        <v>0</v>
      </c>
    </row>
    <row r="180" spans="2:100" x14ac:dyDescent="0.2">
      <c r="B180">
        <f t="shared" si="64"/>
        <v>0</v>
      </c>
      <c r="C180">
        <v>789</v>
      </c>
      <c r="D180">
        <f t="shared" si="65"/>
        <v>0</v>
      </c>
      <c r="CC180" t="b">
        <f t="shared" si="66"/>
        <v>0</v>
      </c>
      <c r="CL180">
        <f t="shared" si="59"/>
        <v>0</v>
      </c>
      <c r="CM180" t="str">
        <f t="shared" si="60"/>
        <v/>
      </c>
      <c r="CO180" t="s">
        <v>3489</v>
      </c>
      <c r="CP180">
        <f t="shared" si="67"/>
        <v>0</v>
      </c>
      <c r="CQ180">
        <f>CP180</f>
        <v>0</v>
      </c>
      <c r="CU180">
        <f t="shared" si="68"/>
        <v>0</v>
      </c>
    </row>
    <row r="181" spans="2:100" x14ac:dyDescent="0.2">
      <c r="CL181">
        <f t="shared" si="59"/>
        <v>0</v>
      </c>
      <c r="CM181" t="str">
        <f t="shared" si="60"/>
        <v/>
      </c>
      <c r="CO181" t="s">
        <v>3490</v>
      </c>
      <c r="CP181">
        <f t="shared" si="67"/>
        <v>0</v>
      </c>
      <c r="CT181">
        <f>CP181</f>
        <v>0</v>
      </c>
      <c r="CU181">
        <f t="shared" si="68"/>
        <v>0</v>
      </c>
    </row>
    <row r="182" spans="2:100" x14ac:dyDescent="0.2">
      <c r="D182" t="s">
        <v>3452</v>
      </c>
      <c r="E182" t="s">
        <v>3491</v>
      </c>
      <c r="F182" t="s">
        <v>3492</v>
      </c>
      <c r="CL182">
        <f t="shared" si="59"/>
        <v>0</v>
      </c>
      <c r="CM182" t="str">
        <f t="shared" si="60"/>
        <v/>
      </c>
      <c r="CO182" t="s">
        <v>3493</v>
      </c>
      <c r="CP182">
        <f t="shared" si="67"/>
        <v>0</v>
      </c>
      <c r="CR182">
        <f>CP182</f>
        <v>0</v>
      </c>
      <c r="CU182">
        <f t="shared" si="68"/>
        <v>0</v>
      </c>
    </row>
    <row r="183" spans="2:100" x14ac:dyDescent="0.2">
      <c r="B183" t="s">
        <v>3494</v>
      </c>
      <c r="CL183">
        <f t="shared" si="59"/>
        <v>0</v>
      </c>
      <c r="CM183" t="str">
        <f t="shared" si="60"/>
        <v/>
      </c>
      <c r="CO183" t="s">
        <v>3495</v>
      </c>
      <c r="CP183">
        <f t="shared" si="67"/>
        <v>0</v>
      </c>
      <c r="CU183">
        <f t="shared" si="68"/>
        <v>0</v>
      </c>
      <c r="CV183">
        <f>IF(CP183&gt;0,1,0)</f>
        <v>0</v>
      </c>
    </row>
    <row r="184" spans="2:100" x14ac:dyDescent="0.2">
      <c r="B184">
        <f t="shared" ref="B184:B215" si="70">IF(Z14&gt;=$D$149,B14,0)</f>
        <v>0</v>
      </c>
      <c r="C184">
        <v>860</v>
      </c>
      <c r="D184">
        <f t="shared" ref="D184:D215" si="71">IF(Z14&gt;=$D$149,Z14,0)</f>
        <v>0</v>
      </c>
      <c r="CC184" t="b">
        <f t="shared" ref="CC184:CC215" si="72">IF(AND(D184&gt;0,ISBLANK(E184)),1,IF(AND(D184&gt;0,ISBLANK(F184)),1))</f>
        <v>0</v>
      </c>
      <c r="CL184">
        <f t="shared" si="59"/>
        <v>0</v>
      </c>
      <c r="CM184" t="str">
        <f t="shared" si="60"/>
        <v/>
      </c>
      <c r="CQ184">
        <f>SUM(CQ171:CQ183)</f>
        <v>0</v>
      </c>
    </row>
    <row r="185" spans="2:100" x14ac:dyDescent="0.2">
      <c r="B185">
        <f t="shared" si="70"/>
        <v>0</v>
      </c>
      <c r="C185">
        <v>870</v>
      </c>
      <c r="D185">
        <f t="shared" si="71"/>
        <v>0</v>
      </c>
      <c r="CC185" t="b">
        <f t="shared" si="72"/>
        <v>0</v>
      </c>
      <c r="CL185">
        <f t="shared" si="59"/>
        <v>0</v>
      </c>
      <c r="CM185" t="str">
        <f t="shared" si="60"/>
        <v/>
      </c>
    </row>
    <row r="186" spans="2:100" x14ac:dyDescent="0.2">
      <c r="B186">
        <f t="shared" si="70"/>
        <v>0</v>
      </c>
      <c r="C186">
        <v>880</v>
      </c>
      <c r="D186">
        <f t="shared" si="71"/>
        <v>0</v>
      </c>
      <c r="CC186" t="b">
        <f t="shared" si="72"/>
        <v>0</v>
      </c>
      <c r="CL186">
        <f t="shared" si="59"/>
        <v>0</v>
      </c>
      <c r="CM186" t="str">
        <f t="shared" si="60"/>
        <v/>
      </c>
      <c r="CO186" t="s">
        <v>3496</v>
      </c>
      <c r="CP186">
        <f t="shared" ref="CP186:CP198" si="73">SUMIF($CM$156:$CM$215,CO186,$CL$156:$CL$215)</f>
        <v>0</v>
      </c>
      <c r="CU186">
        <f t="shared" ref="CU186:CU198" si="74">CQ186+CR186+CS186+CT186</f>
        <v>0</v>
      </c>
    </row>
    <row r="187" spans="2:100" x14ac:dyDescent="0.2">
      <c r="B187">
        <f t="shared" si="70"/>
        <v>0</v>
      </c>
      <c r="C187">
        <v>890</v>
      </c>
      <c r="D187">
        <f t="shared" si="71"/>
        <v>0</v>
      </c>
      <c r="CC187" t="b">
        <f t="shared" si="72"/>
        <v>0</v>
      </c>
      <c r="CL187">
        <f t="shared" si="59"/>
        <v>0</v>
      </c>
      <c r="CM187" t="str">
        <f t="shared" si="60"/>
        <v/>
      </c>
      <c r="CO187" t="s">
        <v>3497</v>
      </c>
      <c r="CP187">
        <f t="shared" si="73"/>
        <v>0</v>
      </c>
      <c r="CQ187">
        <f t="shared" ref="CQ187:CQ193" si="75">CP187</f>
        <v>0</v>
      </c>
      <c r="CU187">
        <f t="shared" si="74"/>
        <v>0</v>
      </c>
      <c r="CV187">
        <f>IF(CP187&gt;0,1,0)</f>
        <v>0</v>
      </c>
    </row>
    <row r="188" spans="2:100" x14ac:dyDescent="0.2">
      <c r="B188">
        <f t="shared" si="70"/>
        <v>0</v>
      </c>
      <c r="C188">
        <v>900</v>
      </c>
      <c r="D188">
        <f t="shared" si="71"/>
        <v>0</v>
      </c>
      <c r="CC188" t="b">
        <f t="shared" si="72"/>
        <v>0</v>
      </c>
      <c r="CO188" t="s">
        <v>3498</v>
      </c>
      <c r="CP188">
        <f t="shared" si="73"/>
        <v>0</v>
      </c>
      <c r="CQ188">
        <f t="shared" si="75"/>
        <v>0</v>
      </c>
      <c r="CU188">
        <f t="shared" si="74"/>
        <v>0</v>
      </c>
      <c r="CV188">
        <f>IF(CP188&gt;0,1,0)</f>
        <v>0</v>
      </c>
    </row>
    <row r="189" spans="2:100" x14ac:dyDescent="0.2">
      <c r="B189">
        <f t="shared" si="70"/>
        <v>0</v>
      </c>
      <c r="C189">
        <v>910</v>
      </c>
      <c r="D189">
        <f t="shared" si="71"/>
        <v>0</v>
      </c>
      <c r="CC189" t="b">
        <f t="shared" si="72"/>
        <v>0</v>
      </c>
      <c r="CL189">
        <f t="shared" ref="CL189:CL208" si="76">I47</f>
        <v>0</v>
      </c>
      <c r="CM189" t="str">
        <f t="shared" ref="CM189:CM208" si="77">CONCATENATE(F47,H47)</f>
        <v/>
      </c>
      <c r="CO189" t="s">
        <v>3499</v>
      </c>
      <c r="CP189">
        <f t="shared" si="73"/>
        <v>0</v>
      </c>
      <c r="CQ189">
        <f t="shared" si="75"/>
        <v>0</v>
      </c>
      <c r="CU189">
        <f t="shared" si="74"/>
        <v>0</v>
      </c>
      <c r="CV189">
        <f>IF(CP189&gt;0,1,0)</f>
        <v>0</v>
      </c>
    </row>
    <row r="190" spans="2:100" x14ac:dyDescent="0.2">
      <c r="B190">
        <f t="shared" si="70"/>
        <v>0</v>
      </c>
      <c r="C190">
        <v>920</v>
      </c>
      <c r="D190">
        <f t="shared" si="71"/>
        <v>0</v>
      </c>
      <c r="CC190" t="b">
        <f t="shared" si="72"/>
        <v>0</v>
      </c>
      <c r="CL190">
        <f t="shared" si="76"/>
        <v>0</v>
      </c>
      <c r="CM190" t="str">
        <f t="shared" si="77"/>
        <v/>
      </c>
      <c r="CO190" t="s">
        <v>3500</v>
      </c>
      <c r="CP190">
        <f t="shared" si="73"/>
        <v>0</v>
      </c>
      <c r="CQ190">
        <f t="shared" si="75"/>
        <v>0</v>
      </c>
      <c r="CU190">
        <f t="shared" si="74"/>
        <v>0</v>
      </c>
      <c r="CV190">
        <f>IF(CP190&gt;0,1,0)</f>
        <v>0</v>
      </c>
    </row>
    <row r="191" spans="2:100" x14ac:dyDescent="0.2">
      <c r="B191">
        <f t="shared" si="70"/>
        <v>0</v>
      </c>
      <c r="C191">
        <v>930</v>
      </c>
      <c r="D191">
        <f t="shared" si="71"/>
        <v>0</v>
      </c>
      <c r="CC191" t="b">
        <f t="shared" si="72"/>
        <v>0</v>
      </c>
      <c r="CL191">
        <f t="shared" si="76"/>
        <v>0</v>
      </c>
      <c r="CM191" t="str">
        <f t="shared" si="77"/>
        <v/>
      </c>
      <c r="CO191" t="s">
        <v>3501</v>
      </c>
      <c r="CP191">
        <f t="shared" si="73"/>
        <v>0</v>
      </c>
      <c r="CQ191">
        <f t="shared" si="75"/>
        <v>0</v>
      </c>
      <c r="CU191">
        <f t="shared" si="74"/>
        <v>0</v>
      </c>
      <c r="CV191">
        <f>IF(CP191&gt;0,1,0)</f>
        <v>0</v>
      </c>
    </row>
    <row r="192" spans="2:100" x14ac:dyDescent="0.2">
      <c r="B192">
        <f t="shared" si="70"/>
        <v>0</v>
      </c>
      <c r="C192">
        <v>940</v>
      </c>
      <c r="D192">
        <f t="shared" si="71"/>
        <v>0</v>
      </c>
      <c r="CC192" t="b">
        <f t="shared" si="72"/>
        <v>0</v>
      </c>
      <c r="CL192">
        <f t="shared" si="76"/>
        <v>0</v>
      </c>
      <c r="CM192" t="str">
        <f t="shared" si="77"/>
        <v/>
      </c>
      <c r="CO192" t="s">
        <v>3502</v>
      </c>
      <c r="CP192">
        <f t="shared" si="73"/>
        <v>0</v>
      </c>
      <c r="CQ192">
        <f t="shared" si="75"/>
        <v>0</v>
      </c>
      <c r="CU192">
        <f t="shared" si="74"/>
        <v>0</v>
      </c>
    </row>
    <row r="193" spans="2:100" x14ac:dyDescent="0.2">
      <c r="B193">
        <f t="shared" si="70"/>
        <v>0</v>
      </c>
      <c r="C193">
        <v>950</v>
      </c>
      <c r="D193">
        <f t="shared" si="71"/>
        <v>0</v>
      </c>
      <c r="CC193" t="b">
        <f t="shared" si="72"/>
        <v>0</v>
      </c>
      <c r="CL193">
        <f t="shared" si="76"/>
        <v>0</v>
      </c>
      <c r="CM193" t="str">
        <f t="shared" si="77"/>
        <v/>
      </c>
      <c r="CO193" t="s">
        <v>3503</v>
      </c>
      <c r="CP193">
        <f t="shared" si="73"/>
        <v>0</v>
      </c>
      <c r="CQ193">
        <f t="shared" si="75"/>
        <v>0</v>
      </c>
      <c r="CU193">
        <f t="shared" si="74"/>
        <v>0</v>
      </c>
      <c r="CV193">
        <f>IF(CP193&gt;0,1,0)</f>
        <v>0</v>
      </c>
    </row>
    <row r="194" spans="2:100" x14ac:dyDescent="0.2">
      <c r="B194">
        <f t="shared" si="70"/>
        <v>0</v>
      </c>
      <c r="C194">
        <v>960</v>
      </c>
      <c r="D194">
        <f t="shared" si="71"/>
        <v>0</v>
      </c>
      <c r="CC194" t="b">
        <f t="shared" si="72"/>
        <v>0</v>
      </c>
      <c r="CL194">
        <f t="shared" si="76"/>
        <v>0</v>
      </c>
      <c r="CM194" t="str">
        <f t="shared" si="77"/>
        <v/>
      </c>
      <c r="CO194" t="s">
        <v>3504</v>
      </c>
      <c r="CP194">
        <f t="shared" si="73"/>
        <v>0</v>
      </c>
      <c r="CS194">
        <f>CP194</f>
        <v>0</v>
      </c>
      <c r="CU194">
        <f t="shared" si="74"/>
        <v>0</v>
      </c>
      <c r="CV194">
        <f>IF(CP194&gt;0,1,0)</f>
        <v>0</v>
      </c>
    </row>
    <row r="195" spans="2:100" x14ac:dyDescent="0.2">
      <c r="B195">
        <f t="shared" si="70"/>
        <v>0</v>
      </c>
      <c r="C195">
        <v>970</v>
      </c>
      <c r="D195">
        <f t="shared" si="71"/>
        <v>0</v>
      </c>
      <c r="CC195" t="b">
        <f t="shared" si="72"/>
        <v>0</v>
      </c>
      <c r="CL195">
        <f t="shared" si="76"/>
        <v>0</v>
      </c>
      <c r="CM195" t="str">
        <f t="shared" si="77"/>
        <v/>
      </c>
      <c r="CO195" t="s">
        <v>3505</v>
      </c>
      <c r="CP195">
        <f t="shared" si="73"/>
        <v>0</v>
      </c>
      <c r="CQ195">
        <f>CP195</f>
        <v>0</v>
      </c>
      <c r="CU195">
        <f t="shared" si="74"/>
        <v>0</v>
      </c>
      <c r="CV195">
        <f>IF(CP195&gt;0,1,0)</f>
        <v>0</v>
      </c>
    </row>
    <row r="196" spans="2:100" x14ac:dyDescent="0.2">
      <c r="B196">
        <f t="shared" si="70"/>
        <v>0</v>
      </c>
      <c r="C196">
        <v>980</v>
      </c>
      <c r="D196">
        <f t="shared" si="71"/>
        <v>0</v>
      </c>
      <c r="CC196" t="b">
        <f t="shared" si="72"/>
        <v>0</v>
      </c>
      <c r="CL196">
        <f t="shared" si="76"/>
        <v>0</v>
      </c>
      <c r="CM196" t="str">
        <f t="shared" si="77"/>
        <v/>
      </c>
      <c r="CO196" t="s">
        <v>3506</v>
      </c>
      <c r="CP196">
        <f t="shared" si="73"/>
        <v>0</v>
      </c>
      <c r="CT196">
        <f>CP196</f>
        <v>0</v>
      </c>
      <c r="CU196">
        <f t="shared" si="74"/>
        <v>0</v>
      </c>
      <c r="CV196">
        <f>IF(CP196&gt;0,1,0)</f>
        <v>0</v>
      </c>
    </row>
    <row r="197" spans="2:100" x14ac:dyDescent="0.2">
      <c r="B197">
        <f t="shared" si="70"/>
        <v>0</v>
      </c>
      <c r="C197">
        <v>990</v>
      </c>
      <c r="D197">
        <f t="shared" si="71"/>
        <v>0</v>
      </c>
      <c r="CC197" t="b">
        <f t="shared" si="72"/>
        <v>0</v>
      </c>
      <c r="CL197">
        <f t="shared" si="76"/>
        <v>0</v>
      </c>
      <c r="CM197" t="str">
        <f t="shared" si="77"/>
        <v/>
      </c>
      <c r="CO197" t="s">
        <v>3507</v>
      </c>
      <c r="CP197">
        <f t="shared" si="73"/>
        <v>0</v>
      </c>
      <c r="CR197">
        <f>CP197</f>
        <v>0</v>
      </c>
      <c r="CU197">
        <f t="shared" si="74"/>
        <v>0</v>
      </c>
      <c r="CV197">
        <f>IF(CP197&gt;0,1,0)</f>
        <v>0</v>
      </c>
    </row>
    <row r="198" spans="2:100" x14ac:dyDescent="0.2">
      <c r="B198">
        <f t="shared" si="70"/>
        <v>0</v>
      </c>
      <c r="C198">
        <v>1000</v>
      </c>
      <c r="D198">
        <f t="shared" si="71"/>
        <v>0</v>
      </c>
      <c r="CC198" t="b">
        <f t="shared" si="72"/>
        <v>0</v>
      </c>
      <c r="CL198">
        <f t="shared" si="76"/>
        <v>0</v>
      </c>
      <c r="CM198" t="str">
        <f t="shared" si="77"/>
        <v/>
      </c>
      <c r="CO198" t="s">
        <v>3508</v>
      </c>
      <c r="CP198">
        <f t="shared" si="73"/>
        <v>0</v>
      </c>
      <c r="CU198">
        <f t="shared" si="74"/>
        <v>0</v>
      </c>
    </row>
    <row r="199" spans="2:100" x14ac:dyDescent="0.2">
      <c r="B199">
        <f t="shared" si="70"/>
        <v>0</v>
      </c>
      <c r="C199">
        <v>1010</v>
      </c>
      <c r="D199">
        <f t="shared" si="71"/>
        <v>0</v>
      </c>
      <c r="CC199" t="b">
        <f t="shared" si="72"/>
        <v>0</v>
      </c>
      <c r="CL199">
        <f t="shared" si="76"/>
        <v>0</v>
      </c>
      <c r="CM199" t="str">
        <f t="shared" si="77"/>
        <v/>
      </c>
    </row>
    <row r="200" spans="2:100" x14ac:dyDescent="0.2">
      <c r="B200">
        <f t="shared" si="70"/>
        <v>0</v>
      </c>
      <c r="C200">
        <v>1020</v>
      </c>
      <c r="D200">
        <f t="shared" si="71"/>
        <v>0</v>
      </c>
      <c r="CC200" t="b">
        <f t="shared" si="72"/>
        <v>0</v>
      </c>
      <c r="CL200">
        <f t="shared" si="76"/>
        <v>0</v>
      </c>
      <c r="CM200" t="str">
        <f t="shared" si="77"/>
        <v/>
      </c>
      <c r="CO200" t="s">
        <v>3509</v>
      </c>
    </row>
    <row r="201" spans="2:100" x14ac:dyDescent="0.2">
      <c r="B201">
        <f t="shared" si="70"/>
        <v>0</v>
      </c>
      <c r="C201">
        <v>1030</v>
      </c>
      <c r="D201">
        <f t="shared" si="71"/>
        <v>0</v>
      </c>
      <c r="CC201" t="b">
        <f t="shared" si="72"/>
        <v>0</v>
      </c>
      <c r="CL201">
        <f t="shared" si="76"/>
        <v>0</v>
      </c>
      <c r="CM201" t="str">
        <f t="shared" si="77"/>
        <v/>
      </c>
    </row>
    <row r="202" spans="2:100" x14ac:dyDescent="0.2">
      <c r="B202">
        <f t="shared" si="70"/>
        <v>0</v>
      </c>
      <c r="C202">
        <v>1040</v>
      </c>
      <c r="D202">
        <f t="shared" si="71"/>
        <v>0</v>
      </c>
      <c r="CC202" t="b">
        <f t="shared" si="72"/>
        <v>0</v>
      </c>
      <c r="CL202">
        <f t="shared" si="76"/>
        <v>0</v>
      </c>
      <c r="CM202" t="str">
        <f t="shared" si="77"/>
        <v/>
      </c>
      <c r="CO202" t="s">
        <v>3510</v>
      </c>
      <c r="CP202">
        <f>V$127+V$128+V$129+V$130+V$131+V$132+V$133+V$135</f>
        <v>0</v>
      </c>
    </row>
    <row r="203" spans="2:100" x14ac:dyDescent="0.2">
      <c r="B203">
        <f t="shared" si="70"/>
        <v>0</v>
      </c>
      <c r="C203">
        <v>1050</v>
      </c>
      <c r="D203">
        <f t="shared" si="71"/>
        <v>0</v>
      </c>
      <c r="CC203" t="b">
        <f t="shared" si="72"/>
        <v>0</v>
      </c>
      <c r="CL203">
        <f t="shared" si="76"/>
        <v>0</v>
      </c>
      <c r="CM203" t="str">
        <f t="shared" si="77"/>
        <v/>
      </c>
      <c r="CO203" t="s">
        <v>3511</v>
      </c>
      <c r="CP203">
        <f>W$127+W$128+W$129+W$130+W$131+W$132+W$133+W$135</f>
        <v>0</v>
      </c>
    </row>
    <row r="204" spans="2:100" x14ac:dyDescent="0.2">
      <c r="B204">
        <f t="shared" si="70"/>
        <v>0</v>
      </c>
      <c r="C204">
        <v>1060</v>
      </c>
      <c r="D204">
        <f t="shared" si="71"/>
        <v>0</v>
      </c>
      <c r="CC204" t="b">
        <f t="shared" si="72"/>
        <v>0</v>
      </c>
      <c r="CL204">
        <f t="shared" si="76"/>
        <v>0</v>
      </c>
      <c r="CM204" t="str">
        <f t="shared" si="77"/>
        <v/>
      </c>
      <c r="CO204" t="s">
        <v>3512</v>
      </c>
      <c r="CP204">
        <f>X$127+X$128+X$129+X$130+X$131+X$132+X$133+X$135</f>
        <v>0</v>
      </c>
    </row>
    <row r="205" spans="2:100" x14ac:dyDescent="0.2">
      <c r="B205">
        <f t="shared" si="70"/>
        <v>0</v>
      </c>
      <c r="C205">
        <v>1070</v>
      </c>
      <c r="D205">
        <f t="shared" si="71"/>
        <v>0</v>
      </c>
      <c r="CC205" t="b">
        <f t="shared" si="72"/>
        <v>0</v>
      </c>
      <c r="CL205">
        <f t="shared" si="76"/>
        <v>0</v>
      </c>
      <c r="CM205" t="str">
        <f t="shared" si="77"/>
        <v/>
      </c>
      <c r="CO205" t="s">
        <v>3513</v>
      </c>
      <c r="CP205">
        <f>Y$127+Y$128+Y$129+Y$130+Y$131+Y$132+Y$133+Y$135</f>
        <v>0</v>
      </c>
    </row>
    <row r="206" spans="2:100" x14ac:dyDescent="0.2">
      <c r="B206">
        <f t="shared" si="70"/>
        <v>0</v>
      </c>
      <c r="C206">
        <v>1080</v>
      </c>
      <c r="D206">
        <f t="shared" si="71"/>
        <v>0</v>
      </c>
      <c r="CC206" t="b">
        <f t="shared" si="72"/>
        <v>0</v>
      </c>
      <c r="CL206">
        <f t="shared" si="76"/>
        <v>0</v>
      </c>
      <c r="CM206" t="str">
        <f t="shared" si="77"/>
        <v/>
      </c>
    </row>
    <row r="207" spans="2:100" x14ac:dyDescent="0.2">
      <c r="B207">
        <f t="shared" si="70"/>
        <v>0</v>
      </c>
      <c r="C207">
        <v>1090</v>
      </c>
      <c r="D207">
        <f t="shared" si="71"/>
        <v>0</v>
      </c>
      <c r="CC207" t="b">
        <f t="shared" si="72"/>
        <v>0</v>
      </c>
      <c r="CL207">
        <f t="shared" si="76"/>
        <v>0</v>
      </c>
      <c r="CM207" t="str">
        <f t="shared" si="77"/>
        <v/>
      </c>
    </row>
    <row r="208" spans="2:100" x14ac:dyDescent="0.2">
      <c r="B208">
        <f t="shared" si="70"/>
        <v>0</v>
      </c>
      <c r="C208">
        <v>1100</v>
      </c>
      <c r="D208">
        <f t="shared" si="71"/>
        <v>0</v>
      </c>
      <c r="CC208" t="b">
        <f t="shared" si="72"/>
        <v>0</v>
      </c>
      <c r="CL208">
        <f t="shared" si="76"/>
        <v>0</v>
      </c>
      <c r="CM208" t="str">
        <f t="shared" si="77"/>
        <v/>
      </c>
    </row>
    <row r="209" spans="2:91" x14ac:dyDescent="0.2">
      <c r="B209">
        <f t="shared" si="70"/>
        <v>0</v>
      </c>
      <c r="C209">
        <v>1110</v>
      </c>
      <c r="D209">
        <f t="shared" si="71"/>
        <v>0</v>
      </c>
      <c r="CC209" t="b">
        <f t="shared" si="72"/>
        <v>0</v>
      </c>
    </row>
    <row r="210" spans="2:91" x14ac:dyDescent="0.2">
      <c r="B210">
        <f t="shared" si="70"/>
        <v>0</v>
      </c>
      <c r="C210">
        <v>1120</v>
      </c>
      <c r="D210">
        <f t="shared" si="71"/>
        <v>0</v>
      </c>
      <c r="CC210" t="b">
        <f t="shared" si="72"/>
        <v>0</v>
      </c>
    </row>
    <row r="211" spans="2:91" x14ac:dyDescent="0.2">
      <c r="B211">
        <f t="shared" si="70"/>
        <v>0</v>
      </c>
      <c r="C211">
        <v>1130</v>
      </c>
      <c r="D211">
        <f t="shared" si="71"/>
        <v>0</v>
      </c>
      <c r="CC211" t="b">
        <f t="shared" si="72"/>
        <v>0</v>
      </c>
      <c r="CL211">
        <f>I69</f>
        <v>0</v>
      </c>
      <c r="CM211" t="str">
        <f>CONCATENATE(F69,H69)</f>
        <v>Non central</v>
      </c>
    </row>
    <row r="212" spans="2:91" x14ac:dyDescent="0.2">
      <c r="B212">
        <f t="shared" si="70"/>
        <v>0</v>
      </c>
      <c r="C212">
        <v>1140</v>
      </c>
      <c r="D212">
        <f t="shared" si="71"/>
        <v>0</v>
      </c>
      <c r="CC212" t="b">
        <f t="shared" si="72"/>
        <v>0</v>
      </c>
      <c r="CL212">
        <f>I70</f>
        <v>0</v>
      </c>
      <c r="CM212" t="str">
        <f>CONCATENATE(F70,H70)</f>
        <v>Non central</v>
      </c>
    </row>
    <row r="213" spans="2:91" x14ac:dyDescent="0.2">
      <c r="B213">
        <f t="shared" si="70"/>
        <v>0</v>
      </c>
      <c r="C213">
        <v>1150</v>
      </c>
      <c r="D213">
        <f t="shared" si="71"/>
        <v>0</v>
      </c>
      <c r="CC213" t="b">
        <f t="shared" si="72"/>
        <v>0</v>
      </c>
      <c r="CL213">
        <f>I71</f>
        <v>0</v>
      </c>
      <c r="CM213" t="str">
        <f>CONCATENATE(F71,H71)</f>
        <v>Non central</v>
      </c>
    </row>
    <row r="214" spans="2:91" x14ac:dyDescent="0.2">
      <c r="B214">
        <f t="shared" si="70"/>
        <v>0</v>
      </c>
      <c r="C214">
        <v>1160</v>
      </c>
      <c r="D214">
        <f t="shared" si="71"/>
        <v>0</v>
      </c>
      <c r="CC214" t="b">
        <f t="shared" si="72"/>
        <v>0</v>
      </c>
      <c r="CL214">
        <f>I72</f>
        <v>0</v>
      </c>
      <c r="CM214" t="str">
        <f>CONCATENATE(F72,H72)</f>
        <v>Non central</v>
      </c>
    </row>
    <row r="215" spans="2:91" x14ac:dyDescent="0.2">
      <c r="B215">
        <f t="shared" si="70"/>
        <v>0</v>
      </c>
      <c r="C215">
        <v>1170</v>
      </c>
      <c r="D215">
        <f t="shared" si="71"/>
        <v>0</v>
      </c>
      <c r="CC215" t="b">
        <f t="shared" si="72"/>
        <v>0</v>
      </c>
    </row>
    <row r="216" spans="2:91" x14ac:dyDescent="0.2">
      <c r="B216">
        <f t="shared" ref="B216:B225" si="78">IF(-Z76&gt;=$D$149,B76,0)</f>
        <v>0</v>
      </c>
      <c r="C216">
        <v>1180</v>
      </c>
      <c r="D216">
        <f t="shared" ref="D216:D225" si="79">IF(-Z76&gt;=$D$149,Z76,0)</f>
        <v>0</v>
      </c>
      <c r="CC216" t="b">
        <f t="shared" ref="CC216:CC225" si="80">IF(AND(D216&lt;0,ISBLANK(E216)),1,IF(AND(D216&lt;0,ISBLANK(F216)),1))</f>
        <v>0</v>
      </c>
    </row>
    <row r="217" spans="2:91" x14ac:dyDescent="0.2">
      <c r="B217">
        <f t="shared" si="78"/>
        <v>0</v>
      </c>
      <c r="C217">
        <v>1190</v>
      </c>
      <c r="D217">
        <f t="shared" si="79"/>
        <v>0</v>
      </c>
      <c r="CC217" t="b">
        <f t="shared" si="80"/>
        <v>0</v>
      </c>
    </row>
    <row r="218" spans="2:91" x14ac:dyDescent="0.2">
      <c r="B218">
        <f t="shared" si="78"/>
        <v>0</v>
      </c>
      <c r="C218">
        <v>2000</v>
      </c>
      <c r="D218">
        <f t="shared" si="79"/>
        <v>0</v>
      </c>
      <c r="CC218" t="b">
        <f t="shared" si="80"/>
        <v>0</v>
      </c>
    </row>
    <row r="219" spans="2:91" x14ac:dyDescent="0.2">
      <c r="B219">
        <f t="shared" si="78"/>
        <v>0</v>
      </c>
      <c r="C219">
        <v>2010</v>
      </c>
      <c r="D219">
        <f t="shared" si="79"/>
        <v>0</v>
      </c>
      <c r="CC219" t="b">
        <f t="shared" si="80"/>
        <v>0</v>
      </c>
    </row>
    <row r="220" spans="2:91" x14ac:dyDescent="0.2">
      <c r="B220">
        <f t="shared" si="78"/>
        <v>0</v>
      </c>
      <c r="C220">
        <v>2020</v>
      </c>
      <c r="D220">
        <f t="shared" si="79"/>
        <v>0</v>
      </c>
      <c r="CC220" t="b">
        <f t="shared" si="80"/>
        <v>0</v>
      </c>
    </row>
    <row r="221" spans="2:91" x14ac:dyDescent="0.2">
      <c r="B221">
        <f t="shared" si="78"/>
        <v>0</v>
      </c>
      <c r="C221">
        <v>2030</v>
      </c>
      <c r="D221">
        <f t="shared" si="79"/>
        <v>0</v>
      </c>
      <c r="CC221" t="b">
        <f t="shared" si="80"/>
        <v>0</v>
      </c>
    </row>
    <row r="222" spans="2:91" x14ac:dyDescent="0.2">
      <c r="B222">
        <f t="shared" si="78"/>
        <v>0</v>
      </c>
      <c r="C222">
        <v>2040</v>
      </c>
      <c r="D222">
        <f t="shared" si="79"/>
        <v>0</v>
      </c>
      <c r="CC222" t="b">
        <f t="shared" si="80"/>
        <v>0</v>
      </c>
    </row>
    <row r="223" spans="2:91" x14ac:dyDescent="0.2">
      <c r="B223">
        <f t="shared" si="78"/>
        <v>0</v>
      </c>
      <c r="C223">
        <v>2050</v>
      </c>
      <c r="D223">
        <f t="shared" si="79"/>
        <v>0</v>
      </c>
      <c r="CC223" t="b">
        <f t="shared" si="80"/>
        <v>0</v>
      </c>
    </row>
    <row r="224" spans="2:91" x14ac:dyDescent="0.2">
      <c r="B224">
        <f t="shared" si="78"/>
        <v>0</v>
      </c>
      <c r="C224">
        <v>2060</v>
      </c>
      <c r="D224">
        <f t="shared" si="79"/>
        <v>0</v>
      </c>
      <c r="CC224" t="b">
        <f t="shared" si="80"/>
        <v>0</v>
      </c>
    </row>
    <row r="225" spans="2:81" x14ac:dyDescent="0.2">
      <c r="B225">
        <f t="shared" si="78"/>
        <v>0</v>
      </c>
      <c r="C225">
        <v>2070</v>
      </c>
      <c r="D225">
        <f t="shared" si="79"/>
        <v>0</v>
      </c>
      <c r="CC225" t="b">
        <f t="shared" si="80"/>
        <v>0</v>
      </c>
    </row>
    <row r="228" spans="2:81" x14ac:dyDescent="0.2">
      <c r="D228" t="s">
        <v>3514</v>
      </c>
      <c r="E228" t="s">
        <v>3515</v>
      </c>
    </row>
    <row r="229" spans="2:81" x14ac:dyDescent="0.2">
      <c r="B229" t="s">
        <v>3516</v>
      </c>
    </row>
    <row r="230" spans="2:81" x14ac:dyDescent="0.2">
      <c r="B230" t="s">
        <v>2506</v>
      </c>
      <c r="C230">
        <v>2090</v>
      </c>
      <c r="D230">
        <f t="shared" ref="D230:D240" si="81">I127</f>
        <v>0</v>
      </c>
      <c r="CB230">
        <f t="shared" ref="CB230:CB240" si="82">IF(OR(D230&lt;0,E230&lt;0),1,0)</f>
        <v>0</v>
      </c>
    </row>
    <row r="231" spans="2:81" x14ac:dyDescent="0.2">
      <c r="B231" t="s">
        <v>2508</v>
      </c>
      <c r="C231">
        <v>3000</v>
      </c>
      <c r="D231">
        <f t="shared" si="81"/>
        <v>0</v>
      </c>
      <c r="CB231">
        <f t="shared" si="82"/>
        <v>0</v>
      </c>
    </row>
    <row r="232" spans="2:81" x14ac:dyDescent="0.2">
      <c r="B232" t="s">
        <v>2510</v>
      </c>
      <c r="C232">
        <v>3010</v>
      </c>
      <c r="D232">
        <f t="shared" si="81"/>
        <v>0</v>
      </c>
      <c r="CB232">
        <f t="shared" si="82"/>
        <v>0</v>
      </c>
    </row>
    <row r="233" spans="2:81" x14ac:dyDescent="0.2">
      <c r="B233" t="s">
        <v>3448</v>
      </c>
      <c r="C233">
        <v>3020</v>
      </c>
      <c r="D233">
        <f t="shared" si="81"/>
        <v>0</v>
      </c>
      <c r="CB233">
        <f t="shared" si="82"/>
        <v>0</v>
      </c>
    </row>
    <row r="234" spans="2:81" x14ac:dyDescent="0.2">
      <c r="B234" t="s">
        <v>2511</v>
      </c>
      <c r="C234">
        <v>3030</v>
      </c>
      <c r="D234">
        <f t="shared" si="81"/>
        <v>0</v>
      </c>
      <c r="CB234">
        <f t="shared" si="82"/>
        <v>0</v>
      </c>
    </row>
    <row r="235" spans="2:81" x14ac:dyDescent="0.2">
      <c r="B235" t="s">
        <v>2513</v>
      </c>
      <c r="C235">
        <v>3040</v>
      </c>
      <c r="D235">
        <f t="shared" si="81"/>
        <v>0</v>
      </c>
      <c r="CB235">
        <f t="shared" si="82"/>
        <v>0</v>
      </c>
    </row>
    <row r="236" spans="2:81" x14ac:dyDescent="0.2">
      <c r="B236" t="s">
        <v>3517</v>
      </c>
      <c r="C236">
        <v>3050</v>
      </c>
      <c r="D236">
        <f t="shared" si="81"/>
        <v>0</v>
      </c>
      <c r="CB236">
        <f t="shared" si="82"/>
        <v>0</v>
      </c>
    </row>
    <row r="237" spans="2:81" x14ac:dyDescent="0.2">
      <c r="B237" t="s">
        <v>3450</v>
      </c>
      <c r="C237">
        <v>3060</v>
      </c>
      <c r="D237">
        <f t="shared" si="81"/>
        <v>0</v>
      </c>
      <c r="CB237">
        <f t="shared" si="82"/>
        <v>0</v>
      </c>
    </row>
    <row r="238" spans="2:81" x14ac:dyDescent="0.2">
      <c r="B238" t="s">
        <v>2518</v>
      </c>
      <c r="C238">
        <v>3070</v>
      </c>
      <c r="D238">
        <f t="shared" si="81"/>
        <v>0</v>
      </c>
      <c r="CB238">
        <f t="shared" si="82"/>
        <v>0</v>
      </c>
    </row>
    <row r="239" spans="2:81" x14ac:dyDescent="0.2">
      <c r="B239" t="s">
        <v>2520</v>
      </c>
      <c r="C239">
        <v>3080</v>
      </c>
      <c r="D239">
        <f t="shared" si="81"/>
        <v>0</v>
      </c>
      <c r="CB239">
        <f t="shared" si="82"/>
        <v>0</v>
      </c>
    </row>
    <row r="240" spans="2:81" x14ac:dyDescent="0.2">
      <c r="B240" t="s">
        <v>2522</v>
      </c>
      <c r="C240">
        <v>3090</v>
      </c>
      <c r="D240">
        <f t="shared" si="81"/>
        <v>0</v>
      </c>
      <c r="CB240">
        <f t="shared" si="82"/>
        <v>0</v>
      </c>
    </row>
  </sheetData>
  <sheetProtection sheet="1" objects="1" scenarios="1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1:CG108"/>
  <sheetViews>
    <sheetView zoomScale="70" zoomScaleNormal="70" workbookViewId="0"/>
  </sheetViews>
  <sheetFormatPr defaultRowHeight="12.75" x14ac:dyDescent="0.2"/>
  <sheetData>
    <row r="1" spans="1:83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3" x14ac:dyDescent="0.2">
      <c r="A2" t="s">
        <v>3727</v>
      </c>
    </row>
    <row r="3" spans="1:83" x14ac:dyDescent="0.2">
      <c r="A3" t="s">
        <v>3800</v>
      </c>
    </row>
    <row r="4" spans="1:83" x14ac:dyDescent="0.2">
      <c r="B4" t="s">
        <v>2525</v>
      </c>
    </row>
    <row r="5" spans="1:83" x14ac:dyDescent="0.2">
      <c r="B5" t="s">
        <v>2526</v>
      </c>
    </row>
    <row r="7" spans="1:83" x14ac:dyDescent="0.2">
      <c r="CA7" t="s">
        <v>230</v>
      </c>
      <c r="CB7">
        <f>0</f>
        <v>0</v>
      </c>
      <c r="CE7" t="s">
        <v>2527</v>
      </c>
    </row>
    <row r="8" spans="1:83" x14ac:dyDescent="0.2">
      <c r="B8" t="s">
        <v>2528</v>
      </c>
      <c r="C8" t="s">
        <v>238</v>
      </c>
      <c r="D8" t="s">
        <v>25</v>
      </c>
      <c r="E8" t="s">
        <v>2529</v>
      </c>
      <c r="CA8" t="s">
        <v>231</v>
      </c>
      <c r="CB8" t="s">
        <v>232</v>
      </c>
      <c r="CC8" t="s">
        <v>2530</v>
      </c>
      <c r="CD8" t="s">
        <v>2531</v>
      </c>
      <c r="CE8" t="s">
        <v>2532</v>
      </c>
    </row>
    <row r="9" spans="1:83" x14ac:dyDescent="0.2">
      <c r="C9" t="s">
        <v>242</v>
      </c>
      <c r="G9" t="s">
        <v>2533</v>
      </c>
      <c r="CA9">
        <f>SUM(CA11:CA116)</f>
        <v>0</v>
      </c>
      <c r="CB9">
        <f>SUM(CB11:CB116)</f>
        <v>0</v>
      </c>
      <c r="CC9">
        <f>SUM(CC11:CC116)</f>
        <v>0</v>
      </c>
      <c r="CD9">
        <f>SUM(CD11:CD116)</f>
        <v>0</v>
      </c>
      <c r="CE9">
        <f>SUM(CE52:CE79)</f>
        <v>0</v>
      </c>
    </row>
    <row r="10" spans="1:83" x14ac:dyDescent="0.2">
      <c r="E10" t="s">
        <v>2419</v>
      </c>
      <c r="F10" t="s">
        <v>2534</v>
      </c>
      <c r="G10" t="s">
        <v>2278</v>
      </c>
      <c r="H10" t="s">
        <v>384</v>
      </c>
    </row>
    <row r="11" spans="1:83" x14ac:dyDescent="0.2">
      <c r="E11" t="s">
        <v>2036</v>
      </c>
      <c r="F11" t="s">
        <v>2037</v>
      </c>
      <c r="G11" t="s">
        <v>2038</v>
      </c>
      <c r="H11" t="s">
        <v>2039</v>
      </c>
    </row>
    <row r="12" spans="1:83" x14ac:dyDescent="0.2">
      <c r="E12" t="s">
        <v>243</v>
      </c>
      <c r="F12" t="s">
        <v>243</v>
      </c>
      <c r="G12" t="s">
        <v>243</v>
      </c>
      <c r="H12" t="s">
        <v>243</v>
      </c>
    </row>
    <row r="13" spans="1:83" x14ac:dyDescent="0.2">
      <c r="B13" t="s">
        <v>2535</v>
      </c>
      <c r="C13">
        <v>100</v>
      </c>
      <c r="D13" t="s">
        <v>248</v>
      </c>
    </row>
    <row r="15" spans="1:83" x14ac:dyDescent="0.2">
      <c r="B15" t="s">
        <v>2536</v>
      </c>
      <c r="C15" t="s">
        <v>238</v>
      </c>
      <c r="D15" t="s">
        <v>25</v>
      </c>
      <c r="E15" t="s">
        <v>2537</v>
      </c>
    </row>
    <row r="16" spans="1:83" x14ac:dyDescent="0.2">
      <c r="C16" t="s">
        <v>242</v>
      </c>
      <c r="G16" t="s">
        <v>2533</v>
      </c>
    </row>
    <row r="17" spans="2:84" x14ac:dyDescent="0.2">
      <c r="E17" t="s">
        <v>2419</v>
      </c>
      <c r="F17" t="s">
        <v>2534</v>
      </c>
      <c r="G17" t="s">
        <v>2278</v>
      </c>
      <c r="H17" t="s">
        <v>384</v>
      </c>
    </row>
    <row r="18" spans="2:84" x14ac:dyDescent="0.2">
      <c r="E18" t="s">
        <v>2036</v>
      </c>
      <c r="F18" t="s">
        <v>2037</v>
      </c>
      <c r="G18" t="s">
        <v>2038</v>
      </c>
      <c r="H18" t="s">
        <v>2039</v>
      </c>
    </row>
    <row r="19" spans="2:84" x14ac:dyDescent="0.2">
      <c r="E19" t="s">
        <v>243</v>
      </c>
      <c r="F19" t="s">
        <v>243</v>
      </c>
      <c r="G19" t="s">
        <v>243</v>
      </c>
      <c r="H19" t="s">
        <v>243</v>
      </c>
    </row>
    <row r="20" spans="2:84" x14ac:dyDescent="0.2">
      <c r="B20" t="s">
        <v>2538</v>
      </c>
      <c r="C20">
        <v>110</v>
      </c>
      <c r="D20" t="s">
        <v>251</v>
      </c>
      <c r="CF20" t="s">
        <v>2539</v>
      </c>
    </row>
    <row r="21" spans="2:84" x14ac:dyDescent="0.2">
      <c r="B21" t="s">
        <v>2540</v>
      </c>
      <c r="C21">
        <v>120</v>
      </c>
      <c r="D21" t="s">
        <v>251</v>
      </c>
      <c r="CF21">
        <f>H20+H21+H22+H23+H24+H52+H53+H54+H55+H56</f>
        <v>0</v>
      </c>
    </row>
    <row r="22" spans="2:84" x14ac:dyDescent="0.2">
      <c r="B22" t="s">
        <v>2541</v>
      </c>
      <c r="C22">
        <v>130</v>
      </c>
      <c r="D22" t="s">
        <v>251</v>
      </c>
    </row>
    <row r="23" spans="2:84" x14ac:dyDescent="0.2">
      <c r="B23" t="s">
        <v>2542</v>
      </c>
      <c r="C23">
        <v>135</v>
      </c>
      <c r="D23" t="s">
        <v>251</v>
      </c>
    </row>
    <row r="24" spans="2:84" x14ac:dyDescent="0.2">
      <c r="B24" t="s">
        <v>2543</v>
      </c>
      <c r="C24">
        <v>140</v>
      </c>
      <c r="D24" t="s">
        <v>248</v>
      </c>
    </row>
    <row r="25" spans="2:84" x14ac:dyDescent="0.2">
      <c r="B25" t="s">
        <v>2544</v>
      </c>
      <c r="C25">
        <v>150</v>
      </c>
      <c r="D25" t="s">
        <v>245</v>
      </c>
    </row>
    <row r="26" spans="2:84" x14ac:dyDescent="0.2">
      <c r="B26" t="s">
        <v>2545</v>
      </c>
      <c r="C26">
        <v>160</v>
      </c>
      <c r="D26" t="s">
        <v>251</v>
      </c>
    </row>
    <row r="27" spans="2:84" x14ac:dyDescent="0.2">
      <c r="B27" t="s">
        <v>2546</v>
      </c>
      <c r="C27">
        <v>170</v>
      </c>
      <c r="D27" t="s">
        <v>251</v>
      </c>
    </row>
    <row r="28" spans="2:84" x14ac:dyDescent="0.2">
      <c r="B28" t="s">
        <v>2547</v>
      </c>
      <c r="C28">
        <v>190</v>
      </c>
      <c r="D28" t="s">
        <v>248</v>
      </c>
    </row>
    <row r="29" spans="2:84" x14ac:dyDescent="0.2">
      <c r="B29" t="s">
        <v>2548</v>
      </c>
      <c r="C29">
        <v>200</v>
      </c>
      <c r="D29" t="s">
        <v>245</v>
      </c>
    </row>
    <row r="30" spans="2:84" x14ac:dyDescent="0.2">
      <c r="B30" t="s">
        <v>2549</v>
      </c>
      <c r="C30">
        <v>210</v>
      </c>
      <c r="D30" t="s">
        <v>251</v>
      </c>
    </row>
    <row r="31" spans="2:84" x14ac:dyDescent="0.2">
      <c r="B31" t="s">
        <v>2550</v>
      </c>
      <c r="C31">
        <v>215</v>
      </c>
      <c r="D31" t="s">
        <v>251</v>
      </c>
    </row>
    <row r="32" spans="2:84" x14ac:dyDescent="0.2">
      <c r="B32" t="s">
        <v>2551</v>
      </c>
      <c r="C32">
        <v>220</v>
      </c>
      <c r="D32" t="s">
        <v>248</v>
      </c>
    </row>
    <row r="33" spans="2:8" x14ac:dyDescent="0.2">
      <c r="B33" t="s">
        <v>2552</v>
      </c>
      <c r="C33">
        <v>230</v>
      </c>
      <c r="D33" t="s">
        <v>245</v>
      </c>
    </row>
    <row r="34" spans="2:8" x14ac:dyDescent="0.2">
      <c r="B34" t="s">
        <v>2553</v>
      </c>
      <c r="C34">
        <v>235</v>
      </c>
      <c r="D34" t="s">
        <v>248</v>
      </c>
    </row>
    <row r="35" spans="2:8" x14ac:dyDescent="0.2">
      <c r="B35" t="s">
        <v>2554</v>
      </c>
      <c r="C35">
        <v>240</v>
      </c>
      <c r="D35" t="s">
        <v>245</v>
      </c>
    </row>
    <row r="36" spans="2:8" x14ac:dyDescent="0.2">
      <c r="B36" t="s">
        <v>2555</v>
      </c>
      <c r="C36">
        <v>255</v>
      </c>
      <c r="D36" t="s">
        <v>251</v>
      </c>
    </row>
    <row r="37" spans="2:8" x14ac:dyDescent="0.2">
      <c r="B37" t="s">
        <v>2556</v>
      </c>
      <c r="C37">
        <v>260</v>
      </c>
      <c r="D37" t="s">
        <v>251</v>
      </c>
    </row>
    <row r="38" spans="2:8" x14ac:dyDescent="0.2">
      <c r="B38" t="s">
        <v>2557</v>
      </c>
      <c r="C38">
        <v>270</v>
      </c>
      <c r="D38" t="s">
        <v>251</v>
      </c>
    </row>
    <row r="39" spans="2:8" x14ac:dyDescent="0.2">
      <c r="B39" t="s">
        <v>2558</v>
      </c>
      <c r="C39">
        <v>290</v>
      </c>
      <c r="D39" t="s">
        <v>251</v>
      </c>
    </row>
    <row r="40" spans="2:8" x14ac:dyDescent="0.2">
      <c r="B40" t="s">
        <v>2559</v>
      </c>
      <c r="C40">
        <v>295</v>
      </c>
      <c r="D40" t="s">
        <v>251</v>
      </c>
    </row>
    <row r="41" spans="2:8" x14ac:dyDescent="0.2">
      <c r="B41" t="s">
        <v>2560</v>
      </c>
      <c r="C41">
        <v>300</v>
      </c>
      <c r="D41" t="s">
        <v>245</v>
      </c>
    </row>
    <row r="42" spans="2:8" x14ac:dyDescent="0.2">
      <c r="B42" t="s">
        <v>2561</v>
      </c>
      <c r="C42">
        <v>305</v>
      </c>
      <c r="D42" t="s">
        <v>251</v>
      </c>
    </row>
    <row r="43" spans="2:8" x14ac:dyDescent="0.2">
      <c r="B43" t="s">
        <v>2562</v>
      </c>
      <c r="C43">
        <v>310</v>
      </c>
      <c r="D43" t="s">
        <v>251</v>
      </c>
      <c r="E43">
        <f>SUM(E20:E42)</f>
        <v>0</v>
      </c>
      <c r="F43">
        <f>SUM(F20:F42)</f>
        <v>0</v>
      </c>
      <c r="G43">
        <f>SUM(G20:G42)</f>
        <v>0</v>
      </c>
      <c r="H43">
        <f>SUM(H20:H42)</f>
        <v>0</v>
      </c>
    </row>
    <row r="45" spans="2:8" x14ac:dyDescent="0.2">
      <c r="B45" t="s">
        <v>2563</v>
      </c>
      <c r="C45">
        <v>320</v>
      </c>
      <c r="D45" t="s">
        <v>251</v>
      </c>
      <c r="E45">
        <f>E13+E43</f>
        <v>0</v>
      </c>
      <c r="F45">
        <f>F13+F43</f>
        <v>0</v>
      </c>
      <c r="G45">
        <f>G13+G43</f>
        <v>0</v>
      </c>
      <c r="H45">
        <f>H13+H43</f>
        <v>0</v>
      </c>
    </row>
    <row r="47" spans="2:8" x14ac:dyDescent="0.2">
      <c r="C47" t="s">
        <v>238</v>
      </c>
      <c r="D47" t="s">
        <v>25</v>
      </c>
      <c r="E47" t="s">
        <v>2537</v>
      </c>
    </row>
    <row r="48" spans="2:8" x14ac:dyDescent="0.2">
      <c r="C48" t="s">
        <v>242</v>
      </c>
      <c r="G48" t="s">
        <v>2533</v>
      </c>
    </row>
    <row r="49" spans="2:85" x14ac:dyDescent="0.2">
      <c r="B49" t="s">
        <v>2564</v>
      </c>
      <c r="E49" t="s">
        <v>2419</v>
      </c>
      <c r="F49" t="s">
        <v>2534</v>
      </c>
      <c r="G49" t="s">
        <v>2278</v>
      </c>
      <c r="H49" t="s">
        <v>384</v>
      </c>
    </row>
    <row r="50" spans="2:85" x14ac:dyDescent="0.2">
      <c r="E50" t="s">
        <v>2036</v>
      </c>
      <c r="F50" t="s">
        <v>2037</v>
      </c>
      <c r="G50" t="s">
        <v>2038</v>
      </c>
      <c r="H50" t="s">
        <v>2039</v>
      </c>
    </row>
    <row r="51" spans="2:85" x14ac:dyDescent="0.2">
      <c r="E51" t="s">
        <v>243</v>
      </c>
      <c r="F51" t="s">
        <v>243</v>
      </c>
      <c r="G51" t="s">
        <v>243</v>
      </c>
      <c r="H51" t="s">
        <v>243</v>
      </c>
    </row>
    <row r="52" spans="2:85" x14ac:dyDescent="0.2">
      <c r="B52" t="s">
        <v>2538</v>
      </c>
      <c r="C52">
        <v>330</v>
      </c>
      <c r="D52" t="s">
        <v>251</v>
      </c>
    </row>
    <row r="53" spans="2:85" x14ac:dyDescent="0.2">
      <c r="B53" t="s">
        <v>2540</v>
      </c>
      <c r="C53">
        <v>332</v>
      </c>
      <c r="D53" t="s">
        <v>251</v>
      </c>
    </row>
    <row r="54" spans="2:85" x14ac:dyDescent="0.2">
      <c r="B54" t="s">
        <v>2541</v>
      </c>
      <c r="C54">
        <v>336</v>
      </c>
      <c r="D54" t="s">
        <v>251</v>
      </c>
    </row>
    <row r="55" spans="2:85" x14ac:dyDescent="0.2">
      <c r="B55" t="s">
        <v>2542</v>
      </c>
      <c r="C55">
        <v>338</v>
      </c>
      <c r="D55" t="s">
        <v>251</v>
      </c>
    </row>
    <row r="56" spans="2:85" x14ac:dyDescent="0.2">
      <c r="B56" t="s">
        <v>2543</v>
      </c>
      <c r="C56">
        <v>340</v>
      </c>
      <c r="D56" t="s">
        <v>248</v>
      </c>
      <c r="CB56">
        <f>IF(OR(E56&lt;0,F56&lt;0,G56&lt;0,H56&lt;0),1,0)</f>
        <v>0</v>
      </c>
    </row>
    <row r="57" spans="2:85" x14ac:dyDescent="0.2">
      <c r="B57" t="s">
        <v>2544</v>
      </c>
      <c r="C57">
        <v>350</v>
      </c>
      <c r="D57" t="s">
        <v>245</v>
      </c>
      <c r="CA57">
        <f>IF(OR(E57&gt;0,F57&gt;0,G57&gt;0,H57&gt;0),1,0)</f>
        <v>0</v>
      </c>
    </row>
    <row r="58" spans="2:85" x14ac:dyDescent="0.2">
      <c r="B58" t="s">
        <v>2545</v>
      </c>
      <c r="C58">
        <v>390</v>
      </c>
      <c r="D58" t="s">
        <v>251</v>
      </c>
    </row>
    <row r="59" spans="2:85" x14ac:dyDescent="0.2">
      <c r="B59" t="s">
        <v>2546</v>
      </c>
      <c r="C59">
        <v>400</v>
      </c>
      <c r="D59" t="s">
        <v>251</v>
      </c>
      <c r="CG59" t="s">
        <v>307</v>
      </c>
    </row>
    <row r="60" spans="2:85" x14ac:dyDescent="0.2">
      <c r="B60" t="s">
        <v>2547</v>
      </c>
      <c r="C60">
        <v>410</v>
      </c>
      <c r="D60" t="s">
        <v>248</v>
      </c>
      <c r="CB60">
        <f>IF(OR(E60&lt;0,F60&lt;0,G60&lt;0,H60&lt;0),1,0)</f>
        <v>0</v>
      </c>
      <c r="CE60">
        <f>IF(E60+E28&lt;&gt;CF60,1,0)</f>
        <v>0</v>
      </c>
      <c r="CG60" t="s">
        <v>2013</v>
      </c>
    </row>
    <row r="61" spans="2:85" x14ac:dyDescent="0.2">
      <c r="B61" t="s">
        <v>2548</v>
      </c>
      <c r="C61">
        <v>420</v>
      </c>
      <c r="D61" t="s">
        <v>245</v>
      </c>
      <c r="CA61">
        <f>IF(OR(E61&gt;0,F61&gt;0,G61&gt;0,H61&gt;0),1,0)</f>
        <v>0</v>
      </c>
      <c r="CE61">
        <f>IF(F61+F29&lt;&gt;CF61,1,0)</f>
        <v>0</v>
      </c>
      <c r="CG61" t="s">
        <v>2565</v>
      </c>
    </row>
    <row r="62" spans="2:85" x14ac:dyDescent="0.2">
      <c r="B62" t="s">
        <v>2549</v>
      </c>
      <c r="C62">
        <v>430</v>
      </c>
      <c r="D62" t="s">
        <v>251</v>
      </c>
      <c r="CE62">
        <f>IF(E62+E30&lt;&gt;CF62,1,0)</f>
        <v>0</v>
      </c>
      <c r="CG62" t="s">
        <v>2566</v>
      </c>
    </row>
    <row r="63" spans="2:85" x14ac:dyDescent="0.2">
      <c r="B63" t="s">
        <v>2550</v>
      </c>
      <c r="C63">
        <v>435</v>
      </c>
      <c r="D63" t="s">
        <v>251</v>
      </c>
      <c r="CE63">
        <f>IF(E63+E31&lt;&gt;CF63,1,0)</f>
        <v>0</v>
      </c>
      <c r="CG63" t="s">
        <v>2567</v>
      </c>
    </row>
    <row r="64" spans="2:85" x14ac:dyDescent="0.2">
      <c r="B64" t="s">
        <v>2551</v>
      </c>
      <c r="C64">
        <v>440</v>
      </c>
      <c r="D64" t="s">
        <v>248</v>
      </c>
      <c r="CB64">
        <f>IF(OR(E64&lt;0,F64&lt;0,G64&lt;0,H64&lt;0),1,0)</f>
        <v>0</v>
      </c>
      <c r="CE64">
        <f>IF(F64+F32&lt;&gt;CF64,1,0)</f>
        <v>0</v>
      </c>
      <c r="CG64" t="s">
        <v>2138</v>
      </c>
    </row>
    <row r="65" spans="2:85" x14ac:dyDescent="0.2">
      <c r="B65" t="s">
        <v>2552</v>
      </c>
      <c r="C65">
        <v>450</v>
      </c>
      <c r="D65" t="s">
        <v>245</v>
      </c>
      <c r="CA65">
        <f>IF(OR(E65&gt;0,F65&gt;0,G65&gt;0,H65&gt;0),1,0)</f>
        <v>0</v>
      </c>
      <c r="CE65">
        <f>IF(F65+F33&lt;&gt;CF65,1,0)</f>
        <v>0</v>
      </c>
      <c r="CG65" t="s">
        <v>2568</v>
      </c>
    </row>
    <row r="66" spans="2:85" x14ac:dyDescent="0.2">
      <c r="B66" t="s">
        <v>2553</v>
      </c>
      <c r="C66">
        <v>455</v>
      </c>
      <c r="D66" t="s">
        <v>248</v>
      </c>
      <c r="CB66">
        <f>IF(OR(E66&lt;0,F66&lt;0,G66&lt;0,H66&lt;0),1,0)</f>
        <v>0</v>
      </c>
      <c r="CE66">
        <f>IF(F66+F34&lt;&gt;CF66,1,0)</f>
        <v>0</v>
      </c>
      <c r="CG66" t="s">
        <v>2014</v>
      </c>
    </row>
    <row r="67" spans="2:85" x14ac:dyDescent="0.2">
      <c r="B67" t="s">
        <v>2554</v>
      </c>
      <c r="C67">
        <v>456</v>
      </c>
      <c r="D67" t="s">
        <v>245</v>
      </c>
      <c r="CA67">
        <f>IF(OR(E67&gt;0,F67&gt;0,G67&gt;0,H67&gt;0),1,0)</f>
        <v>0</v>
      </c>
      <c r="CE67">
        <f>IF(F67+F35&lt;&gt;CF67,1,0)</f>
        <v>0</v>
      </c>
      <c r="CG67" t="s">
        <v>2569</v>
      </c>
    </row>
    <row r="68" spans="2:85" x14ac:dyDescent="0.2">
      <c r="B68" t="s">
        <v>2555</v>
      </c>
      <c r="C68">
        <v>460</v>
      </c>
      <c r="D68" t="s">
        <v>251</v>
      </c>
      <c r="CE68">
        <f>IF(F68+F36&lt;&gt;CF68,1,0)</f>
        <v>0</v>
      </c>
      <c r="CG68" t="s">
        <v>2012</v>
      </c>
    </row>
    <row r="69" spans="2:85" x14ac:dyDescent="0.2">
      <c r="B69" t="s">
        <v>2556</v>
      </c>
      <c r="C69">
        <v>470</v>
      </c>
      <c r="D69" t="s">
        <v>251</v>
      </c>
    </row>
    <row r="70" spans="2:85" x14ac:dyDescent="0.2">
      <c r="B70" t="s">
        <v>2557</v>
      </c>
      <c r="C70">
        <v>475</v>
      </c>
      <c r="D70" t="s">
        <v>251</v>
      </c>
      <c r="CE70">
        <f>IF(E69+E70+E37+E38&lt;&gt;CF70,1,0)</f>
        <v>0</v>
      </c>
      <c r="CG70" t="s">
        <v>2570</v>
      </c>
    </row>
    <row r="71" spans="2:85" x14ac:dyDescent="0.2">
      <c r="B71" t="s">
        <v>2571</v>
      </c>
      <c r="C71">
        <v>490</v>
      </c>
      <c r="D71" t="s">
        <v>251</v>
      </c>
      <c r="CE71">
        <f>IF(E71+E39&lt;&gt;CF71,1,0)</f>
        <v>0</v>
      </c>
      <c r="CG71" t="s">
        <v>2572</v>
      </c>
    </row>
    <row r="73" spans="2:85" x14ac:dyDescent="0.2">
      <c r="B73" t="s">
        <v>2560</v>
      </c>
      <c r="C73">
        <v>500</v>
      </c>
      <c r="D73" t="s">
        <v>245</v>
      </c>
      <c r="CA73">
        <f>IF(OR(E73&gt;0,F73&gt;0,G73&gt;0,H73&gt;0),1,0)</f>
        <v>0</v>
      </c>
      <c r="CE73">
        <f>IF(F73+F41&lt;&gt;CF73,1,0)</f>
        <v>0</v>
      </c>
      <c r="CG73" t="s">
        <v>2573</v>
      </c>
    </row>
    <row r="74" spans="2:85" x14ac:dyDescent="0.2">
      <c r="B74" t="s">
        <v>2574</v>
      </c>
    </row>
    <row r="75" spans="2:85" x14ac:dyDescent="0.2">
      <c r="C75">
        <v>520</v>
      </c>
      <c r="D75" t="s">
        <v>251</v>
      </c>
      <c r="CC75">
        <f>IF(AND(E75&lt;&gt;0,ISBLANK(B75)),1,IF(AND(F75&lt;&gt;0,ISBLANK(B75)),1,IF(AND(H75&lt;&gt;0,ISBLANK(B75)),1,0)))</f>
        <v>0</v>
      </c>
    </row>
    <row r="76" spans="2:85" x14ac:dyDescent="0.2">
      <c r="C76">
        <v>530</v>
      </c>
      <c r="D76" t="s">
        <v>251</v>
      </c>
      <c r="CC76">
        <f>IF(AND(E76&lt;&gt;0,ISBLANK(B76)),1,IF(AND(F76&lt;&gt;0,ISBLANK(B76)),1,IF(AND(H76&lt;&gt;0,ISBLANK(B76)),1,0)))</f>
        <v>0</v>
      </c>
    </row>
    <row r="77" spans="2:85" x14ac:dyDescent="0.2">
      <c r="C77">
        <v>540</v>
      </c>
      <c r="D77" t="s">
        <v>251</v>
      </c>
      <c r="CC77">
        <f>IF(AND(E77&lt;&gt;0,ISBLANK(B77)),1,IF(AND(F77&lt;&gt;0,ISBLANK(B77)),1,IF(AND(H77&lt;&gt;0,ISBLANK(B77)),1,0)))</f>
        <v>0</v>
      </c>
    </row>
    <row r="78" spans="2:85" x14ac:dyDescent="0.2">
      <c r="B78" t="s">
        <v>2575</v>
      </c>
      <c r="C78">
        <v>550</v>
      </c>
      <c r="D78" t="s">
        <v>251</v>
      </c>
      <c r="E78">
        <f>SUM(E75:E77)</f>
        <v>0</v>
      </c>
      <c r="F78">
        <f>SUM(F75:F77)</f>
        <v>0</v>
      </c>
      <c r="G78">
        <f>SUM(G75:G77)</f>
        <v>0</v>
      </c>
      <c r="H78">
        <f>SUM(H75:H77)</f>
        <v>0</v>
      </c>
    </row>
    <row r="79" spans="2:85" x14ac:dyDescent="0.2">
      <c r="B79" t="s">
        <v>2422</v>
      </c>
      <c r="C79">
        <v>560</v>
      </c>
      <c r="D79" t="s">
        <v>251</v>
      </c>
      <c r="E79">
        <f>SUM(E52:E73)+E78</f>
        <v>0</v>
      </c>
      <c r="F79">
        <f>SUM(F52:F73)+F78</f>
        <v>0</v>
      </c>
      <c r="G79">
        <f>SUM(G52:G73)+G78</f>
        <v>0</v>
      </c>
      <c r="H79">
        <f>SUM(H52:H73)+H78</f>
        <v>0</v>
      </c>
    </row>
    <row r="81" spans="2:80" x14ac:dyDescent="0.2">
      <c r="B81" t="s">
        <v>2559</v>
      </c>
      <c r="C81">
        <v>570</v>
      </c>
      <c r="D81" t="s">
        <v>251</v>
      </c>
    </row>
    <row r="82" spans="2:80" x14ac:dyDescent="0.2">
      <c r="B82" t="s">
        <v>2576</v>
      </c>
      <c r="C82">
        <v>580</v>
      </c>
      <c r="D82" t="s">
        <v>251</v>
      </c>
      <c r="E82">
        <f>SUM(E45+E79+E81)</f>
        <v>0</v>
      </c>
      <c r="F82">
        <f>SUM(F45+F79+F81)</f>
        <v>0</v>
      </c>
      <c r="G82">
        <f>SUM(G45+G79+G81)</f>
        <v>0</v>
      </c>
      <c r="H82">
        <f>SUM(H45+H79+H81)</f>
        <v>0</v>
      </c>
    </row>
    <row r="84" spans="2:80" x14ac:dyDescent="0.2">
      <c r="B84" t="s">
        <v>2577</v>
      </c>
      <c r="C84" t="s">
        <v>238</v>
      </c>
      <c r="D84" t="s">
        <v>25</v>
      </c>
      <c r="F84" t="s">
        <v>1941</v>
      </c>
    </row>
    <row r="85" spans="2:80" x14ac:dyDescent="0.2">
      <c r="C85" t="s">
        <v>242</v>
      </c>
      <c r="E85" t="s">
        <v>2021</v>
      </c>
      <c r="F85" t="s">
        <v>241</v>
      </c>
      <c r="G85" t="s">
        <v>2023</v>
      </c>
    </row>
    <row r="86" spans="2:80" x14ac:dyDescent="0.2">
      <c r="E86" t="s">
        <v>2036</v>
      </c>
      <c r="F86" t="s">
        <v>2037</v>
      </c>
      <c r="G86" t="s">
        <v>2038</v>
      </c>
    </row>
    <row r="87" spans="2:80" x14ac:dyDescent="0.2">
      <c r="E87" t="s">
        <v>243</v>
      </c>
      <c r="F87" t="s">
        <v>243</v>
      </c>
      <c r="G87" t="s">
        <v>243</v>
      </c>
    </row>
    <row r="88" spans="2:80" x14ac:dyDescent="0.2">
      <c r="B88" t="s">
        <v>2578</v>
      </c>
    </row>
    <row r="89" spans="2:80" x14ac:dyDescent="0.2">
      <c r="B89" t="s">
        <v>2579</v>
      </c>
      <c r="C89">
        <v>590</v>
      </c>
      <c r="D89" t="s">
        <v>248</v>
      </c>
      <c r="G89">
        <f t="shared" ref="G89:G106" si="0">F89-E89</f>
        <v>0</v>
      </c>
    </row>
    <row r="90" spans="2:80" x14ac:dyDescent="0.2">
      <c r="B90" t="s">
        <v>2580</v>
      </c>
      <c r="C90">
        <v>595</v>
      </c>
      <c r="D90" t="s">
        <v>248</v>
      </c>
      <c r="G90">
        <f t="shared" si="0"/>
        <v>0</v>
      </c>
    </row>
    <row r="91" spans="2:80" x14ac:dyDescent="0.2">
      <c r="B91" t="s">
        <v>2581</v>
      </c>
      <c r="C91">
        <v>600</v>
      </c>
      <c r="D91" t="s">
        <v>245</v>
      </c>
      <c r="G91">
        <f t="shared" si="0"/>
        <v>0</v>
      </c>
      <c r="CA91">
        <f>IF(F91&gt;0,1,0)</f>
        <v>0</v>
      </c>
    </row>
    <row r="92" spans="2:80" x14ac:dyDescent="0.2">
      <c r="B92" t="s">
        <v>2582</v>
      </c>
      <c r="C92">
        <v>605</v>
      </c>
      <c r="D92" t="s">
        <v>248</v>
      </c>
      <c r="G92">
        <f t="shared" si="0"/>
        <v>0</v>
      </c>
      <c r="CB92">
        <f>IF(OR(F92&lt;0),1,0)</f>
        <v>0</v>
      </c>
    </row>
    <row r="93" spans="2:80" x14ac:dyDescent="0.2">
      <c r="B93" t="s">
        <v>2583</v>
      </c>
      <c r="C93">
        <v>610</v>
      </c>
      <c r="D93" t="s">
        <v>248</v>
      </c>
      <c r="G93">
        <f t="shared" si="0"/>
        <v>0</v>
      </c>
    </row>
    <row r="94" spans="2:80" x14ac:dyDescent="0.2">
      <c r="B94" t="s">
        <v>2584</v>
      </c>
      <c r="C94">
        <v>615</v>
      </c>
      <c r="D94" t="s">
        <v>248</v>
      </c>
      <c r="G94">
        <f t="shared" si="0"/>
        <v>0</v>
      </c>
    </row>
    <row r="95" spans="2:80" x14ac:dyDescent="0.2">
      <c r="B95" t="s">
        <v>2585</v>
      </c>
      <c r="C95">
        <v>620</v>
      </c>
      <c r="D95" t="s">
        <v>245</v>
      </c>
      <c r="G95">
        <f t="shared" si="0"/>
        <v>0</v>
      </c>
    </row>
    <row r="96" spans="2:80" x14ac:dyDescent="0.2">
      <c r="B96" t="s">
        <v>2586</v>
      </c>
      <c r="C96">
        <v>625</v>
      </c>
      <c r="D96" t="s">
        <v>251</v>
      </c>
      <c r="G96">
        <f t="shared" si="0"/>
        <v>0</v>
      </c>
    </row>
    <row r="97" spans="2:82" x14ac:dyDescent="0.2">
      <c r="B97" t="s">
        <v>2587</v>
      </c>
      <c r="C97">
        <v>630</v>
      </c>
      <c r="D97" t="s">
        <v>248</v>
      </c>
      <c r="G97">
        <f t="shared" si="0"/>
        <v>0</v>
      </c>
    </row>
    <row r="98" spans="2:82" x14ac:dyDescent="0.2">
      <c r="B98" t="s">
        <v>2588</v>
      </c>
      <c r="C98">
        <v>635</v>
      </c>
      <c r="D98" t="s">
        <v>248</v>
      </c>
      <c r="F98">
        <f>E20+E52</f>
        <v>0</v>
      </c>
      <c r="G98">
        <f t="shared" si="0"/>
        <v>0</v>
      </c>
    </row>
    <row r="99" spans="2:82" x14ac:dyDescent="0.2">
      <c r="B99" t="s">
        <v>2589</v>
      </c>
      <c r="C99">
        <v>640</v>
      </c>
      <c r="D99" t="s">
        <v>248</v>
      </c>
      <c r="F99">
        <f>E21+E53</f>
        <v>0</v>
      </c>
      <c r="G99">
        <f t="shared" si="0"/>
        <v>0</v>
      </c>
    </row>
    <row r="100" spans="2:82" x14ac:dyDescent="0.2">
      <c r="B100" t="s">
        <v>2590</v>
      </c>
      <c r="C100">
        <v>645</v>
      </c>
      <c r="D100" t="s">
        <v>248</v>
      </c>
      <c r="F100">
        <f>E22+E54</f>
        <v>0</v>
      </c>
      <c r="G100">
        <f t="shared" si="0"/>
        <v>0</v>
      </c>
    </row>
    <row r="101" spans="2:82" x14ac:dyDescent="0.2">
      <c r="B101" t="s">
        <v>2591</v>
      </c>
      <c r="C101">
        <v>648</v>
      </c>
      <c r="D101" t="s">
        <v>248</v>
      </c>
      <c r="F101">
        <f>E23+E55</f>
        <v>0</v>
      </c>
      <c r="G101">
        <f t="shared" si="0"/>
        <v>0</v>
      </c>
    </row>
    <row r="102" spans="2:82" x14ac:dyDescent="0.2">
      <c r="B102" t="s">
        <v>2592</v>
      </c>
      <c r="C102">
        <v>650</v>
      </c>
      <c r="D102" t="s">
        <v>248</v>
      </c>
      <c r="G102">
        <f t="shared" si="0"/>
        <v>0</v>
      </c>
    </row>
    <row r="103" spans="2:82" x14ac:dyDescent="0.2">
      <c r="B103" t="s">
        <v>2593</v>
      </c>
      <c r="C103">
        <v>652</v>
      </c>
      <c r="D103" t="s">
        <v>245</v>
      </c>
      <c r="G103">
        <f t="shared" si="0"/>
        <v>0</v>
      </c>
    </row>
    <row r="104" spans="2:82" x14ac:dyDescent="0.2">
      <c r="B104" t="s">
        <v>2594</v>
      </c>
      <c r="C104">
        <v>655</v>
      </c>
      <c r="D104" t="s">
        <v>248</v>
      </c>
      <c r="G104">
        <f t="shared" si="0"/>
        <v>0</v>
      </c>
    </row>
    <row r="105" spans="2:82" x14ac:dyDescent="0.2">
      <c r="B105" t="s">
        <v>2595</v>
      </c>
      <c r="C105">
        <v>657</v>
      </c>
      <c r="D105" t="s">
        <v>245</v>
      </c>
      <c r="G105">
        <f t="shared" si="0"/>
        <v>0</v>
      </c>
    </row>
    <row r="106" spans="2:82" x14ac:dyDescent="0.2">
      <c r="B106" t="s">
        <v>2596</v>
      </c>
      <c r="C106">
        <v>660</v>
      </c>
      <c r="D106" t="s">
        <v>248</v>
      </c>
      <c r="E106">
        <f>SUM(E89:E105)</f>
        <v>0</v>
      </c>
      <c r="F106">
        <f>SUM(F89:F105)</f>
        <v>0</v>
      </c>
      <c r="G106">
        <f t="shared" si="0"/>
        <v>0</v>
      </c>
    </row>
    <row r="107" spans="2:82" x14ac:dyDescent="0.2">
      <c r="B107" t="s">
        <v>2597</v>
      </c>
      <c r="C107">
        <v>665</v>
      </c>
      <c r="D107" t="s">
        <v>251</v>
      </c>
    </row>
    <row r="108" spans="2:82" x14ac:dyDescent="0.2">
      <c r="B108" t="s">
        <v>2023</v>
      </c>
      <c r="C108">
        <v>670</v>
      </c>
      <c r="D108" t="s">
        <v>248</v>
      </c>
      <c r="E108">
        <f>E106-E107</f>
        <v>0</v>
      </c>
      <c r="F108">
        <f>F106-F107</f>
        <v>0</v>
      </c>
      <c r="CD108">
        <f>IF(F108&lt;0,1,0)</f>
        <v>0</v>
      </c>
    </row>
  </sheetData>
  <sheetProtection sheet="1" objects="1" scenarios="1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/>
  <dimension ref="A1:CE109"/>
  <sheetViews>
    <sheetView zoomScale="70" zoomScaleNormal="70" workbookViewId="0"/>
  </sheetViews>
  <sheetFormatPr defaultRowHeight="12.75" x14ac:dyDescent="0.2"/>
  <sheetData>
    <row r="1" spans="1:82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2" x14ac:dyDescent="0.2">
      <c r="A2" t="s">
        <v>3727</v>
      </c>
    </row>
    <row r="3" spans="1:82" x14ac:dyDescent="0.2">
      <c r="A3" t="s">
        <v>3801</v>
      </c>
    </row>
    <row r="5" spans="1:82" x14ac:dyDescent="0.2">
      <c r="B5" t="s">
        <v>3518</v>
      </c>
      <c r="CA5" t="s">
        <v>230</v>
      </c>
      <c r="CB5">
        <f>0</f>
        <v>0</v>
      </c>
    </row>
    <row r="6" spans="1:82" x14ac:dyDescent="0.2">
      <c r="CA6" t="s">
        <v>231</v>
      </c>
      <c r="CB6" t="s">
        <v>232</v>
      </c>
    </row>
    <row r="7" spans="1:82" x14ac:dyDescent="0.2">
      <c r="B7" t="s">
        <v>2577</v>
      </c>
      <c r="C7" t="s">
        <v>238</v>
      </c>
      <c r="D7" t="s">
        <v>25</v>
      </c>
      <c r="E7" t="s">
        <v>2386</v>
      </c>
      <c r="F7" t="s">
        <v>3406</v>
      </c>
      <c r="G7" t="s">
        <v>3414</v>
      </c>
      <c r="H7" t="s">
        <v>3415</v>
      </c>
      <c r="I7" t="s">
        <v>3416</v>
      </c>
      <c r="J7" t="s">
        <v>3519</v>
      </c>
      <c r="CA7">
        <f>SUM(CA10:CA71)</f>
        <v>0</v>
      </c>
      <c r="CB7">
        <f>SUM(CB10:CB71)</f>
        <v>0</v>
      </c>
    </row>
    <row r="8" spans="1:82" x14ac:dyDescent="0.2">
      <c r="C8" t="s">
        <v>242</v>
      </c>
      <c r="E8" t="s">
        <v>2036</v>
      </c>
      <c r="F8" t="s">
        <v>2037</v>
      </c>
      <c r="G8" t="s">
        <v>2038</v>
      </c>
      <c r="H8" t="s">
        <v>2039</v>
      </c>
      <c r="I8" t="s">
        <v>2040</v>
      </c>
      <c r="J8" t="s">
        <v>2041</v>
      </c>
    </row>
    <row r="9" spans="1:82" x14ac:dyDescent="0.2">
      <c r="E9" t="s">
        <v>243</v>
      </c>
      <c r="F9" t="s">
        <v>243</v>
      </c>
      <c r="G9" t="s">
        <v>243</v>
      </c>
      <c r="H9" t="s">
        <v>243</v>
      </c>
      <c r="I9" t="s">
        <v>243</v>
      </c>
      <c r="J9" t="s">
        <v>243</v>
      </c>
    </row>
    <row r="11" spans="1:82" x14ac:dyDescent="0.2">
      <c r="B11" t="s">
        <v>3520</v>
      </c>
    </row>
    <row r="12" spans="1:82" x14ac:dyDescent="0.2">
      <c r="B12" t="s">
        <v>3521</v>
      </c>
      <c r="C12">
        <v>100</v>
      </c>
      <c r="D12" t="s">
        <v>248</v>
      </c>
      <c r="J12">
        <f>SUM(E12:I12)</f>
        <v>0</v>
      </c>
    </row>
    <row r="13" spans="1:82" x14ac:dyDescent="0.2">
      <c r="B13" t="s">
        <v>3522</v>
      </c>
      <c r="C13">
        <v>110</v>
      </c>
      <c r="D13" t="s">
        <v>245</v>
      </c>
      <c r="J13">
        <f>SUM(E13:I13)</f>
        <v>0</v>
      </c>
    </row>
    <row r="14" spans="1:82" x14ac:dyDescent="0.2">
      <c r="B14" t="s">
        <v>3523</v>
      </c>
      <c r="C14">
        <v>120</v>
      </c>
      <c r="D14" t="s">
        <v>248</v>
      </c>
      <c r="E14">
        <f>SUM(E12:E13)</f>
        <v>0</v>
      </c>
      <c r="F14">
        <f>SUM(F12:F13)</f>
        <v>0</v>
      </c>
      <c r="G14">
        <f>SUM(G12:G13)</f>
        <v>0</v>
      </c>
      <c r="H14">
        <f>SUM(H12:H13)</f>
        <v>0</v>
      </c>
      <c r="I14">
        <f>SUM(I12:I13)</f>
        <v>0</v>
      </c>
      <c r="J14">
        <f>SUM(E14:I14)</f>
        <v>0</v>
      </c>
    </row>
    <row r="15" spans="1:82" x14ac:dyDescent="0.2">
      <c r="B15" t="s">
        <v>3524</v>
      </c>
    </row>
    <row r="16" spans="1:82" x14ac:dyDescent="0.2">
      <c r="B16" t="s">
        <v>3525</v>
      </c>
      <c r="CC16" t="s">
        <v>3526</v>
      </c>
      <c r="CD16" t="s">
        <v>3526</v>
      </c>
    </row>
    <row r="17" spans="2:83" x14ac:dyDescent="0.2">
      <c r="B17" t="s">
        <v>3527</v>
      </c>
      <c r="C17">
        <v>130</v>
      </c>
      <c r="D17" t="s">
        <v>248</v>
      </c>
      <c r="J17">
        <f t="shared" ref="J17:J26" si="0">SUM(E17:I17)</f>
        <v>0</v>
      </c>
      <c r="CB17">
        <f>IF(OR(E17&lt;0,F17&lt;0,G17&lt;0,H17&lt;0,I17&lt;0),1,0)</f>
        <v>0</v>
      </c>
      <c r="CC17" t="s">
        <v>1830</v>
      </c>
      <c r="CD17" t="s">
        <v>3342</v>
      </c>
    </row>
    <row r="18" spans="2:83" x14ac:dyDescent="0.2">
      <c r="B18" t="s">
        <v>3528</v>
      </c>
      <c r="C18">
        <v>140</v>
      </c>
      <c r="D18" t="s">
        <v>248</v>
      </c>
      <c r="J18">
        <f t="shared" si="0"/>
        <v>0</v>
      </c>
      <c r="CB18">
        <f>IF(OR(E18&lt;0,F18&lt;0,G18&lt;0,H18&lt;0,I18&lt;0),1,0)</f>
        <v>0</v>
      </c>
      <c r="CC18">
        <f>E17+E18</f>
        <v>0</v>
      </c>
      <c r="CD18">
        <f>F17+F18</f>
        <v>0</v>
      </c>
    </row>
    <row r="19" spans="2:83" x14ac:dyDescent="0.2">
      <c r="B19" t="s">
        <v>3529</v>
      </c>
      <c r="C19">
        <v>150</v>
      </c>
      <c r="D19" t="s">
        <v>245</v>
      </c>
      <c r="J19">
        <f t="shared" si="0"/>
        <v>0</v>
      </c>
      <c r="CA19">
        <f>IF(OR(E19&gt;0,F19&gt;0,G19&gt;0,H19&gt;0,I19&gt;0),1,0)</f>
        <v>0</v>
      </c>
    </row>
    <row r="20" spans="2:83" x14ac:dyDescent="0.2">
      <c r="B20" t="s">
        <v>3530</v>
      </c>
      <c r="C20">
        <v>160</v>
      </c>
      <c r="D20" t="s">
        <v>248</v>
      </c>
      <c r="J20">
        <f t="shared" si="0"/>
        <v>0</v>
      </c>
      <c r="CB20">
        <f>IF(OR(E20&lt;0,F20&lt;0,G20&lt;0,H20&lt;0,I20&lt;0),1,0)</f>
        <v>0</v>
      </c>
    </row>
    <row r="21" spans="2:83" x14ac:dyDescent="0.2">
      <c r="B21" t="s">
        <v>3531</v>
      </c>
      <c r="C21">
        <v>170</v>
      </c>
      <c r="D21" t="s">
        <v>248</v>
      </c>
      <c r="J21">
        <f t="shared" si="0"/>
        <v>0</v>
      </c>
      <c r="CB21">
        <f>IF(OR(E21&lt;0,F21&lt;0,G21&lt;0,H21&lt;0,I21&lt;0),1,0)</f>
        <v>0</v>
      </c>
    </row>
    <row r="22" spans="2:83" x14ac:dyDescent="0.2">
      <c r="B22" t="s">
        <v>3532</v>
      </c>
      <c r="C22">
        <v>175</v>
      </c>
      <c r="D22" t="s">
        <v>248</v>
      </c>
      <c r="J22">
        <f t="shared" si="0"/>
        <v>0</v>
      </c>
      <c r="CB22">
        <f>IF(OR(E22&lt;0,F22&lt;0,G22&lt;0,H22&lt;0,I22&lt;0),1,0)</f>
        <v>0</v>
      </c>
    </row>
    <row r="23" spans="2:83" x14ac:dyDescent="0.2">
      <c r="B23" t="s">
        <v>3533</v>
      </c>
      <c r="C23">
        <v>180</v>
      </c>
      <c r="D23" t="s">
        <v>251</v>
      </c>
      <c r="J23">
        <f t="shared" si="0"/>
        <v>0</v>
      </c>
    </row>
    <row r="24" spans="2:83" x14ac:dyDescent="0.2">
      <c r="B24" t="s">
        <v>2502</v>
      </c>
      <c r="C24">
        <v>190</v>
      </c>
      <c r="D24" t="s">
        <v>248</v>
      </c>
      <c r="J24">
        <f t="shared" si="0"/>
        <v>0</v>
      </c>
    </row>
    <row r="25" spans="2:83" x14ac:dyDescent="0.2">
      <c r="B25" t="s">
        <v>3534</v>
      </c>
      <c r="C25">
        <v>210</v>
      </c>
      <c r="D25" t="s">
        <v>251</v>
      </c>
      <c r="J25">
        <f t="shared" si="0"/>
        <v>0</v>
      </c>
    </row>
    <row r="26" spans="2:83" x14ac:dyDescent="0.2">
      <c r="B26" t="s">
        <v>3535</v>
      </c>
      <c r="C26">
        <v>220</v>
      </c>
      <c r="D26" t="s">
        <v>248</v>
      </c>
      <c r="E26">
        <f>SUM(E17:E25)</f>
        <v>0</v>
      </c>
      <c r="F26">
        <f>SUM(F17:F25)</f>
        <v>0</v>
      </c>
      <c r="G26">
        <f>SUM(G17:G25)</f>
        <v>0</v>
      </c>
      <c r="H26">
        <f>SUM(H17:H25)</f>
        <v>0</v>
      </c>
      <c r="I26">
        <f>SUM(I17:I25)</f>
        <v>0</v>
      </c>
      <c r="J26">
        <f t="shared" si="0"/>
        <v>0</v>
      </c>
    </row>
    <row r="27" spans="2:83" x14ac:dyDescent="0.2">
      <c r="B27" t="s">
        <v>3536</v>
      </c>
    </row>
    <row r="28" spans="2:83" x14ac:dyDescent="0.2">
      <c r="B28" t="s">
        <v>3537</v>
      </c>
      <c r="C28">
        <v>230</v>
      </c>
      <c r="D28" t="s">
        <v>248</v>
      </c>
      <c r="J28">
        <f t="shared" ref="J28:J36" si="1">SUM(E28:I28)</f>
        <v>0</v>
      </c>
      <c r="CE28" t="s">
        <v>3538</v>
      </c>
    </row>
    <row r="29" spans="2:83" x14ac:dyDescent="0.2">
      <c r="B29" t="s">
        <v>3539</v>
      </c>
      <c r="C29">
        <v>250</v>
      </c>
      <c r="D29" t="s">
        <v>248</v>
      </c>
      <c r="J29">
        <f t="shared" si="1"/>
        <v>0</v>
      </c>
      <c r="CE29">
        <f>SUM(E28:E32)</f>
        <v>0</v>
      </c>
    </row>
    <row r="30" spans="2:83" x14ac:dyDescent="0.2">
      <c r="B30" t="s">
        <v>3540</v>
      </c>
      <c r="C30">
        <v>255</v>
      </c>
      <c r="D30" t="s">
        <v>248</v>
      </c>
      <c r="J30">
        <f t="shared" si="1"/>
        <v>0</v>
      </c>
    </row>
    <row r="31" spans="2:83" x14ac:dyDescent="0.2">
      <c r="B31" t="s">
        <v>3541</v>
      </c>
      <c r="C31">
        <v>256</v>
      </c>
      <c r="D31" t="s">
        <v>248</v>
      </c>
      <c r="J31">
        <f t="shared" si="1"/>
        <v>0</v>
      </c>
      <c r="CB31">
        <f>IF(OR(E31&lt;0,F31&lt;0,G31&lt;0,H31&lt;0,I31&lt;0),1,0)</f>
        <v>0</v>
      </c>
    </row>
    <row r="32" spans="2:83" x14ac:dyDescent="0.2">
      <c r="B32" t="s">
        <v>3542</v>
      </c>
      <c r="C32">
        <v>260</v>
      </c>
      <c r="D32" t="s">
        <v>248</v>
      </c>
      <c r="J32">
        <f t="shared" si="1"/>
        <v>0</v>
      </c>
      <c r="CB32">
        <f>IF(OR(E32&lt;0,F32&lt;0,G32&lt;0,H32&lt;0,I32&lt;0),1,0)</f>
        <v>0</v>
      </c>
    </row>
    <row r="33" spans="2:80" x14ac:dyDescent="0.2">
      <c r="B33" t="s">
        <v>3543</v>
      </c>
      <c r="C33">
        <v>270</v>
      </c>
      <c r="D33" t="s">
        <v>245</v>
      </c>
      <c r="J33">
        <f t="shared" si="1"/>
        <v>0</v>
      </c>
      <c r="CA33">
        <f>IF(OR(E33&gt;0,F33&gt;0,G33&gt;0,H33&gt;0,I33&gt;0),1,0)</f>
        <v>0</v>
      </c>
    </row>
    <row r="34" spans="2:80" x14ac:dyDescent="0.2">
      <c r="B34" t="s">
        <v>3544</v>
      </c>
      <c r="C34">
        <v>280</v>
      </c>
      <c r="D34" t="s">
        <v>248</v>
      </c>
      <c r="J34">
        <f t="shared" si="1"/>
        <v>0</v>
      </c>
      <c r="CB34">
        <f>IF(OR(E34&lt;0,F34&lt;0,G34&lt;0,H34&lt;0,I34&lt;0),1,0)</f>
        <v>0</v>
      </c>
    </row>
    <row r="35" spans="2:80" x14ac:dyDescent="0.2">
      <c r="B35" t="s">
        <v>3545</v>
      </c>
      <c r="C35">
        <v>285</v>
      </c>
      <c r="D35" t="s">
        <v>248</v>
      </c>
      <c r="J35">
        <f t="shared" si="1"/>
        <v>0</v>
      </c>
      <c r="CB35">
        <f>IF(OR(E35&lt;0,F35&lt;0,G35&lt;0,H35&lt;0,I35&lt;0),1,0)</f>
        <v>0</v>
      </c>
    </row>
    <row r="36" spans="2:80" x14ac:dyDescent="0.2">
      <c r="B36" t="s">
        <v>3546</v>
      </c>
      <c r="C36">
        <v>290</v>
      </c>
      <c r="D36" t="s">
        <v>248</v>
      </c>
      <c r="J36">
        <f t="shared" si="1"/>
        <v>0</v>
      </c>
      <c r="CB36">
        <f>IF(OR(E36&lt;0,F36&lt;0,G36&lt;0,H36&lt;0,I36&lt;0),1,0)</f>
        <v>0</v>
      </c>
    </row>
    <row r="37" spans="2:80" x14ac:dyDescent="0.2">
      <c r="B37" t="s">
        <v>3547</v>
      </c>
      <c r="C37">
        <v>310</v>
      </c>
      <c r="D37" t="s">
        <v>251</v>
      </c>
      <c r="E37">
        <f t="shared" ref="E37:J37" si="2">SUM(E28:E36)</f>
        <v>0</v>
      </c>
      <c r="F37">
        <f t="shared" si="2"/>
        <v>0</v>
      </c>
      <c r="G37">
        <f t="shared" si="2"/>
        <v>0</v>
      </c>
      <c r="H37">
        <f t="shared" si="2"/>
        <v>0</v>
      </c>
      <c r="I37">
        <f t="shared" si="2"/>
        <v>0</v>
      </c>
      <c r="J37">
        <f t="shared" si="2"/>
        <v>0</v>
      </c>
    </row>
    <row r="38" spans="2:80" x14ac:dyDescent="0.2">
      <c r="B38" t="s">
        <v>3548</v>
      </c>
      <c r="C38">
        <v>320</v>
      </c>
      <c r="D38" t="s">
        <v>251</v>
      </c>
      <c r="E38">
        <f>E26+E37</f>
        <v>0</v>
      </c>
      <c r="F38">
        <f>F26+F37</f>
        <v>0</v>
      </c>
      <c r="G38">
        <f>G26+G37</f>
        <v>0</v>
      </c>
      <c r="H38">
        <f>H26+H37</f>
        <v>0</v>
      </c>
      <c r="I38">
        <f>I26+I37</f>
        <v>0</v>
      </c>
      <c r="J38">
        <f>SUM(E38:I38)</f>
        <v>0</v>
      </c>
    </row>
    <row r="39" spans="2:80" x14ac:dyDescent="0.2">
      <c r="B39" t="s">
        <v>3549</v>
      </c>
      <c r="C39">
        <v>330</v>
      </c>
      <c r="D39" t="s">
        <v>251</v>
      </c>
      <c r="E39">
        <f>E38-E14</f>
        <v>0</v>
      </c>
      <c r="F39">
        <f>F38-F14</f>
        <v>0</v>
      </c>
      <c r="G39">
        <f>G38-G14</f>
        <v>0</v>
      </c>
      <c r="H39">
        <f>H38-H14</f>
        <v>0</v>
      </c>
      <c r="I39">
        <f>I38-I14</f>
        <v>0</v>
      </c>
      <c r="J39">
        <f>SUM(E39:I39)</f>
        <v>0</v>
      </c>
    </row>
    <row r="44" spans="2:80" x14ac:dyDescent="0.2">
      <c r="B44" t="s">
        <v>3550</v>
      </c>
      <c r="C44" t="s">
        <v>1560</v>
      </c>
      <c r="D44" t="s">
        <v>25</v>
      </c>
      <c r="E44" t="s">
        <v>2386</v>
      </c>
      <c r="F44" t="s">
        <v>3406</v>
      </c>
      <c r="G44" t="s">
        <v>3414</v>
      </c>
      <c r="H44" t="s">
        <v>3415</v>
      </c>
      <c r="I44" t="s">
        <v>3416</v>
      </c>
      <c r="J44" t="s">
        <v>3519</v>
      </c>
    </row>
    <row r="45" spans="2:80" x14ac:dyDescent="0.2">
      <c r="B45" t="s">
        <v>3547</v>
      </c>
      <c r="C45">
        <v>340</v>
      </c>
      <c r="D45" t="s">
        <v>251</v>
      </c>
      <c r="E45">
        <f>E37</f>
        <v>0</v>
      </c>
      <c r="F45">
        <f>F37</f>
        <v>0</v>
      </c>
      <c r="G45">
        <f>G37</f>
        <v>0</v>
      </c>
      <c r="H45">
        <f>H37</f>
        <v>0</v>
      </c>
      <c r="I45">
        <f>I37</f>
        <v>0</v>
      </c>
      <c r="J45">
        <f>SUM(E45:I45)</f>
        <v>0</v>
      </c>
    </row>
    <row r="46" spans="2:80" x14ac:dyDescent="0.2">
      <c r="B46" t="s">
        <v>3551</v>
      </c>
      <c r="C46">
        <v>350</v>
      </c>
      <c r="D46" t="s">
        <v>248</v>
      </c>
      <c r="J46">
        <f>SUM(E46:I46)</f>
        <v>0</v>
      </c>
      <c r="CB46">
        <f>IF(OR(E46&lt;0,F46&lt;0,G46&lt;0,H46&lt;0,I46&lt;0),1,0)</f>
        <v>0</v>
      </c>
    </row>
    <row r="47" spans="2:80" x14ac:dyDescent="0.2">
      <c r="B47" t="s">
        <v>3552</v>
      </c>
      <c r="C47">
        <v>355</v>
      </c>
      <c r="D47" t="s">
        <v>248</v>
      </c>
      <c r="J47">
        <f>SUM(E47:I47)</f>
        <v>0</v>
      </c>
      <c r="CB47">
        <f>IF(OR(E47&lt;0,F47&lt;0,G47&lt;0,H47&lt;0,I47&lt;0),1,0)</f>
        <v>0</v>
      </c>
    </row>
    <row r="48" spans="2:80" x14ac:dyDescent="0.2">
      <c r="B48" t="s">
        <v>3553</v>
      </c>
      <c r="C48">
        <v>356</v>
      </c>
      <c r="D48" t="s">
        <v>245</v>
      </c>
    </row>
    <row r="49" spans="2:82" x14ac:dyDescent="0.2">
      <c r="B49" t="s">
        <v>3554</v>
      </c>
      <c r="C49">
        <v>358</v>
      </c>
      <c r="D49" t="s">
        <v>245</v>
      </c>
      <c r="J49">
        <f t="shared" ref="J49:J54" si="3">SUM(E49:I49)</f>
        <v>0</v>
      </c>
      <c r="CA49">
        <f t="shared" ref="CA49:CA54" si="4">IF(OR(E49&gt;0,F49&gt;0,G49&gt;0,H49&gt;0,I49&gt;0),1,0)</f>
        <v>0</v>
      </c>
    </row>
    <row r="50" spans="2:82" x14ac:dyDescent="0.2">
      <c r="B50" t="s">
        <v>3555</v>
      </c>
      <c r="C50">
        <v>360</v>
      </c>
      <c r="D50" t="s">
        <v>245</v>
      </c>
      <c r="J50">
        <f t="shared" si="3"/>
        <v>0</v>
      </c>
      <c r="CA50">
        <f t="shared" si="4"/>
        <v>0</v>
      </c>
      <c r="CC50">
        <f>E50+E51</f>
        <v>0</v>
      </c>
      <c r="CD50">
        <f>F50+F51</f>
        <v>0</v>
      </c>
    </row>
    <row r="51" spans="2:82" x14ac:dyDescent="0.2">
      <c r="B51" t="s">
        <v>3556</v>
      </c>
      <c r="C51">
        <v>362</v>
      </c>
      <c r="D51" t="s">
        <v>245</v>
      </c>
      <c r="J51">
        <f t="shared" si="3"/>
        <v>0</v>
      </c>
      <c r="CA51">
        <f t="shared" si="4"/>
        <v>0</v>
      </c>
    </row>
    <row r="52" spans="2:82" x14ac:dyDescent="0.2">
      <c r="B52" t="s">
        <v>3557</v>
      </c>
      <c r="C52">
        <v>364</v>
      </c>
      <c r="D52" t="s">
        <v>245</v>
      </c>
      <c r="J52">
        <f t="shared" si="3"/>
        <v>0</v>
      </c>
      <c r="CA52">
        <f t="shared" si="4"/>
        <v>0</v>
      </c>
      <c r="CC52">
        <f>E52+E53</f>
        <v>0</v>
      </c>
      <c r="CD52">
        <f>F52+F53</f>
        <v>0</v>
      </c>
    </row>
    <row r="53" spans="2:82" x14ac:dyDescent="0.2">
      <c r="B53" t="s">
        <v>3558</v>
      </c>
      <c r="C53">
        <v>366</v>
      </c>
      <c r="D53" t="s">
        <v>245</v>
      </c>
      <c r="J53">
        <f t="shared" si="3"/>
        <v>0</v>
      </c>
      <c r="CA53">
        <f t="shared" si="4"/>
        <v>0</v>
      </c>
    </row>
    <row r="54" spans="2:82" x14ac:dyDescent="0.2">
      <c r="B54" t="s">
        <v>3559</v>
      </c>
      <c r="C54">
        <v>368</v>
      </c>
      <c r="D54" t="s">
        <v>245</v>
      </c>
      <c r="J54">
        <f t="shared" si="3"/>
        <v>0</v>
      </c>
      <c r="CA54">
        <f t="shared" si="4"/>
        <v>0</v>
      </c>
    </row>
    <row r="55" spans="2:82" x14ac:dyDescent="0.2">
      <c r="B55" t="s">
        <v>3560</v>
      </c>
      <c r="C55">
        <v>370</v>
      </c>
      <c r="D55" t="s">
        <v>251</v>
      </c>
      <c r="E55">
        <f t="shared" ref="E55:J55" si="5">SUM(E45:E54)</f>
        <v>0</v>
      </c>
      <c r="F55">
        <f t="shared" si="5"/>
        <v>0</v>
      </c>
      <c r="G55">
        <f t="shared" si="5"/>
        <v>0</v>
      </c>
      <c r="H55">
        <f t="shared" si="5"/>
        <v>0</v>
      </c>
      <c r="I55">
        <f t="shared" si="5"/>
        <v>0</v>
      </c>
      <c r="J55">
        <f t="shared" si="5"/>
        <v>0</v>
      </c>
    </row>
    <row r="61" spans="2:82" x14ac:dyDescent="0.2">
      <c r="B61" t="s">
        <v>3561</v>
      </c>
    </row>
    <row r="62" spans="2:82" x14ac:dyDescent="0.2">
      <c r="B62" t="s">
        <v>2216</v>
      </c>
      <c r="C62">
        <v>380</v>
      </c>
      <c r="D62" t="s">
        <v>251</v>
      </c>
      <c r="E62">
        <f t="shared" ref="E62:J62" si="6">E17+E18+E19</f>
        <v>0</v>
      </c>
      <c r="F62">
        <f t="shared" si="6"/>
        <v>0</v>
      </c>
      <c r="G62">
        <f t="shared" si="6"/>
        <v>0</v>
      </c>
      <c r="H62">
        <f t="shared" si="6"/>
        <v>0</v>
      </c>
      <c r="I62">
        <f t="shared" si="6"/>
        <v>0</v>
      </c>
      <c r="J62">
        <f t="shared" si="6"/>
        <v>0</v>
      </c>
    </row>
    <row r="63" spans="2:82" x14ac:dyDescent="0.2">
      <c r="B63" t="s">
        <v>2582</v>
      </c>
      <c r="C63">
        <v>390</v>
      </c>
      <c r="D63" t="s">
        <v>248</v>
      </c>
      <c r="E63">
        <f t="shared" ref="E63:J63" si="7">E20</f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</row>
    <row r="64" spans="2:82" x14ac:dyDescent="0.2">
      <c r="B64" t="s">
        <v>3562</v>
      </c>
      <c r="C64">
        <v>400</v>
      </c>
      <c r="D64" t="s">
        <v>251</v>
      </c>
      <c r="E64">
        <f t="shared" ref="E64:J64" si="8">E21+E32+E33</f>
        <v>0</v>
      </c>
      <c r="F64">
        <f t="shared" si="8"/>
        <v>0</v>
      </c>
      <c r="G64">
        <f t="shared" si="8"/>
        <v>0</v>
      </c>
      <c r="H64">
        <f t="shared" si="8"/>
        <v>0</v>
      </c>
      <c r="I64">
        <f t="shared" si="8"/>
        <v>0</v>
      </c>
      <c r="J64">
        <f t="shared" si="8"/>
        <v>0</v>
      </c>
    </row>
    <row r="65" spans="2:80" x14ac:dyDescent="0.2">
      <c r="B65" t="s">
        <v>3563</v>
      </c>
      <c r="C65">
        <v>410</v>
      </c>
      <c r="D65" t="s">
        <v>251</v>
      </c>
      <c r="E65">
        <f t="shared" ref="E65:J65" si="9">E23+E25+E22</f>
        <v>0</v>
      </c>
      <c r="F65">
        <f t="shared" si="9"/>
        <v>0</v>
      </c>
      <c r="G65">
        <f t="shared" si="9"/>
        <v>0</v>
      </c>
      <c r="H65">
        <f t="shared" si="9"/>
        <v>0</v>
      </c>
      <c r="I65">
        <f t="shared" si="9"/>
        <v>0</v>
      </c>
      <c r="J65">
        <f t="shared" si="9"/>
        <v>0</v>
      </c>
    </row>
    <row r="66" spans="2:80" x14ac:dyDescent="0.2">
      <c r="B66" t="s">
        <v>2587</v>
      </c>
      <c r="C66">
        <v>420</v>
      </c>
      <c r="D66" t="s">
        <v>248</v>
      </c>
      <c r="E66">
        <f t="shared" ref="E66:J66" si="10">E24</f>
        <v>0</v>
      </c>
      <c r="F66">
        <f t="shared" si="10"/>
        <v>0</v>
      </c>
      <c r="G66">
        <f t="shared" si="10"/>
        <v>0</v>
      </c>
      <c r="H66">
        <f t="shared" si="10"/>
        <v>0</v>
      </c>
      <c r="I66">
        <f t="shared" si="10"/>
        <v>0</v>
      </c>
      <c r="J66">
        <f t="shared" si="10"/>
        <v>0</v>
      </c>
    </row>
    <row r="67" spans="2:80" x14ac:dyDescent="0.2">
      <c r="B67" t="s">
        <v>384</v>
      </c>
      <c r="C67">
        <v>430</v>
      </c>
      <c r="D67" t="s">
        <v>248</v>
      </c>
      <c r="E67">
        <f t="shared" ref="E67:J67" si="11">E28+E29+E30+E31</f>
        <v>0</v>
      </c>
      <c r="F67">
        <f t="shared" si="11"/>
        <v>0</v>
      </c>
      <c r="G67">
        <f t="shared" si="11"/>
        <v>0</v>
      </c>
      <c r="H67">
        <f t="shared" si="11"/>
        <v>0</v>
      </c>
      <c r="I67">
        <f t="shared" si="11"/>
        <v>0</v>
      </c>
      <c r="J67">
        <f t="shared" si="11"/>
        <v>0</v>
      </c>
    </row>
    <row r="68" spans="2:80" x14ac:dyDescent="0.2">
      <c r="B68" t="s">
        <v>3564</v>
      </c>
      <c r="C68">
        <v>440</v>
      </c>
      <c r="D68" t="s">
        <v>248</v>
      </c>
      <c r="E68">
        <f t="shared" ref="E68:J68" si="12">E34+E35+E36</f>
        <v>0</v>
      </c>
      <c r="F68">
        <f t="shared" si="12"/>
        <v>0</v>
      </c>
      <c r="G68">
        <f t="shared" si="12"/>
        <v>0</v>
      </c>
      <c r="H68">
        <f t="shared" si="12"/>
        <v>0</v>
      </c>
      <c r="I68">
        <f t="shared" si="12"/>
        <v>0</v>
      </c>
      <c r="J68">
        <f t="shared" si="12"/>
        <v>0</v>
      </c>
    </row>
    <row r="69" spans="2:80" x14ac:dyDescent="0.2">
      <c r="B69" t="s">
        <v>3565</v>
      </c>
      <c r="C69">
        <v>450</v>
      </c>
      <c r="D69" t="s">
        <v>248</v>
      </c>
      <c r="E69">
        <f t="shared" ref="E69:J69" si="13">SUM(E62:E68)</f>
        <v>0</v>
      </c>
      <c r="F69">
        <f t="shared" si="13"/>
        <v>0</v>
      </c>
      <c r="G69">
        <f t="shared" si="13"/>
        <v>0</v>
      </c>
      <c r="H69">
        <f t="shared" si="13"/>
        <v>0</v>
      </c>
      <c r="I69">
        <f t="shared" si="13"/>
        <v>0</v>
      </c>
      <c r="J69">
        <f t="shared" si="13"/>
        <v>0</v>
      </c>
    </row>
    <row r="71" spans="2:80" x14ac:dyDescent="0.2">
      <c r="B71" t="s">
        <v>3566</v>
      </c>
      <c r="C71">
        <v>460</v>
      </c>
      <c r="D71" t="s">
        <v>248</v>
      </c>
      <c r="E71">
        <f t="shared" ref="E71:J71" si="14">E69-E14</f>
        <v>0</v>
      </c>
      <c r="F71">
        <f t="shared" si="14"/>
        <v>0</v>
      </c>
      <c r="G71">
        <f t="shared" si="14"/>
        <v>0</v>
      </c>
      <c r="H71">
        <f t="shared" si="14"/>
        <v>0</v>
      </c>
      <c r="I71">
        <f t="shared" si="14"/>
        <v>0</v>
      </c>
      <c r="J71">
        <f t="shared" si="14"/>
        <v>0</v>
      </c>
      <c r="CB71">
        <f>IF(OR(E71&lt;0,F71&lt;0,G71&lt;0,H71&lt;0,I71&lt;0),1,0)</f>
        <v>0</v>
      </c>
    </row>
    <row r="73" spans="2:80" x14ac:dyDescent="0.2">
      <c r="B73" t="s">
        <v>2528</v>
      </c>
      <c r="C73" t="s">
        <v>238</v>
      </c>
      <c r="D73" t="s">
        <v>25</v>
      </c>
      <c r="E73" t="s">
        <v>3567</v>
      </c>
    </row>
    <row r="74" spans="2:80" x14ac:dyDescent="0.2">
      <c r="C74" t="s">
        <v>242</v>
      </c>
      <c r="G74" t="s">
        <v>2533</v>
      </c>
    </row>
    <row r="75" spans="2:80" x14ac:dyDescent="0.2">
      <c r="E75" t="s">
        <v>2419</v>
      </c>
      <c r="F75" t="s">
        <v>2534</v>
      </c>
      <c r="G75" t="s">
        <v>2278</v>
      </c>
      <c r="H75" t="s">
        <v>384</v>
      </c>
    </row>
    <row r="76" spans="2:80" x14ac:dyDescent="0.2">
      <c r="E76" t="s">
        <v>2036</v>
      </c>
      <c r="F76" t="s">
        <v>2037</v>
      </c>
      <c r="G76" t="s">
        <v>2038</v>
      </c>
      <c r="H76" t="s">
        <v>2039</v>
      </c>
    </row>
    <row r="77" spans="2:80" x14ac:dyDescent="0.2">
      <c r="E77" t="s">
        <v>243</v>
      </c>
      <c r="F77" t="s">
        <v>243</v>
      </c>
      <c r="G77" t="s">
        <v>243</v>
      </c>
      <c r="H77" t="s">
        <v>243</v>
      </c>
    </row>
    <row r="78" spans="2:80" x14ac:dyDescent="0.2">
      <c r="B78" t="s">
        <v>2535</v>
      </c>
      <c r="C78">
        <v>470</v>
      </c>
      <c r="D78" t="s">
        <v>248</v>
      </c>
      <c r="E78">
        <f>E14-E21-E24-E37</f>
        <v>0</v>
      </c>
    </row>
    <row r="80" spans="2:80" x14ac:dyDescent="0.2">
      <c r="B80" t="s">
        <v>3568</v>
      </c>
      <c r="C80" t="s">
        <v>238</v>
      </c>
      <c r="D80" t="s">
        <v>25</v>
      </c>
      <c r="E80" t="s">
        <v>2537</v>
      </c>
    </row>
    <row r="81" spans="2:8" x14ac:dyDescent="0.2">
      <c r="C81" t="s">
        <v>242</v>
      </c>
      <c r="G81" t="s">
        <v>2533</v>
      </c>
    </row>
    <row r="82" spans="2:8" x14ac:dyDescent="0.2">
      <c r="E82" t="s">
        <v>2419</v>
      </c>
      <c r="F82" t="s">
        <v>2534</v>
      </c>
      <c r="G82" t="s">
        <v>2278</v>
      </c>
      <c r="H82" t="s">
        <v>384</v>
      </c>
    </row>
    <row r="83" spans="2:8" x14ac:dyDescent="0.2">
      <c r="E83" t="s">
        <v>2036</v>
      </c>
      <c r="F83" t="s">
        <v>2037</v>
      </c>
      <c r="G83" t="s">
        <v>2038</v>
      </c>
      <c r="H83" t="s">
        <v>2039</v>
      </c>
    </row>
    <row r="84" spans="2:8" x14ac:dyDescent="0.2">
      <c r="E84" t="s">
        <v>243</v>
      </c>
      <c r="F84" t="s">
        <v>243</v>
      </c>
      <c r="G84" t="s">
        <v>243</v>
      </c>
      <c r="H84" t="s">
        <v>243</v>
      </c>
    </row>
    <row r="85" spans="2:8" x14ac:dyDescent="0.2">
      <c r="B85" t="s">
        <v>2538</v>
      </c>
      <c r="C85">
        <v>475</v>
      </c>
      <c r="D85" t="s">
        <v>248</v>
      </c>
      <c r="E85">
        <f>E31</f>
        <v>0</v>
      </c>
      <c r="F85">
        <f t="shared" ref="F85:F93" si="15">E85</f>
        <v>0</v>
      </c>
      <c r="H85">
        <f>F85</f>
        <v>0</v>
      </c>
    </row>
    <row r="86" spans="2:8" x14ac:dyDescent="0.2">
      <c r="B86" t="s">
        <v>2540</v>
      </c>
      <c r="C86">
        <v>480</v>
      </c>
      <c r="D86" t="s">
        <v>248</v>
      </c>
      <c r="E86">
        <f>E28</f>
        <v>0</v>
      </c>
      <c r="F86">
        <f t="shared" si="15"/>
        <v>0</v>
      </c>
      <c r="H86">
        <f t="shared" ref="H86:H92" si="16">E86</f>
        <v>0</v>
      </c>
    </row>
    <row r="87" spans="2:8" x14ac:dyDescent="0.2">
      <c r="B87" t="s">
        <v>2541</v>
      </c>
      <c r="C87">
        <v>490</v>
      </c>
      <c r="D87" t="s">
        <v>248</v>
      </c>
      <c r="E87">
        <f>E30</f>
        <v>0</v>
      </c>
      <c r="F87">
        <f t="shared" si="15"/>
        <v>0</v>
      </c>
      <c r="H87">
        <f t="shared" si="16"/>
        <v>0</v>
      </c>
    </row>
    <row r="88" spans="2:8" x14ac:dyDescent="0.2">
      <c r="B88" t="s">
        <v>2542</v>
      </c>
      <c r="C88">
        <v>500</v>
      </c>
      <c r="D88" t="s">
        <v>248</v>
      </c>
      <c r="E88">
        <f>E29</f>
        <v>0</v>
      </c>
      <c r="F88">
        <f t="shared" si="15"/>
        <v>0</v>
      </c>
      <c r="H88">
        <f t="shared" si="16"/>
        <v>0</v>
      </c>
    </row>
    <row r="89" spans="2:8" x14ac:dyDescent="0.2">
      <c r="B89" t="s">
        <v>2543</v>
      </c>
      <c r="C89">
        <v>510</v>
      </c>
      <c r="D89" t="s">
        <v>248</v>
      </c>
      <c r="E89">
        <f>E32</f>
        <v>0</v>
      </c>
      <c r="F89">
        <f t="shared" si="15"/>
        <v>0</v>
      </c>
      <c r="H89">
        <f t="shared" si="16"/>
        <v>0</v>
      </c>
    </row>
    <row r="90" spans="2:8" x14ac:dyDescent="0.2">
      <c r="B90" t="s">
        <v>2544</v>
      </c>
      <c r="C90">
        <v>520</v>
      </c>
      <c r="D90" t="s">
        <v>245</v>
      </c>
      <c r="E90">
        <f>E33</f>
        <v>0</v>
      </c>
      <c r="F90">
        <f t="shared" si="15"/>
        <v>0</v>
      </c>
      <c r="H90">
        <f t="shared" si="16"/>
        <v>0</v>
      </c>
    </row>
    <row r="91" spans="2:8" x14ac:dyDescent="0.2">
      <c r="B91" t="s">
        <v>2545</v>
      </c>
      <c r="C91">
        <v>530</v>
      </c>
      <c r="D91" t="s">
        <v>251</v>
      </c>
      <c r="F91">
        <f t="shared" si="15"/>
        <v>0</v>
      </c>
      <c r="H91">
        <f t="shared" si="16"/>
        <v>0</v>
      </c>
    </row>
    <row r="92" spans="2:8" x14ac:dyDescent="0.2">
      <c r="B92" t="s">
        <v>2546</v>
      </c>
      <c r="C92">
        <v>540</v>
      </c>
      <c r="D92" t="s">
        <v>251</v>
      </c>
      <c r="F92">
        <f t="shared" si="15"/>
        <v>0</v>
      </c>
      <c r="H92">
        <f t="shared" si="16"/>
        <v>0</v>
      </c>
    </row>
    <row r="93" spans="2:8" x14ac:dyDescent="0.2">
      <c r="B93" t="s">
        <v>2547</v>
      </c>
      <c r="C93">
        <v>550</v>
      </c>
      <c r="D93" t="s">
        <v>248</v>
      </c>
      <c r="E93">
        <f>E36</f>
        <v>0</v>
      </c>
      <c r="F93">
        <f t="shared" si="15"/>
        <v>0</v>
      </c>
      <c r="G93">
        <f>F93</f>
        <v>0</v>
      </c>
    </row>
    <row r="94" spans="2:8" x14ac:dyDescent="0.2">
      <c r="B94" t="s">
        <v>2548</v>
      </c>
      <c r="C94">
        <v>560</v>
      </c>
      <c r="D94" t="s">
        <v>245</v>
      </c>
      <c r="F94">
        <f>E52+E53</f>
        <v>0</v>
      </c>
      <c r="G94">
        <f>F94</f>
        <v>0</v>
      </c>
    </row>
    <row r="95" spans="2:8" x14ac:dyDescent="0.2">
      <c r="B95" t="s">
        <v>2549</v>
      </c>
      <c r="C95">
        <v>570</v>
      </c>
      <c r="D95" t="s">
        <v>251</v>
      </c>
      <c r="E95">
        <f>E34</f>
        <v>0</v>
      </c>
      <c r="F95">
        <f>E95</f>
        <v>0</v>
      </c>
    </row>
    <row r="96" spans="2:8" x14ac:dyDescent="0.2">
      <c r="B96" t="s">
        <v>2550</v>
      </c>
      <c r="C96">
        <v>580</v>
      </c>
      <c r="D96" t="s">
        <v>251</v>
      </c>
      <c r="E96">
        <f>E35</f>
        <v>0</v>
      </c>
      <c r="F96">
        <f>E96</f>
        <v>0</v>
      </c>
    </row>
    <row r="97" spans="2:8" x14ac:dyDescent="0.2">
      <c r="B97" t="s">
        <v>2551</v>
      </c>
      <c r="C97">
        <v>590</v>
      </c>
      <c r="D97" t="s">
        <v>248</v>
      </c>
      <c r="F97">
        <f>E47</f>
        <v>0</v>
      </c>
      <c r="G97">
        <f>F97</f>
        <v>0</v>
      </c>
    </row>
    <row r="98" spans="2:8" x14ac:dyDescent="0.2">
      <c r="B98" t="s">
        <v>2552</v>
      </c>
      <c r="C98">
        <v>600</v>
      </c>
      <c r="D98" t="s">
        <v>245</v>
      </c>
      <c r="F98">
        <f>E50+E51</f>
        <v>0</v>
      </c>
      <c r="G98">
        <f>F98</f>
        <v>0</v>
      </c>
    </row>
    <row r="99" spans="2:8" x14ac:dyDescent="0.2">
      <c r="B99" t="s">
        <v>2553</v>
      </c>
      <c r="C99">
        <v>610</v>
      </c>
      <c r="D99" t="s">
        <v>248</v>
      </c>
      <c r="F99">
        <f>E46</f>
        <v>0</v>
      </c>
      <c r="G99">
        <f>F99</f>
        <v>0</v>
      </c>
    </row>
    <row r="100" spans="2:8" x14ac:dyDescent="0.2">
      <c r="B100" t="s">
        <v>2554</v>
      </c>
      <c r="C100">
        <v>620</v>
      </c>
      <c r="D100" t="s">
        <v>245</v>
      </c>
      <c r="F100">
        <f>E48+E49</f>
        <v>0</v>
      </c>
      <c r="G100">
        <f>F100</f>
        <v>0</v>
      </c>
    </row>
    <row r="101" spans="2:8" x14ac:dyDescent="0.2">
      <c r="B101" t="s">
        <v>2555</v>
      </c>
      <c r="C101">
        <v>630</v>
      </c>
      <c r="D101" t="s">
        <v>251</v>
      </c>
      <c r="H101">
        <f>F101</f>
        <v>0</v>
      </c>
    </row>
    <row r="102" spans="2:8" x14ac:dyDescent="0.2">
      <c r="B102" t="s">
        <v>2556</v>
      </c>
      <c r="C102">
        <v>640</v>
      </c>
      <c r="D102" t="s">
        <v>251</v>
      </c>
    </row>
    <row r="103" spans="2:8" x14ac:dyDescent="0.2">
      <c r="B103" t="s">
        <v>2557</v>
      </c>
      <c r="C103">
        <v>650</v>
      </c>
      <c r="D103" t="s">
        <v>251</v>
      </c>
    </row>
    <row r="104" spans="2:8" x14ac:dyDescent="0.2">
      <c r="B104" t="s">
        <v>2558</v>
      </c>
      <c r="C104">
        <v>660</v>
      </c>
      <c r="D104" t="s">
        <v>251</v>
      </c>
    </row>
    <row r="105" spans="2:8" x14ac:dyDescent="0.2">
      <c r="B105" t="s">
        <v>2560</v>
      </c>
      <c r="C105">
        <v>670</v>
      </c>
      <c r="D105" t="s">
        <v>245</v>
      </c>
    </row>
    <row r="106" spans="2:8" x14ac:dyDescent="0.2">
      <c r="B106" t="s">
        <v>3569</v>
      </c>
      <c r="C106">
        <v>680</v>
      </c>
      <c r="D106" t="s">
        <v>251</v>
      </c>
    </row>
    <row r="107" spans="2:8" x14ac:dyDescent="0.2">
      <c r="B107" t="s">
        <v>2422</v>
      </c>
      <c r="C107">
        <v>690</v>
      </c>
      <c r="D107" t="s">
        <v>251</v>
      </c>
      <c r="E107">
        <f>SUM(E85:E106)</f>
        <v>0</v>
      </c>
      <c r="F107">
        <f>SUM(F85:F106)</f>
        <v>0</v>
      </c>
      <c r="G107">
        <f>SUM(G85:G106)</f>
        <v>0</v>
      </c>
      <c r="H107">
        <f>SUM(H85:H106)</f>
        <v>0</v>
      </c>
    </row>
    <row r="109" spans="2:8" x14ac:dyDescent="0.2">
      <c r="B109" t="s">
        <v>3570</v>
      </c>
      <c r="C109">
        <v>700</v>
      </c>
      <c r="D109" t="s">
        <v>251</v>
      </c>
      <c r="E109">
        <f>E78+E107</f>
        <v>0</v>
      </c>
      <c r="F109">
        <f>F78+F107</f>
        <v>0</v>
      </c>
      <c r="G109">
        <f>G78+G107</f>
        <v>0</v>
      </c>
      <c r="H109">
        <f>H78+H107</f>
        <v>0</v>
      </c>
    </row>
  </sheetData>
  <sheetProtection sheet="1" objects="1" scenarios="1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/>
  <dimension ref="A1:CK157"/>
  <sheetViews>
    <sheetView zoomScale="70" zoomScaleNormal="70" workbookViewId="0"/>
  </sheetViews>
  <sheetFormatPr defaultRowHeight="12.75" x14ac:dyDescent="0.2"/>
  <sheetData>
    <row r="1" spans="1:87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7" x14ac:dyDescent="0.2">
      <c r="A2" t="s">
        <v>3727</v>
      </c>
    </row>
    <row r="3" spans="1:87" x14ac:dyDescent="0.2">
      <c r="A3" t="s">
        <v>3802</v>
      </c>
    </row>
    <row r="5" spans="1:87" x14ac:dyDescent="0.2">
      <c r="B5" t="s">
        <v>2598</v>
      </c>
      <c r="CA5" t="s">
        <v>230</v>
      </c>
      <c r="CB5">
        <f>0</f>
        <v>0</v>
      </c>
    </row>
    <row r="6" spans="1:87" x14ac:dyDescent="0.2">
      <c r="CA6" t="s">
        <v>231</v>
      </c>
      <c r="CB6" t="s">
        <v>232</v>
      </c>
      <c r="CC6" t="s">
        <v>2599</v>
      </c>
      <c r="CD6" t="s">
        <v>2599</v>
      </c>
      <c r="CE6" t="s">
        <v>2599</v>
      </c>
      <c r="CF6" t="s">
        <v>2600</v>
      </c>
      <c r="CG6" t="s">
        <v>2601</v>
      </c>
      <c r="CH6" t="s">
        <v>2602</v>
      </c>
      <c r="CI6" t="s">
        <v>2603</v>
      </c>
    </row>
    <row r="7" spans="1:87" x14ac:dyDescent="0.2">
      <c r="B7" t="s">
        <v>2604</v>
      </c>
      <c r="C7" t="s">
        <v>238</v>
      </c>
      <c r="D7" t="s">
        <v>25</v>
      </c>
      <c r="F7" t="s">
        <v>1250</v>
      </c>
      <c r="I7" t="s">
        <v>2605</v>
      </c>
      <c r="L7" t="s">
        <v>340</v>
      </c>
      <c r="P7" t="s">
        <v>937</v>
      </c>
      <c r="CA7">
        <f>SUM(CA8:CA108)</f>
        <v>0</v>
      </c>
      <c r="CB7">
        <f>SUM(CB8:CB108)</f>
        <v>0</v>
      </c>
      <c r="CF7">
        <f>SUM(CF8:CF108)</f>
        <v>0</v>
      </c>
    </row>
    <row r="8" spans="1:87" x14ac:dyDescent="0.2">
      <c r="C8" t="s">
        <v>242</v>
      </c>
      <c r="E8" t="s">
        <v>2606</v>
      </c>
      <c r="F8" t="s">
        <v>2607</v>
      </c>
      <c r="G8" t="s">
        <v>340</v>
      </c>
      <c r="H8" t="s">
        <v>2606</v>
      </c>
      <c r="I8" t="s">
        <v>2607</v>
      </c>
      <c r="J8" t="s">
        <v>340</v>
      </c>
      <c r="K8" t="s">
        <v>2606</v>
      </c>
      <c r="L8" t="s">
        <v>2607</v>
      </c>
      <c r="M8" t="s">
        <v>340</v>
      </c>
      <c r="P8" t="s">
        <v>2608</v>
      </c>
    </row>
    <row r="9" spans="1:87" x14ac:dyDescent="0.2">
      <c r="E9" t="s">
        <v>2036</v>
      </c>
      <c r="F9" t="s">
        <v>2037</v>
      </c>
      <c r="G9" t="s">
        <v>2038</v>
      </c>
      <c r="H9" t="s">
        <v>2039</v>
      </c>
      <c r="I9" t="s">
        <v>2040</v>
      </c>
      <c r="J9" t="s">
        <v>2041</v>
      </c>
      <c r="K9" t="s">
        <v>2042</v>
      </c>
      <c r="L9" t="s">
        <v>2043</v>
      </c>
      <c r="M9" t="s">
        <v>2044</v>
      </c>
    </row>
    <row r="10" spans="1:87" x14ac:dyDescent="0.2"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K10" t="s">
        <v>243</v>
      </c>
      <c r="L10" t="s">
        <v>243</v>
      </c>
      <c r="M10" t="s">
        <v>243</v>
      </c>
    </row>
    <row r="11" spans="1:87" x14ac:dyDescent="0.2">
      <c r="B11" t="s">
        <v>2609</v>
      </c>
      <c r="C11">
        <v>100</v>
      </c>
      <c r="D11" t="s">
        <v>248</v>
      </c>
      <c r="M11">
        <f>SUM(K11:L11)</f>
        <v>0</v>
      </c>
      <c r="P11" t="s">
        <v>2610</v>
      </c>
      <c r="CB11">
        <f>IF(OR(K11&lt;0,L11&lt;0),1,0)</f>
        <v>0</v>
      </c>
    </row>
    <row r="12" spans="1:87" x14ac:dyDescent="0.2">
      <c r="B12" t="s">
        <v>2611</v>
      </c>
    </row>
    <row r="13" spans="1:87" x14ac:dyDescent="0.2">
      <c r="B13" t="s">
        <v>2612</v>
      </c>
      <c r="C13">
        <v>110</v>
      </c>
      <c r="D13" t="s">
        <v>245</v>
      </c>
      <c r="M13">
        <f t="shared" ref="M13:M19" si="0">SUM(K13:L13)</f>
        <v>0</v>
      </c>
      <c r="P13" t="s">
        <v>2613</v>
      </c>
      <c r="CA13">
        <f>IF(OR(L13&gt;0),1,0)</f>
        <v>0</v>
      </c>
    </row>
    <row r="14" spans="1:87" x14ac:dyDescent="0.2">
      <c r="B14" t="s">
        <v>2614</v>
      </c>
      <c r="C14">
        <v>120</v>
      </c>
      <c r="D14" t="s">
        <v>245</v>
      </c>
      <c r="M14">
        <f t="shared" si="0"/>
        <v>0</v>
      </c>
      <c r="CA14">
        <f>IF(OR(L14&gt;0),1,0)</f>
        <v>0</v>
      </c>
    </row>
    <row r="15" spans="1:87" x14ac:dyDescent="0.2">
      <c r="B15" t="s">
        <v>2615</v>
      </c>
      <c r="C15">
        <v>130</v>
      </c>
      <c r="D15" t="s">
        <v>248</v>
      </c>
      <c r="M15">
        <f t="shared" si="0"/>
        <v>0</v>
      </c>
      <c r="CB15">
        <f>IF(OR(L15&lt;0),1,0)</f>
        <v>0</v>
      </c>
    </row>
    <row r="16" spans="1:87" x14ac:dyDescent="0.2">
      <c r="B16" t="s">
        <v>2616</v>
      </c>
      <c r="C16">
        <v>140</v>
      </c>
      <c r="D16" t="s">
        <v>251</v>
      </c>
      <c r="M16">
        <f t="shared" si="0"/>
        <v>0</v>
      </c>
      <c r="P16" t="s">
        <v>2617</v>
      </c>
    </row>
    <row r="17" spans="2:89" x14ac:dyDescent="0.2">
      <c r="B17" t="s">
        <v>2618</v>
      </c>
      <c r="C17">
        <v>150</v>
      </c>
      <c r="D17" t="s">
        <v>251</v>
      </c>
      <c r="M17">
        <f t="shared" si="0"/>
        <v>0</v>
      </c>
      <c r="P17" t="s">
        <v>2619</v>
      </c>
    </row>
    <row r="18" spans="2:89" x14ac:dyDescent="0.2">
      <c r="B18" t="s">
        <v>2620</v>
      </c>
      <c r="C18">
        <v>155</v>
      </c>
      <c r="D18" t="s">
        <v>248</v>
      </c>
      <c r="M18">
        <f t="shared" si="0"/>
        <v>0</v>
      </c>
      <c r="CB18">
        <f>IF(OR(L18&lt;0),1,0)</f>
        <v>0</v>
      </c>
    </row>
    <row r="19" spans="2:89" x14ac:dyDescent="0.2">
      <c r="B19" t="s">
        <v>352</v>
      </c>
      <c r="C19">
        <v>160</v>
      </c>
      <c r="D19" t="s">
        <v>251</v>
      </c>
      <c r="M19">
        <f t="shared" si="0"/>
        <v>0</v>
      </c>
      <c r="P19" t="s">
        <v>2621</v>
      </c>
      <c r="CG19">
        <f>SUM(M13:M19)</f>
        <v>0</v>
      </c>
      <c r="CH19">
        <f>M19</f>
        <v>0</v>
      </c>
      <c r="CI19">
        <f>IF(CG19&lt;&gt;0,(CH19/CG19)*100,0)</f>
        <v>0</v>
      </c>
    </row>
    <row r="20" spans="2:89" x14ac:dyDescent="0.2">
      <c r="B20" t="s">
        <v>2622</v>
      </c>
      <c r="C20">
        <v>170</v>
      </c>
      <c r="D20" t="s">
        <v>248</v>
      </c>
      <c r="K20">
        <f>SUM(K11:K19)</f>
        <v>0</v>
      </c>
      <c r="L20">
        <f>SUM(L11:L19)</f>
        <v>0</v>
      </c>
      <c r="M20">
        <f>SUM(M11:M19)</f>
        <v>0</v>
      </c>
      <c r="CF20">
        <f>IF(L20&lt;&gt;0,1,0)</f>
        <v>0</v>
      </c>
    </row>
    <row r="21" spans="2:89" x14ac:dyDescent="0.2">
      <c r="B21" t="s">
        <v>2623</v>
      </c>
    </row>
    <row r="22" spans="2:89" x14ac:dyDescent="0.2">
      <c r="B22" t="s">
        <v>2624</v>
      </c>
      <c r="C22">
        <v>180</v>
      </c>
      <c r="D22" t="s">
        <v>248</v>
      </c>
      <c r="M22">
        <f t="shared" ref="M22:M42" si="1">SUM(K22:L22)</f>
        <v>0</v>
      </c>
      <c r="P22" t="s">
        <v>2625</v>
      </c>
      <c r="CB22">
        <f>IF(OR(K22&lt;0,L22&lt;0),1,0)</f>
        <v>0</v>
      </c>
    </row>
    <row r="23" spans="2:89" x14ac:dyDescent="0.2">
      <c r="B23" t="s">
        <v>2626</v>
      </c>
      <c r="C23">
        <v>190</v>
      </c>
      <c r="D23" t="s">
        <v>245</v>
      </c>
      <c r="M23">
        <f t="shared" si="1"/>
        <v>0</v>
      </c>
      <c r="CA23">
        <f>IF(OR(K23&gt;0,L23&gt;0),1,0)</f>
        <v>0</v>
      </c>
    </row>
    <row r="24" spans="2:89" x14ac:dyDescent="0.2">
      <c r="B24" t="s">
        <v>2627</v>
      </c>
      <c r="C24">
        <v>200</v>
      </c>
      <c r="D24" t="s">
        <v>245</v>
      </c>
      <c r="M24">
        <f t="shared" si="1"/>
        <v>0</v>
      </c>
      <c r="P24" t="s">
        <v>2628</v>
      </c>
      <c r="CA24">
        <f>IF(OR(K24&gt;0,L24&gt;0),1,0)</f>
        <v>0</v>
      </c>
      <c r="CI24" t="s">
        <v>2629</v>
      </c>
    </row>
    <row r="25" spans="2:89" x14ac:dyDescent="0.2">
      <c r="B25" t="s">
        <v>2630</v>
      </c>
      <c r="C25">
        <v>210</v>
      </c>
      <c r="D25" t="s">
        <v>248</v>
      </c>
      <c r="M25">
        <f t="shared" si="1"/>
        <v>0</v>
      </c>
      <c r="P25" t="s">
        <v>2631</v>
      </c>
      <c r="CB25">
        <f>IF(OR(K25&lt;0,L25&lt;0),1,0)</f>
        <v>0</v>
      </c>
      <c r="CI25" t="s">
        <v>2632</v>
      </c>
      <c r="CK25">
        <f>M22-M56-M57-M58</f>
        <v>0</v>
      </c>
    </row>
    <row r="26" spans="2:89" x14ac:dyDescent="0.2">
      <c r="B26" t="s">
        <v>2633</v>
      </c>
      <c r="C26">
        <v>220</v>
      </c>
      <c r="D26" t="s">
        <v>248</v>
      </c>
      <c r="M26">
        <f t="shared" si="1"/>
        <v>0</v>
      </c>
      <c r="P26" t="s">
        <v>2634</v>
      </c>
      <c r="CB26">
        <f>IF(OR(K26&lt;0,L26&lt;0),1,0)</f>
        <v>0</v>
      </c>
      <c r="CI26" t="s">
        <v>2635</v>
      </c>
      <c r="CK26">
        <f>M35+M36+M37-M62-M63-M64</f>
        <v>0</v>
      </c>
    </row>
    <row r="27" spans="2:89" x14ac:dyDescent="0.2">
      <c r="B27" t="s">
        <v>2636</v>
      </c>
      <c r="C27">
        <v>230</v>
      </c>
      <c r="D27" t="s">
        <v>251</v>
      </c>
      <c r="M27">
        <f t="shared" si="1"/>
        <v>0</v>
      </c>
      <c r="P27" t="s">
        <v>2637</v>
      </c>
    </row>
    <row r="28" spans="2:89" x14ac:dyDescent="0.2">
      <c r="B28" t="s">
        <v>2638</v>
      </c>
      <c r="C28">
        <v>240</v>
      </c>
      <c r="D28" t="s">
        <v>251</v>
      </c>
      <c r="M28">
        <f t="shared" si="1"/>
        <v>0</v>
      </c>
      <c r="P28" t="s">
        <v>2639</v>
      </c>
    </row>
    <row r="29" spans="2:89" x14ac:dyDescent="0.2">
      <c r="B29" t="s">
        <v>2640</v>
      </c>
      <c r="C29">
        <v>250</v>
      </c>
      <c r="D29" t="s">
        <v>251</v>
      </c>
      <c r="M29">
        <f t="shared" si="1"/>
        <v>0</v>
      </c>
    </row>
    <row r="30" spans="2:89" x14ac:dyDescent="0.2">
      <c r="B30" t="s">
        <v>2641</v>
      </c>
      <c r="C30">
        <v>260</v>
      </c>
      <c r="D30" t="s">
        <v>251</v>
      </c>
      <c r="M30">
        <f t="shared" si="1"/>
        <v>0</v>
      </c>
    </row>
    <row r="31" spans="2:89" x14ac:dyDescent="0.2">
      <c r="B31" t="s">
        <v>2642</v>
      </c>
      <c r="C31">
        <v>270</v>
      </c>
      <c r="D31" t="s">
        <v>251</v>
      </c>
      <c r="M31">
        <f t="shared" si="1"/>
        <v>0</v>
      </c>
    </row>
    <row r="32" spans="2:89" x14ac:dyDescent="0.2">
      <c r="B32" t="s">
        <v>2643</v>
      </c>
      <c r="C32">
        <v>280</v>
      </c>
      <c r="D32" t="s">
        <v>251</v>
      </c>
      <c r="M32">
        <f t="shared" si="1"/>
        <v>0</v>
      </c>
    </row>
    <row r="33" spans="2:87" x14ac:dyDescent="0.2">
      <c r="B33" t="s">
        <v>2644</v>
      </c>
      <c r="C33">
        <v>290</v>
      </c>
      <c r="D33" t="s">
        <v>251</v>
      </c>
      <c r="M33">
        <f t="shared" si="1"/>
        <v>0</v>
      </c>
      <c r="P33" t="s">
        <v>2645</v>
      </c>
    </row>
    <row r="34" spans="2:87" x14ac:dyDescent="0.2">
      <c r="B34" t="s">
        <v>2646</v>
      </c>
      <c r="C34">
        <v>300</v>
      </c>
      <c r="D34" t="s">
        <v>251</v>
      </c>
      <c r="M34">
        <f t="shared" si="1"/>
        <v>0</v>
      </c>
      <c r="P34" t="s">
        <v>2647</v>
      </c>
    </row>
    <row r="35" spans="2:87" x14ac:dyDescent="0.2">
      <c r="B35" t="s">
        <v>2648</v>
      </c>
      <c r="C35">
        <v>310</v>
      </c>
      <c r="D35" t="s">
        <v>251</v>
      </c>
      <c r="M35">
        <f t="shared" si="1"/>
        <v>0</v>
      </c>
      <c r="P35" t="s">
        <v>2649</v>
      </c>
    </row>
    <row r="36" spans="2:87" x14ac:dyDescent="0.2">
      <c r="B36" t="s">
        <v>2650</v>
      </c>
      <c r="C36">
        <v>320</v>
      </c>
      <c r="D36" t="s">
        <v>251</v>
      </c>
      <c r="M36">
        <f t="shared" si="1"/>
        <v>0</v>
      </c>
      <c r="P36" t="s">
        <v>2651</v>
      </c>
    </row>
    <row r="37" spans="2:87" x14ac:dyDescent="0.2">
      <c r="B37" t="s">
        <v>2652</v>
      </c>
      <c r="C37">
        <v>330</v>
      </c>
      <c r="D37" t="s">
        <v>251</v>
      </c>
      <c r="M37">
        <f t="shared" si="1"/>
        <v>0</v>
      </c>
      <c r="P37" t="s">
        <v>2653</v>
      </c>
    </row>
    <row r="38" spans="2:87" x14ac:dyDescent="0.2">
      <c r="B38" t="s">
        <v>2654</v>
      </c>
      <c r="C38">
        <v>340</v>
      </c>
      <c r="D38" t="s">
        <v>251</v>
      </c>
      <c r="M38">
        <f t="shared" si="1"/>
        <v>0</v>
      </c>
    </row>
    <row r="39" spans="2:87" x14ac:dyDescent="0.2">
      <c r="B39" t="s">
        <v>2655</v>
      </c>
      <c r="C39">
        <v>350</v>
      </c>
      <c r="D39" t="s">
        <v>248</v>
      </c>
      <c r="M39">
        <f t="shared" si="1"/>
        <v>0</v>
      </c>
      <c r="P39" t="s">
        <v>2656</v>
      </c>
      <c r="CB39">
        <f>IF(OR(L39&lt;0),1,0)</f>
        <v>0</v>
      </c>
    </row>
    <row r="40" spans="2:87" x14ac:dyDescent="0.2">
      <c r="B40" t="s">
        <v>2657</v>
      </c>
      <c r="C40">
        <v>360</v>
      </c>
      <c r="D40" t="s">
        <v>251</v>
      </c>
      <c r="M40">
        <f t="shared" si="1"/>
        <v>0</v>
      </c>
    </row>
    <row r="41" spans="2:87" x14ac:dyDescent="0.2">
      <c r="B41" t="s">
        <v>2658</v>
      </c>
      <c r="C41">
        <v>370</v>
      </c>
      <c r="D41" t="s">
        <v>251</v>
      </c>
      <c r="M41">
        <f t="shared" si="1"/>
        <v>0</v>
      </c>
      <c r="P41" t="s">
        <v>2659</v>
      </c>
    </row>
    <row r="42" spans="2:87" x14ac:dyDescent="0.2">
      <c r="B42" t="s">
        <v>352</v>
      </c>
      <c r="C42">
        <v>380</v>
      </c>
      <c r="D42" t="s">
        <v>251</v>
      </c>
      <c r="M42">
        <f t="shared" si="1"/>
        <v>0</v>
      </c>
      <c r="P42" t="s">
        <v>2660</v>
      </c>
      <c r="CG42">
        <f>SUM(M22:M42)</f>
        <v>0</v>
      </c>
      <c r="CH42">
        <f>M42</f>
        <v>0</v>
      </c>
      <c r="CI42">
        <f>IF(CG42&lt;&gt;0,(CH42/CG42)*100,0)</f>
        <v>0</v>
      </c>
    </row>
    <row r="43" spans="2:87" x14ac:dyDescent="0.2">
      <c r="B43" t="s">
        <v>2661</v>
      </c>
      <c r="C43">
        <v>390</v>
      </c>
      <c r="D43" t="s">
        <v>251</v>
      </c>
      <c r="K43">
        <f>SUM(K22:K42)</f>
        <v>0</v>
      </c>
      <c r="L43">
        <f>SUM(L22:L42)</f>
        <v>0</v>
      </c>
      <c r="M43">
        <f>K43+L43</f>
        <v>0</v>
      </c>
    </row>
    <row r="44" spans="2:87" x14ac:dyDescent="0.2">
      <c r="B44" t="s">
        <v>2662</v>
      </c>
      <c r="C44">
        <v>400</v>
      </c>
      <c r="D44" t="s">
        <v>248</v>
      </c>
      <c r="K44">
        <f>K43+K20</f>
        <v>0</v>
      </c>
      <c r="L44">
        <f>L43+L20</f>
        <v>0</v>
      </c>
      <c r="M44">
        <f>K44+L44</f>
        <v>0</v>
      </c>
      <c r="P44" t="s">
        <v>2663</v>
      </c>
    </row>
    <row r="45" spans="2:87" x14ac:dyDescent="0.2">
      <c r="E45" t="s">
        <v>2664</v>
      </c>
      <c r="F45" t="s">
        <v>2665</v>
      </c>
      <c r="G45" t="s">
        <v>2666</v>
      </c>
      <c r="H45" t="s">
        <v>2667</v>
      </c>
      <c r="I45" t="s">
        <v>2668</v>
      </c>
      <c r="J45" t="s">
        <v>2669</v>
      </c>
      <c r="K45" t="s">
        <v>2670</v>
      </c>
      <c r="L45" t="s">
        <v>2671</v>
      </c>
      <c r="M45" t="s">
        <v>340</v>
      </c>
    </row>
    <row r="46" spans="2:87" x14ac:dyDescent="0.2">
      <c r="B46" t="s">
        <v>2672</v>
      </c>
      <c r="C46">
        <v>410</v>
      </c>
      <c r="D46" t="s">
        <v>248</v>
      </c>
      <c r="G46">
        <f>SUM(E46:F46)</f>
        <v>0</v>
      </c>
      <c r="J46">
        <f>SUM(H46:I46)</f>
        <v>0</v>
      </c>
      <c r="K46">
        <f>E46+H46</f>
        <v>0</v>
      </c>
      <c r="L46">
        <f>F46+I46</f>
        <v>0</v>
      </c>
      <c r="M46">
        <f>SUM(K46:L46)</f>
        <v>0</v>
      </c>
      <c r="P46" t="s">
        <v>2673</v>
      </c>
      <c r="CB46">
        <f>IF(OR(M46&lt;0),1,0)</f>
        <v>0</v>
      </c>
    </row>
    <row r="47" spans="2:87" x14ac:dyDescent="0.2">
      <c r="B47" t="s">
        <v>2674</v>
      </c>
    </row>
    <row r="48" spans="2:87" x14ac:dyDescent="0.2">
      <c r="B48" t="s">
        <v>2675</v>
      </c>
      <c r="C48">
        <v>420</v>
      </c>
      <c r="D48" t="s">
        <v>245</v>
      </c>
      <c r="G48">
        <f t="shared" ref="G48:G53" si="2">SUM(E48:F48)</f>
        <v>0</v>
      </c>
      <c r="J48">
        <f t="shared" ref="J48:J53" si="3">SUM(H48:I48)</f>
        <v>0</v>
      </c>
      <c r="K48">
        <f t="shared" ref="K48:L53" si="4">E48+H48</f>
        <v>0</v>
      </c>
      <c r="L48">
        <f t="shared" si="4"/>
        <v>0</v>
      </c>
      <c r="M48">
        <f t="shared" ref="M48:M53" si="5">SUM(K48:L48)</f>
        <v>0</v>
      </c>
      <c r="P48" t="s">
        <v>2676</v>
      </c>
      <c r="CA48">
        <f>IF(OR(E48&gt;0,F48&gt;0,H48&gt;0,I48&gt;0),1,0)</f>
        <v>0</v>
      </c>
    </row>
    <row r="49" spans="2:87" x14ac:dyDescent="0.2">
      <c r="B49" t="s">
        <v>2677</v>
      </c>
      <c r="C49">
        <v>430</v>
      </c>
      <c r="D49" t="s">
        <v>248</v>
      </c>
      <c r="G49">
        <f t="shared" si="2"/>
        <v>0</v>
      </c>
      <c r="J49">
        <f t="shared" si="3"/>
        <v>0</v>
      </c>
      <c r="K49">
        <f t="shared" si="4"/>
        <v>0</v>
      </c>
      <c r="L49">
        <f t="shared" si="4"/>
        <v>0</v>
      </c>
      <c r="M49">
        <f t="shared" si="5"/>
        <v>0</v>
      </c>
      <c r="P49" t="s">
        <v>2678</v>
      </c>
      <c r="CB49">
        <f>IF(OR(E49&lt;0,F49&lt;0,H49&lt;0,I49&lt;0),1,0)</f>
        <v>0</v>
      </c>
    </row>
    <row r="50" spans="2:87" x14ac:dyDescent="0.2">
      <c r="B50" t="s">
        <v>2616</v>
      </c>
      <c r="C50">
        <v>440</v>
      </c>
      <c r="D50" t="s">
        <v>251</v>
      </c>
      <c r="G50">
        <f t="shared" si="2"/>
        <v>0</v>
      </c>
      <c r="J50">
        <f t="shared" si="3"/>
        <v>0</v>
      </c>
      <c r="K50">
        <f t="shared" si="4"/>
        <v>0</v>
      </c>
      <c r="L50">
        <f t="shared" si="4"/>
        <v>0</v>
      </c>
      <c r="M50">
        <f t="shared" si="5"/>
        <v>0</v>
      </c>
      <c r="P50" t="s">
        <v>2679</v>
      </c>
    </row>
    <row r="51" spans="2:87" x14ac:dyDescent="0.2">
      <c r="B51" t="s">
        <v>2618</v>
      </c>
      <c r="C51">
        <v>450</v>
      </c>
      <c r="D51" t="s">
        <v>251</v>
      </c>
      <c r="G51">
        <f t="shared" si="2"/>
        <v>0</v>
      </c>
      <c r="J51">
        <f t="shared" si="3"/>
        <v>0</v>
      </c>
      <c r="K51">
        <f t="shared" si="4"/>
        <v>0</v>
      </c>
      <c r="L51">
        <f t="shared" si="4"/>
        <v>0</v>
      </c>
      <c r="M51">
        <f t="shared" si="5"/>
        <v>0</v>
      </c>
      <c r="P51" t="s">
        <v>2680</v>
      </c>
    </row>
    <row r="52" spans="2:87" x14ac:dyDescent="0.2">
      <c r="B52" t="s">
        <v>2681</v>
      </c>
      <c r="C52">
        <v>460</v>
      </c>
      <c r="D52" t="s">
        <v>245</v>
      </c>
      <c r="G52">
        <f t="shared" si="2"/>
        <v>0</v>
      </c>
      <c r="J52">
        <f t="shared" si="3"/>
        <v>0</v>
      </c>
      <c r="K52">
        <f t="shared" si="4"/>
        <v>0</v>
      </c>
      <c r="L52">
        <f t="shared" si="4"/>
        <v>0</v>
      </c>
      <c r="M52">
        <f t="shared" si="5"/>
        <v>0</v>
      </c>
      <c r="P52" t="s">
        <v>2682</v>
      </c>
      <c r="CA52">
        <f>IF(OR(E52&gt;0,F52&gt;0,H52&gt;0,I52&gt;0),1,0)</f>
        <v>0</v>
      </c>
    </row>
    <row r="53" spans="2:87" x14ac:dyDescent="0.2">
      <c r="B53" t="s">
        <v>352</v>
      </c>
      <c r="C53">
        <v>470</v>
      </c>
      <c r="D53" t="s">
        <v>251</v>
      </c>
      <c r="G53">
        <f t="shared" si="2"/>
        <v>0</v>
      </c>
      <c r="J53">
        <f t="shared" si="3"/>
        <v>0</v>
      </c>
      <c r="K53">
        <f t="shared" si="4"/>
        <v>0</v>
      </c>
      <c r="L53">
        <f t="shared" si="4"/>
        <v>0</v>
      </c>
      <c r="M53">
        <f t="shared" si="5"/>
        <v>0</v>
      </c>
      <c r="P53" t="s">
        <v>2683</v>
      </c>
      <c r="CG53">
        <f>SUM(M48:M53)</f>
        <v>0</v>
      </c>
      <c r="CH53">
        <f>M53</f>
        <v>0</v>
      </c>
      <c r="CI53">
        <f>IF(CG53&lt;&gt;0,(CH53/CG53)*100,0)</f>
        <v>0</v>
      </c>
    </row>
    <row r="54" spans="2:87" x14ac:dyDescent="0.2">
      <c r="B54" t="s">
        <v>2684</v>
      </c>
      <c r="C54">
        <v>480</v>
      </c>
      <c r="D54" t="s">
        <v>248</v>
      </c>
      <c r="E54">
        <f t="shared" ref="E54:M54" si="6">SUM(E46:E53)</f>
        <v>0</v>
      </c>
      <c r="F54">
        <f t="shared" si="6"/>
        <v>0</v>
      </c>
      <c r="G54">
        <f t="shared" si="6"/>
        <v>0</v>
      </c>
      <c r="H54">
        <f t="shared" si="6"/>
        <v>0</v>
      </c>
      <c r="I54">
        <f t="shared" si="6"/>
        <v>0</v>
      </c>
      <c r="J54">
        <f t="shared" si="6"/>
        <v>0</v>
      </c>
      <c r="K54">
        <f t="shared" si="6"/>
        <v>0</v>
      </c>
      <c r="L54">
        <f t="shared" si="6"/>
        <v>0</v>
      </c>
      <c r="M54">
        <f t="shared" si="6"/>
        <v>0</v>
      </c>
      <c r="CF54">
        <f>IF(OR(F54&lt;&gt;0,I54&lt;&gt;0),1,0)</f>
        <v>0</v>
      </c>
    </row>
    <row r="55" spans="2:87" x14ac:dyDescent="0.2">
      <c r="B55" t="s">
        <v>2685</v>
      </c>
    </row>
    <row r="56" spans="2:87" x14ac:dyDescent="0.2">
      <c r="B56" t="s">
        <v>2686</v>
      </c>
      <c r="C56">
        <v>490</v>
      </c>
      <c r="D56" t="s">
        <v>248</v>
      </c>
      <c r="G56">
        <f t="shared" ref="G56:G68" si="7">SUM(E56:F56)</f>
        <v>0</v>
      </c>
      <c r="J56">
        <f t="shared" ref="J56:J67" si="8">SUM(H56:I56)</f>
        <v>0</v>
      </c>
      <c r="K56">
        <f t="shared" ref="K56:K67" si="9">E56+H56</f>
        <v>0</v>
      </c>
      <c r="L56">
        <f t="shared" ref="L56:L67" si="10">F56+I56</f>
        <v>0</v>
      </c>
      <c r="M56">
        <f t="shared" ref="M56:M73" si="11">SUM(K56:L56)</f>
        <v>0</v>
      </c>
      <c r="P56" t="s">
        <v>2687</v>
      </c>
      <c r="CB56">
        <f>IF(OR(E56&lt;0,F56&lt;0,H56&lt;0,I56&lt;0),1,0)</f>
        <v>0</v>
      </c>
    </row>
    <row r="57" spans="2:87" x14ac:dyDescent="0.2">
      <c r="B57" t="s">
        <v>2688</v>
      </c>
      <c r="C57">
        <v>500</v>
      </c>
      <c r="D57" t="s">
        <v>248</v>
      </c>
      <c r="G57">
        <f t="shared" si="7"/>
        <v>0</v>
      </c>
      <c r="J57">
        <f t="shared" si="8"/>
        <v>0</v>
      </c>
      <c r="K57">
        <f t="shared" si="9"/>
        <v>0</v>
      </c>
      <c r="L57">
        <f t="shared" si="10"/>
        <v>0</v>
      </c>
      <c r="M57">
        <f t="shared" si="11"/>
        <v>0</v>
      </c>
      <c r="P57" t="s">
        <v>2689</v>
      </c>
      <c r="CB57">
        <f>IF(OR(E57&lt;0,F57&lt;0,H57&lt;0,I57&lt;0),1,0)</f>
        <v>0</v>
      </c>
    </row>
    <row r="58" spans="2:87" x14ac:dyDescent="0.2">
      <c r="B58" t="s">
        <v>2690</v>
      </c>
      <c r="C58">
        <v>510</v>
      </c>
      <c r="D58" t="s">
        <v>248</v>
      </c>
      <c r="G58">
        <f t="shared" si="7"/>
        <v>0</v>
      </c>
      <c r="J58">
        <f t="shared" si="8"/>
        <v>0</v>
      </c>
      <c r="K58">
        <f t="shared" si="9"/>
        <v>0</v>
      </c>
      <c r="L58">
        <f t="shared" si="10"/>
        <v>0</v>
      </c>
      <c r="M58">
        <f t="shared" si="11"/>
        <v>0</v>
      </c>
      <c r="P58" t="s">
        <v>2691</v>
      </c>
      <c r="CB58">
        <f>IF(OR(E58&lt;0,F58&lt;0,H58&lt;0,I58&lt;0),1,0)</f>
        <v>0</v>
      </c>
    </row>
    <row r="59" spans="2:87" x14ac:dyDescent="0.2">
      <c r="B59" t="s">
        <v>2692</v>
      </c>
      <c r="C59">
        <v>520</v>
      </c>
      <c r="D59" t="s">
        <v>251</v>
      </c>
      <c r="G59">
        <f t="shared" si="7"/>
        <v>0</v>
      </c>
      <c r="J59">
        <f t="shared" si="8"/>
        <v>0</v>
      </c>
      <c r="K59">
        <f t="shared" si="9"/>
        <v>0</v>
      </c>
      <c r="L59">
        <f t="shared" si="10"/>
        <v>0</v>
      </c>
      <c r="M59">
        <f t="shared" si="11"/>
        <v>0</v>
      </c>
      <c r="P59" t="s">
        <v>2693</v>
      </c>
    </row>
    <row r="60" spans="2:87" x14ac:dyDescent="0.2">
      <c r="B60" t="s">
        <v>2636</v>
      </c>
      <c r="C60">
        <v>530</v>
      </c>
      <c r="D60" t="s">
        <v>251</v>
      </c>
      <c r="G60">
        <f t="shared" si="7"/>
        <v>0</v>
      </c>
      <c r="J60">
        <f t="shared" si="8"/>
        <v>0</v>
      </c>
      <c r="K60">
        <f t="shared" si="9"/>
        <v>0</v>
      </c>
      <c r="L60">
        <f t="shared" si="10"/>
        <v>0</v>
      </c>
      <c r="M60">
        <f t="shared" si="11"/>
        <v>0</v>
      </c>
      <c r="P60" t="s">
        <v>2694</v>
      </c>
    </row>
    <row r="61" spans="2:87" x14ac:dyDescent="0.2">
      <c r="B61" t="s">
        <v>2638</v>
      </c>
      <c r="C61">
        <v>540</v>
      </c>
      <c r="D61" t="s">
        <v>251</v>
      </c>
      <c r="G61">
        <f t="shared" si="7"/>
        <v>0</v>
      </c>
      <c r="J61">
        <f t="shared" si="8"/>
        <v>0</v>
      </c>
      <c r="K61">
        <f t="shared" si="9"/>
        <v>0</v>
      </c>
      <c r="L61">
        <f t="shared" si="10"/>
        <v>0</v>
      </c>
      <c r="M61">
        <f t="shared" si="11"/>
        <v>0</v>
      </c>
      <c r="P61" t="s">
        <v>2695</v>
      </c>
    </row>
    <row r="62" spans="2:87" x14ac:dyDescent="0.2">
      <c r="B62" t="s">
        <v>2648</v>
      </c>
      <c r="C62">
        <v>550</v>
      </c>
      <c r="D62" t="s">
        <v>251</v>
      </c>
      <c r="G62">
        <f t="shared" si="7"/>
        <v>0</v>
      </c>
      <c r="J62">
        <f t="shared" si="8"/>
        <v>0</v>
      </c>
      <c r="K62">
        <f t="shared" si="9"/>
        <v>0</v>
      </c>
      <c r="L62">
        <f t="shared" si="10"/>
        <v>0</v>
      </c>
      <c r="M62">
        <f t="shared" si="11"/>
        <v>0</v>
      </c>
      <c r="P62" t="s">
        <v>2696</v>
      </c>
    </row>
    <row r="63" spans="2:87" x14ac:dyDescent="0.2">
      <c r="B63" t="s">
        <v>2650</v>
      </c>
      <c r="C63">
        <v>560</v>
      </c>
      <c r="D63" t="s">
        <v>251</v>
      </c>
      <c r="G63">
        <f t="shared" si="7"/>
        <v>0</v>
      </c>
      <c r="J63">
        <f t="shared" si="8"/>
        <v>0</v>
      </c>
      <c r="K63">
        <f t="shared" si="9"/>
        <v>0</v>
      </c>
      <c r="L63">
        <f t="shared" si="10"/>
        <v>0</v>
      </c>
      <c r="M63">
        <f t="shared" si="11"/>
        <v>0</v>
      </c>
      <c r="P63" t="s">
        <v>2697</v>
      </c>
    </row>
    <row r="64" spans="2:87" x14ac:dyDescent="0.2">
      <c r="B64" t="s">
        <v>2652</v>
      </c>
      <c r="C64">
        <v>570</v>
      </c>
      <c r="D64" t="s">
        <v>251</v>
      </c>
      <c r="G64">
        <f t="shared" si="7"/>
        <v>0</v>
      </c>
      <c r="J64">
        <f t="shared" si="8"/>
        <v>0</v>
      </c>
      <c r="K64">
        <f t="shared" si="9"/>
        <v>0</v>
      </c>
      <c r="L64">
        <f t="shared" si="10"/>
        <v>0</v>
      </c>
      <c r="M64">
        <f t="shared" si="11"/>
        <v>0</v>
      </c>
      <c r="P64" t="s">
        <v>2698</v>
      </c>
    </row>
    <row r="65" spans="2:87" x14ac:dyDescent="0.2">
      <c r="B65" t="s">
        <v>2699</v>
      </c>
      <c r="C65">
        <v>580</v>
      </c>
      <c r="D65" t="s">
        <v>248</v>
      </c>
      <c r="G65">
        <f t="shared" si="7"/>
        <v>0</v>
      </c>
      <c r="J65">
        <f t="shared" si="8"/>
        <v>0</v>
      </c>
      <c r="K65">
        <f t="shared" si="9"/>
        <v>0</v>
      </c>
      <c r="L65">
        <f t="shared" si="10"/>
        <v>0</v>
      </c>
      <c r="M65">
        <f t="shared" si="11"/>
        <v>0</v>
      </c>
      <c r="P65" t="s">
        <v>2700</v>
      </c>
      <c r="CB65">
        <f>IF(OR(E65&lt;0,F65&lt;0,H65&lt;0,I65&lt;0),1,0)</f>
        <v>0</v>
      </c>
    </row>
    <row r="66" spans="2:87" x14ac:dyDescent="0.2">
      <c r="B66" t="s">
        <v>2701</v>
      </c>
      <c r="C66">
        <v>590</v>
      </c>
      <c r="D66" t="s">
        <v>248</v>
      </c>
      <c r="G66">
        <f t="shared" si="7"/>
        <v>0</v>
      </c>
      <c r="J66">
        <f t="shared" si="8"/>
        <v>0</v>
      </c>
      <c r="K66">
        <f t="shared" si="9"/>
        <v>0</v>
      </c>
      <c r="L66">
        <f t="shared" si="10"/>
        <v>0</v>
      </c>
      <c r="M66">
        <f t="shared" si="11"/>
        <v>0</v>
      </c>
      <c r="P66" t="s">
        <v>2702</v>
      </c>
      <c r="CB66">
        <f>IF(OR(E66&lt;0,F66&lt;0,H66&lt;0,I66&lt;0),1,0)</f>
        <v>0</v>
      </c>
    </row>
    <row r="67" spans="2:87" x14ac:dyDescent="0.2">
      <c r="B67" t="s">
        <v>2703</v>
      </c>
      <c r="C67">
        <v>600</v>
      </c>
      <c r="D67" t="s">
        <v>248</v>
      </c>
      <c r="G67">
        <f t="shared" si="7"/>
        <v>0</v>
      </c>
      <c r="J67">
        <f t="shared" si="8"/>
        <v>0</v>
      </c>
      <c r="K67">
        <f t="shared" si="9"/>
        <v>0</v>
      </c>
      <c r="L67">
        <f t="shared" si="10"/>
        <v>0</v>
      </c>
      <c r="M67">
        <f t="shared" si="11"/>
        <v>0</v>
      </c>
      <c r="CB67">
        <f>IF(OR(E67&lt;0,F67&lt;0,H67&lt;0,I67&lt;0),1,0)</f>
        <v>0</v>
      </c>
    </row>
    <row r="68" spans="2:87" x14ac:dyDescent="0.2">
      <c r="B68" t="s">
        <v>2704</v>
      </c>
      <c r="C68">
        <v>610</v>
      </c>
      <c r="D68" t="s">
        <v>245</v>
      </c>
      <c r="G68">
        <f t="shared" si="7"/>
        <v>0</v>
      </c>
      <c r="K68">
        <f>E68</f>
        <v>0</v>
      </c>
      <c r="L68">
        <f>F68</f>
        <v>0</v>
      </c>
      <c r="M68">
        <f t="shared" si="11"/>
        <v>0</v>
      </c>
      <c r="P68" t="s">
        <v>2705</v>
      </c>
      <c r="CC68">
        <f>M68*-1</f>
        <v>0</v>
      </c>
      <c r="CD68">
        <f t="shared" ref="CD68:CE70" si="12">K68*-1</f>
        <v>0</v>
      </c>
      <c r="CE68">
        <f t="shared" si="12"/>
        <v>0</v>
      </c>
    </row>
    <row r="69" spans="2:87" x14ac:dyDescent="0.2">
      <c r="B69" t="s">
        <v>2706</v>
      </c>
      <c r="C69">
        <v>620</v>
      </c>
      <c r="D69" t="s">
        <v>245</v>
      </c>
      <c r="J69">
        <f>SUM(H69:I69)</f>
        <v>0</v>
      </c>
      <c r="K69">
        <f>H69</f>
        <v>0</v>
      </c>
      <c r="L69">
        <f>I69</f>
        <v>0</v>
      </c>
      <c r="M69">
        <f t="shared" si="11"/>
        <v>0</v>
      </c>
      <c r="P69" t="s">
        <v>2707</v>
      </c>
      <c r="CC69">
        <f>M69*-1</f>
        <v>0</v>
      </c>
      <c r="CD69">
        <f t="shared" si="12"/>
        <v>0</v>
      </c>
      <c r="CE69">
        <f t="shared" si="12"/>
        <v>0</v>
      </c>
    </row>
    <row r="70" spans="2:87" x14ac:dyDescent="0.2">
      <c r="B70" t="s">
        <v>2708</v>
      </c>
      <c r="C70">
        <v>630</v>
      </c>
      <c r="D70" t="s">
        <v>248</v>
      </c>
      <c r="G70">
        <f>SUM(E70:F70)</f>
        <v>0</v>
      </c>
      <c r="J70">
        <f>SUM(H70:I70)</f>
        <v>0</v>
      </c>
      <c r="K70">
        <f t="shared" ref="K70:L73" si="13">E70+H70</f>
        <v>0</v>
      </c>
      <c r="L70">
        <f t="shared" si="13"/>
        <v>0</v>
      </c>
      <c r="M70">
        <f t="shared" si="11"/>
        <v>0</v>
      </c>
      <c r="CB70">
        <f>IF(OR(E70&lt;0,F70&lt;0,H70&lt;0,I70&lt;0),1,0)</f>
        <v>0</v>
      </c>
      <c r="CC70">
        <f>M70*-1</f>
        <v>0</v>
      </c>
      <c r="CD70">
        <f t="shared" si="12"/>
        <v>0</v>
      </c>
      <c r="CE70">
        <f t="shared" si="12"/>
        <v>0</v>
      </c>
    </row>
    <row r="71" spans="2:87" x14ac:dyDescent="0.2">
      <c r="B71" t="s">
        <v>2675</v>
      </c>
      <c r="C71">
        <v>640</v>
      </c>
      <c r="D71" t="s">
        <v>248</v>
      </c>
      <c r="G71">
        <f>SUM(E71:F71)</f>
        <v>0</v>
      </c>
      <c r="J71">
        <f>SUM(H71:I71)</f>
        <v>0</v>
      </c>
      <c r="K71">
        <f t="shared" si="13"/>
        <v>0</v>
      </c>
      <c r="L71">
        <f t="shared" si="13"/>
        <v>0</v>
      </c>
      <c r="M71">
        <f t="shared" si="11"/>
        <v>0</v>
      </c>
      <c r="P71" t="s">
        <v>2709</v>
      </c>
      <c r="CB71">
        <f>IF(OR(E71&lt;0,F71&lt;0,H71&lt;0,I71&lt;0),1,0)</f>
        <v>0</v>
      </c>
    </row>
    <row r="72" spans="2:87" x14ac:dyDescent="0.2">
      <c r="B72" t="s">
        <v>2658</v>
      </c>
      <c r="C72">
        <v>650</v>
      </c>
      <c r="D72" t="s">
        <v>251</v>
      </c>
      <c r="G72">
        <f>SUM(E72:F72)</f>
        <v>0</v>
      </c>
      <c r="J72">
        <f>SUM(H72:I72)</f>
        <v>0</v>
      </c>
      <c r="K72">
        <f t="shared" si="13"/>
        <v>0</v>
      </c>
      <c r="L72">
        <f t="shared" si="13"/>
        <v>0</v>
      </c>
      <c r="M72">
        <f t="shared" si="11"/>
        <v>0</v>
      </c>
      <c r="P72" t="s">
        <v>2710</v>
      </c>
    </row>
    <row r="73" spans="2:87" x14ac:dyDescent="0.2">
      <c r="B73" t="s">
        <v>352</v>
      </c>
      <c r="C73">
        <v>660</v>
      </c>
      <c r="D73" t="s">
        <v>251</v>
      </c>
      <c r="G73">
        <f>SUM(E73:F73)</f>
        <v>0</v>
      </c>
      <c r="J73">
        <f>SUM(H73:I73)</f>
        <v>0</v>
      </c>
      <c r="K73">
        <f t="shared" si="13"/>
        <v>0</v>
      </c>
      <c r="L73">
        <f t="shared" si="13"/>
        <v>0</v>
      </c>
      <c r="M73">
        <f t="shared" si="11"/>
        <v>0</v>
      </c>
      <c r="P73" t="s">
        <v>2711</v>
      </c>
      <c r="CG73">
        <f>SUM(M56:M73)</f>
        <v>0</v>
      </c>
      <c r="CH73">
        <f>M73</f>
        <v>0</v>
      </c>
      <c r="CI73">
        <f>IF(CG73&lt;&gt;0,(CH73/CG73)*100,0)</f>
        <v>0</v>
      </c>
    </row>
    <row r="74" spans="2:87" x14ac:dyDescent="0.2">
      <c r="B74" t="s">
        <v>2712</v>
      </c>
      <c r="C74">
        <v>670</v>
      </c>
      <c r="D74" t="s">
        <v>248</v>
      </c>
      <c r="E74">
        <f t="shared" ref="E74:M74" si="14">SUM(E56:E73)</f>
        <v>0</v>
      </c>
      <c r="F74">
        <f t="shared" si="14"/>
        <v>0</v>
      </c>
      <c r="G74">
        <f t="shared" si="14"/>
        <v>0</v>
      </c>
      <c r="H74">
        <f t="shared" si="14"/>
        <v>0</v>
      </c>
      <c r="I74">
        <f t="shared" si="14"/>
        <v>0</v>
      </c>
      <c r="J74">
        <f t="shared" si="14"/>
        <v>0</v>
      </c>
      <c r="K74">
        <f t="shared" si="14"/>
        <v>0</v>
      </c>
      <c r="L74">
        <f t="shared" si="14"/>
        <v>0</v>
      </c>
      <c r="M74">
        <f t="shared" si="14"/>
        <v>0</v>
      </c>
    </row>
    <row r="75" spans="2:87" x14ac:dyDescent="0.2">
      <c r="B75" t="s">
        <v>2713</v>
      </c>
      <c r="C75">
        <v>680</v>
      </c>
      <c r="D75" t="s">
        <v>248</v>
      </c>
      <c r="E75">
        <f t="shared" ref="E75:M75" si="15">E74+E54</f>
        <v>0</v>
      </c>
      <c r="F75">
        <f t="shared" si="15"/>
        <v>0</v>
      </c>
      <c r="G75">
        <f t="shared" si="15"/>
        <v>0</v>
      </c>
      <c r="H75">
        <f t="shared" si="15"/>
        <v>0</v>
      </c>
      <c r="I75">
        <f t="shared" si="15"/>
        <v>0</v>
      </c>
      <c r="J75">
        <f t="shared" si="15"/>
        <v>0</v>
      </c>
      <c r="K75">
        <f t="shared" si="15"/>
        <v>0</v>
      </c>
      <c r="L75">
        <f t="shared" si="15"/>
        <v>0</v>
      </c>
      <c r="M75">
        <f t="shared" si="15"/>
        <v>0</v>
      </c>
      <c r="P75" t="s">
        <v>2714</v>
      </c>
    </row>
    <row r="85" spans="2:81" x14ac:dyDescent="0.2">
      <c r="B85" t="s">
        <v>2715</v>
      </c>
      <c r="C85" t="s">
        <v>238</v>
      </c>
      <c r="F85" t="s">
        <v>1746</v>
      </c>
      <c r="G85" t="s">
        <v>2716</v>
      </c>
      <c r="I85" t="s">
        <v>1941</v>
      </c>
      <c r="J85" t="s">
        <v>2716</v>
      </c>
    </row>
    <row r="86" spans="2:81" x14ac:dyDescent="0.2">
      <c r="C86" t="s">
        <v>242</v>
      </c>
      <c r="D86" t="s">
        <v>25</v>
      </c>
      <c r="F86" t="s">
        <v>2037</v>
      </c>
      <c r="G86" t="s">
        <v>2038</v>
      </c>
      <c r="I86" t="s">
        <v>2040</v>
      </c>
      <c r="J86" t="s">
        <v>2041</v>
      </c>
    </row>
    <row r="87" spans="2:81" x14ac:dyDescent="0.2">
      <c r="F87" t="s">
        <v>243</v>
      </c>
      <c r="G87" t="s">
        <v>243</v>
      </c>
      <c r="I87" t="s">
        <v>243</v>
      </c>
      <c r="J87" t="s">
        <v>243</v>
      </c>
      <c r="CC87" t="s">
        <v>2717</v>
      </c>
    </row>
    <row r="88" spans="2:81" x14ac:dyDescent="0.2">
      <c r="B88" t="s">
        <v>2718</v>
      </c>
      <c r="C88">
        <v>1300</v>
      </c>
      <c r="D88" t="s">
        <v>251</v>
      </c>
      <c r="F88">
        <f>M11-M46</f>
        <v>0</v>
      </c>
      <c r="G88">
        <f>IF($CC$88=0,0,F88/$CC$88*100)</f>
        <v>0</v>
      </c>
      <c r="I88">
        <f>M44-M75</f>
        <v>0</v>
      </c>
      <c r="J88">
        <f>IF($CC$90=0,0,I88/$CC$90*100)</f>
        <v>0</v>
      </c>
    </row>
    <row r="89" spans="2:81" x14ac:dyDescent="0.2">
      <c r="B89" t="s">
        <v>2719</v>
      </c>
      <c r="C89">
        <v>1310</v>
      </c>
      <c r="D89" t="s">
        <v>251</v>
      </c>
      <c r="F89">
        <f>K11-K46</f>
        <v>0</v>
      </c>
      <c r="G89">
        <f>IF($CC$88=0,0,F89/$CC$88*100)</f>
        <v>0</v>
      </c>
      <c r="I89">
        <f>K44-K75</f>
        <v>0</v>
      </c>
      <c r="J89">
        <f>IF($CC$90=0,0,I89/$CC$90*100)</f>
        <v>0</v>
      </c>
      <c r="CC89" t="s">
        <v>2720</v>
      </c>
    </row>
    <row r="90" spans="2:81" x14ac:dyDescent="0.2">
      <c r="B90" t="s">
        <v>2721</v>
      </c>
      <c r="C90">
        <v>1315</v>
      </c>
      <c r="D90" t="s">
        <v>248</v>
      </c>
      <c r="G90">
        <f>IF($CC$88=0,0,F90/$CC$88*100)</f>
        <v>0</v>
      </c>
      <c r="J90">
        <f>IF($CC$90=0,0,I90/$CC$90*100)</f>
        <v>0</v>
      </c>
      <c r="CB90">
        <f>IF(OR(F90&lt;0,I90&lt;0,L90&lt;0),1,0)</f>
        <v>0</v>
      </c>
    </row>
    <row r="91" spans="2:81" x14ac:dyDescent="0.2">
      <c r="CC91" t="s">
        <v>2722</v>
      </c>
    </row>
    <row r="95" spans="2:81" x14ac:dyDescent="0.2">
      <c r="F95" t="s">
        <v>2723</v>
      </c>
      <c r="I95" t="s">
        <v>2724</v>
      </c>
    </row>
    <row r="96" spans="2:81" x14ac:dyDescent="0.2">
      <c r="B96" t="s">
        <v>2725</v>
      </c>
      <c r="C96" t="s">
        <v>238</v>
      </c>
      <c r="D96" t="s">
        <v>25</v>
      </c>
      <c r="E96" t="s">
        <v>2606</v>
      </c>
      <c r="F96" t="s">
        <v>2607</v>
      </c>
      <c r="G96" t="s">
        <v>340</v>
      </c>
      <c r="H96" t="s">
        <v>2606</v>
      </c>
      <c r="I96" t="s">
        <v>2607</v>
      </c>
      <c r="J96" t="s">
        <v>340</v>
      </c>
      <c r="P96" t="s">
        <v>937</v>
      </c>
    </row>
    <row r="97" spans="2:80" x14ac:dyDescent="0.2">
      <c r="C97" t="s">
        <v>242</v>
      </c>
      <c r="E97" t="s">
        <v>2036</v>
      </c>
      <c r="F97" t="s">
        <v>2037</v>
      </c>
      <c r="G97" t="s">
        <v>2038</v>
      </c>
      <c r="H97" t="s">
        <v>2039</v>
      </c>
      <c r="I97" t="s">
        <v>2040</v>
      </c>
      <c r="J97" t="s">
        <v>2041</v>
      </c>
      <c r="P97" t="s">
        <v>2608</v>
      </c>
    </row>
    <row r="98" spans="2:80" x14ac:dyDescent="0.2">
      <c r="E98" t="s">
        <v>243</v>
      </c>
      <c r="F98" t="s">
        <v>243</v>
      </c>
      <c r="G98" t="s">
        <v>243</v>
      </c>
      <c r="H98" t="s">
        <v>243</v>
      </c>
      <c r="I98" t="s">
        <v>243</v>
      </c>
      <c r="J98" t="s">
        <v>243</v>
      </c>
    </row>
    <row r="99" spans="2:80" x14ac:dyDescent="0.2">
      <c r="B99" t="s">
        <v>2726</v>
      </c>
      <c r="C99">
        <v>1320</v>
      </c>
      <c r="D99" t="s">
        <v>245</v>
      </c>
      <c r="G99">
        <f t="shared" ref="G99:G104" si="16">SUM(E99:F99)</f>
        <v>0</v>
      </c>
      <c r="H99">
        <f>E99+K29</f>
        <v>0</v>
      </c>
      <c r="I99">
        <f>L29</f>
        <v>0</v>
      </c>
      <c r="J99">
        <f t="shared" ref="J99:J104" si="17">SUM(H99:I99)</f>
        <v>0</v>
      </c>
      <c r="P99" t="s">
        <v>2727</v>
      </c>
      <c r="CA99">
        <f>IF(OR(E99&gt;0,F99&gt;0),1,0)</f>
        <v>0</v>
      </c>
    </row>
    <row r="100" spans="2:80" x14ac:dyDescent="0.2">
      <c r="B100" t="s">
        <v>2728</v>
      </c>
      <c r="C100">
        <v>1330</v>
      </c>
      <c r="D100" t="s">
        <v>245</v>
      </c>
      <c r="G100">
        <f t="shared" si="16"/>
        <v>0</v>
      </c>
      <c r="H100">
        <f>E100+K30</f>
        <v>0</v>
      </c>
      <c r="I100">
        <f>L30</f>
        <v>0</v>
      </c>
      <c r="J100">
        <f t="shared" si="17"/>
        <v>0</v>
      </c>
      <c r="P100" t="s">
        <v>2729</v>
      </c>
      <c r="CA100">
        <f>IF(OR(E100&gt;0,F100&gt;0),1,0)</f>
        <v>0</v>
      </c>
    </row>
    <row r="101" spans="2:80" x14ac:dyDescent="0.2">
      <c r="B101" t="s">
        <v>2730</v>
      </c>
      <c r="C101">
        <v>1340</v>
      </c>
      <c r="D101" t="s">
        <v>248</v>
      </c>
      <c r="G101">
        <f t="shared" si="16"/>
        <v>0</v>
      </c>
      <c r="H101">
        <f>E101+K31</f>
        <v>0</v>
      </c>
      <c r="I101">
        <f>L31</f>
        <v>0</v>
      </c>
      <c r="J101">
        <f t="shared" si="17"/>
        <v>0</v>
      </c>
      <c r="P101" t="s">
        <v>2731</v>
      </c>
      <c r="CB101">
        <f>IF(OR(E101&lt;0,F101&lt;0),1,0)</f>
        <v>0</v>
      </c>
    </row>
    <row r="102" spans="2:80" x14ac:dyDescent="0.2">
      <c r="B102" t="s">
        <v>2732</v>
      </c>
      <c r="C102">
        <v>1350</v>
      </c>
      <c r="D102" t="s">
        <v>248</v>
      </c>
      <c r="G102">
        <f t="shared" si="16"/>
        <v>0</v>
      </c>
      <c r="H102">
        <f>E102+K33</f>
        <v>0</v>
      </c>
      <c r="I102">
        <f>L33</f>
        <v>0</v>
      </c>
      <c r="J102">
        <f t="shared" si="17"/>
        <v>0</v>
      </c>
      <c r="P102" t="s">
        <v>2733</v>
      </c>
      <c r="CB102">
        <f>IF(OR(E102&lt;0,F102&lt;0),1,0)</f>
        <v>0</v>
      </c>
    </row>
    <row r="103" spans="2:80" x14ac:dyDescent="0.2">
      <c r="B103" t="s">
        <v>2734</v>
      </c>
      <c r="C103">
        <v>1360</v>
      </c>
      <c r="D103" t="s">
        <v>248</v>
      </c>
      <c r="G103">
        <f t="shared" si="16"/>
        <v>0</v>
      </c>
      <c r="H103">
        <f>E103+K38</f>
        <v>0</v>
      </c>
      <c r="I103">
        <f>L38+L39</f>
        <v>0</v>
      </c>
      <c r="J103">
        <f t="shared" si="17"/>
        <v>0</v>
      </c>
      <c r="P103" t="s">
        <v>2735</v>
      </c>
      <c r="CB103">
        <f>IF(OR(E103&lt;0,F103&lt;0),1,0)</f>
        <v>0</v>
      </c>
    </row>
    <row r="104" spans="2:80" x14ac:dyDescent="0.2">
      <c r="B104" t="s">
        <v>2736</v>
      </c>
      <c r="C104">
        <v>1370</v>
      </c>
      <c r="D104" t="s">
        <v>248</v>
      </c>
      <c r="G104">
        <f t="shared" si="16"/>
        <v>0</v>
      </c>
      <c r="H104">
        <f>E104+K34</f>
        <v>0</v>
      </c>
      <c r="I104">
        <f>L34</f>
        <v>0</v>
      </c>
      <c r="J104">
        <f t="shared" si="17"/>
        <v>0</v>
      </c>
      <c r="P104" t="s">
        <v>2737</v>
      </c>
      <c r="CB104">
        <f>IF(OR(E104&lt;0,F104&lt;0),1,0)</f>
        <v>0</v>
      </c>
    </row>
    <row r="105" spans="2:80" x14ac:dyDescent="0.2">
      <c r="B105" t="s">
        <v>3571</v>
      </c>
      <c r="C105" t="s">
        <v>238</v>
      </c>
      <c r="D105" t="s">
        <v>25</v>
      </c>
      <c r="E105" t="s">
        <v>2606</v>
      </c>
      <c r="F105" t="s">
        <v>2607</v>
      </c>
      <c r="G105" t="s">
        <v>340</v>
      </c>
    </row>
    <row r="106" spans="2:80" x14ac:dyDescent="0.2">
      <c r="B106" t="s">
        <v>3572</v>
      </c>
      <c r="C106" t="s">
        <v>242</v>
      </c>
      <c r="E106" t="s">
        <v>2036</v>
      </c>
      <c r="F106" t="s">
        <v>2037</v>
      </c>
      <c r="G106" t="s">
        <v>2038</v>
      </c>
    </row>
    <row r="107" spans="2:80" x14ac:dyDescent="0.2">
      <c r="E107" t="s">
        <v>243</v>
      </c>
      <c r="F107" t="s">
        <v>243</v>
      </c>
      <c r="G107" t="s">
        <v>243</v>
      </c>
    </row>
    <row r="108" spans="2:80" x14ac:dyDescent="0.2">
      <c r="B108" t="s">
        <v>2738</v>
      </c>
      <c r="C108">
        <v>1380</v>
      </c>
      <c r="D108" t="s">
        <v>245</v>
      </c>
      <c r="G108">
        <f>F108</f>
        <v>0</v>
      </c>
      <c r="CA108">
        <f>IF(OR(E108&gt;0,F108&gt;0),1,0)</f>
        <v>0</v>
      </c>
    </row>
    <row r="109" spans="2:80" x14ac:dyDescent="0.2">
      <c r="B109" t="s">
        <v>2739</v>
      </c>
      <c r="C109" t="s">
        <v>238</v>
      </c>
      <c r="D109" t="s">
        <v>1561</v>
      </c>
      <c r="E109" t="s">
        <v>2740</v>
      </c>
      <c r="F109" t="s">
        <v>2741</v>
      </c>
      <c r="G109" t="s">
        <v>2742</v>
      </c>
      <c r="H109" t="s">
        <v>2743</v>
      </c>
      <c r="I109" t="s">
        <v>2744</v>
      </c>
      <c r="J109" t="s">
        <v>2745</v>
      </c>
      <c r="K109" t="s">
        <v>2746</v>
      </c>
      <c r="L109" t="s">
        <v>2747</v>
      </c>
      <c r="M109" t="s">
        <v>2748</v>
      </c>
    </row>
    <row r="110" spans="2:80" x14ac:dyDescent="0.2">
      <c r="B110" t="s">
        <v>2749</v>
      </c>
      <c r="C110" t="s">
        <v>242</v>
      </c>
      <c r="E110" t="s">
        <v>2750</v>
      </c>
      <c r="F110" t="s">
        <v>2751</v>
      </c>
      <c r="G110" t="s">
        <v>2752</v>
      </c>
      <c r="H110" t="s">
        <v>2753</v>
      </c>
      <c r="I110" t="s">
        <v>2754</v>
      </c>
      <c r="J110" t="s">
        <v>2755</v>
      </c>
      <c r="K110" t="s">
        <v>2756</v>
      </c>
      <c r="L110" t="s">
        <v>2757</v>
      </c>
      <c r="M110" t="s">
        <v>2758</v>
      </c>
    </row>
    <row r="111" spans="2:80" x14ac:dyDescent="0.2">
      <c r="E111" t="s">
        <v>243</v>
      </c>
      <c r="F111" t="s">
        <v>243</v>
      </c>
      <c r="G111" t="s">
        <v>243</v>
      </c>
      <c r="H111" t="s">
        <v>243</v>
      </c>
      <c r="I111" t="s">
        <v>243</v>
      </c>
      <c r="J111" t="s">
        <v>243</v>
      </c>
      <c r="K111" t="s">
        <v>243</v>
      </c>
      <c r="L111" t="s">
        <v>243</v>
      </c>
      <c r="M111" t="s">
        <v>243</v>
      </c>
    </row>
    <row r="112" spans="2:80" x14ac:dyDescent="0.2">
      <c r="B112" t="s">
        <v>2759</v>
      </c>
      <c r="C112">
        <v>1381</v>
      </c>
      <c r="D112" t="s">
        <v>248</v>
      </c>
      <c r="M112">
        <f>SUM(K112:L112)</f>
        <v>0</v>
      </c>
    </row>
    <row r="113" spans="2:88" x14ac:dyDescent="0.2">
      <c r="B113" t="s">
        <v>2760</v>
      </c>
      <c r="C113">
        <v>1382</v>
      </c>
      <c r="D113" t="s">
        <v>248</v>
      </c>
      <c r="G113">
        <f>SUM(E113:F113)</f>
        <v>0</v>
      </c>
      <c r="J113">
        <f>SUM(H113:I113)</f>
        <v>0</v>
      </c>
      <c r="K113">
        <f>E113+H113</f>
        <v>0</v>
      </c>
      <c r="L113">
        <f>F113+I113</f>
        <v>0</v>
      </c>
      <c r="M113">
        <f>G113+J113</f>
        <v>0</v>
      </c>
    </row>
    <row r="116" spans="2:88" x14ac:dyDescent="0.2">
      <c r="B116" t="s">
        <v>2761</v>
      </c>
      <c r="C116" t="s">
        <v>238</v>
      </c>
      <c r="D116" t="s">
        <v>2762</v>
      </c>
      <c r="F116" t="s">
        <v>340</v>
      </c>
      <c r="K116" t="s">
        <v>340</v>
      </c>
      <c r="P116" t="s">
        <v>937</v>
      </c>
    </row>
    <row r="117" spans="2:88" x14ac:dyDescent="0.2">
      <c r="B117" t="s">
        <v>2763</v>
      </c>
      <c r="C117" t="s">
        <v>242</v>
      </c>
      <c r="F117" t="s">
        <v>655</v>
      </c>
      <c r="G117" t="s">
        <v>2002</v>
      </c>
      <c r="H117" t="s">
        <v>2002</v>
      </c>
      <c r="I117" t="s">
        <v>340</v>
      </c>
      <c r="K117" t="s">
        <v>2764</v>
      </c>
      <c r="L117" t="s">
        <v>2765</v>
      </c>
      <c r="P117" t="s">
        <v>2608</v>
      </c>
      <c r="CC117" t="s">
        <v>2766</v>
      </c>
      <c r="CH117" t="s">
        <v>2767</v>
      </c>
    </row>
    <row r="118" spans="2:88" x14ac:dyDescent="0.2">
      <c r="G118" t="s">
        <v>1250</v>
      </c>
      <c r="H118" t="s">
        <v>2605</v>
      </c>
      <c r="CB118" t="s">
        <v>655</v>
      </c>
      <c r="CC118" t="s">
        <v>2768</v>
      </c>
      <c r="CD118" t="s">
        <v>2769</v>
      </c>
      <c r="CE118" t="s">
        <v>340</v>
      </c>
      <c r="CG118" t="s">
        <v>655</v>
      </c>
      <c r="CH118" t="s">
        <v>2768</v>
      </c>
      <c r="CI118" t="s">
        <v>2769</v>
      </c>
      <c r="CJ118" t="s">
        <v>340</v>
      </c>
    </row>
    <row r="119" spans="2:88" x14ac:dyDescent="0.2">
      <c r="F119" t="s">
        <v>243</v>
      </c>
      <c r="G119" t="s">
        <v>243</v>
      </c>
      <c r="H119" t="s">
        <v>243</v>
      </c>
      <c r="I119" t="s">
        <v>243</v>
      </c>
      <c r="K119" t="s">
        <v>243</v>
      </c>
      <c r="L119" t="s">
        <v>243</v>
      </c>
    </row>
    <row r="120" spans="2:88" x14ac:dyDescent="0.2">
      <c r="B120" t="s">
        <v>2770</v>
      </c>
      <c r="C120">
        <v>1400</v>
      </c>
      <c r="F120">
        <f>CB120+CG120</f>
        <v>0</v>
      </c>
      <c r="G120">
        <f>CC120+CH120</f>
        <v>0</v>
      </c>
      <c r="H120">
        <f>CD120+CI120</f>
        <v>0</v>
      </c>
      <c r="I120">
        <f>CE120+CJ120</f>
        <v>0</v>
      </c>
      <c r="K120">
        <f>CE120</f>
        <v>0</v>
      </c>
      <c r="L120">
        <f>CJ120</f>
        <v>0</v>
      </c>
      <c r="P120" t="s">
        <v>2771</v>
      </c>
      <c r="CB120">
        <f>K11</f>
        <v>0</v>
      </c>
      <c r="CC120">
        <f>-E46</f>
        <v>0</v>
      </c>
      <c r="CD120">
        <f>-H46</f>
        <v>0</v>
      </c>
      <c r="CE120">
        <f>SUM(CB120:CD120)</f>
        <v>0</v>
      </c>
      <c r="CG120">
        <f>L11</f>
        <v>0</v>
      </c>
      <c r="CH120">
        <f>-F46</f>
        <v>0</v>
      </c>
      <c r="CI120">
        <f>-I46</f>
        <v>0</v>
      </c>
      <c r="CJ120">
        <f>SUM(CG120:CI120)</f>
        <v>0</v>
      </c>
    </row>
    <row r="121" spans="2:88" x14ac:dyDescent="0.2">
      <c r="B121" t="s">
        <v>2772</v>
      </c>
    </row>
    <row r="122" spans="2:88" x14ac:dyDescent="0.2">
      <c r="B122" t="s">
        <v>2773</v>
      </c>
      <c r="C122">
        <v>1410</v>
      </c>
      <c r="D122" t="s">
        <v>2774</v>
      </c>
      <c r="F122">
        <f t="shared" ref="F122:I127" si="18">CB122+CG122</f>
        <v>0</v>
      </c>
      <c r="G122">
        <f t="shared" si="18"/>
        <v>0</v>
      </c>
      <c r="H122">
        <f t="shared" si="18"/>
        <v>0</v>
      </c>
      <c r="I122">
        <f t="shared" si="18"/>
        <v>0</v>
      </c>
      <c r="K122">
        <f t="shared" ref="K122:K127" si="19">CE122</f>
        <v>0</v>
      </c>
      <c r="L122">
        <f t="shared" ref="L122:L127" si="20">CJ122</f>
        <v>0</v>
      </c>
      <c r="P122" t="s">
        <v>2775</v>
      </c>
      <c r="CB122">
        <f>K13</f>
        <v>0</v>
      </c>
      <c r="CC122">
        <f>-E48</f>
        <v>0</v>
      </c>
      <c r="CD122">
        <f>-H48</f>
        <v>0</v>
      </c>
      <c r="CE122">
        <f t="shared" ref="CE122:CE127" si="21">SUM(CB122:CD122)</f>
        <v>0</v>
      </c>
      <c r="CG122">
        <f>L13</f>
        <v>0</v>
      </c>
      <c r="CH122">
        <f>-F48</f>
        <v>0</v>
      </c>
      <c r="CI122">
        <f>-I48</f>
        <v>0</v>
      </c>
      <c r="CJ122">
        <f t="shared" ref="CJ122:CJ127" si="22">SUM(CG122:CI122)</f>
        <v>0</v>
      </c>
    </row>
    <row r="123" spans="2:88" x14ac:dyDescent="0.2">
      <c r="B123" t="s">
        <v>2776</v>
      </c>
      <c r="C123">
        <v>1420</v>
      </c>
      <c r="D123" t="s">
        <v>2774</v>
      </c>
      <c r="F123">
        <f t="shared" si="18"/>
        <v>0</v>
      </c>
      <c r="G123">
        <f t="shared" si="18"/>
        <v>0</v>
      </c>
      <c r="H123">
        <f t="shared" si="18"/>
        <v>0</v>
      </c>
      <c r="I123">
        <f t="shared" si="18"/>
        <v>0</v>
      </c>
      <c r="K123">
        <f t="shared" si="19"/>
        <v>0</v>
      </c>
      <c r="L123">
        <f t="shared" si="20"/>
        <v>0</v>
      </c>
      <c r="P123" t="s">
        <v>2777</v>
      </c>
      <c r="CB123">
        <f>K14</f>
        <v>0</v>
      </c>
      <c r="CE123">
        <f t="shared" si="21"/>
        <v>0</v>
      </c>
      <c r="CG123">
        <f>L14</f>
        <v>0</v>
      </c>
      <c r="CJ123">
        <f t="shared" si="22"/>
        <v>0</v>
      </c>
    </row>
    <row r="124" spans="2:88" x14ac:dyDescent="0.2">
      <c r="B124" t="s">
        <v>2778</v>
      </c>
      <c r="C124">
        <v>1430</v>
      </c>
      <c r="D124" t="s">
        <v>2774</v>
      </c>
      <c r="F124">
        <f t="shared" si="18"/>
        <v>0</v>
      </c>
      <c r="G124">
        <f t="shared" si="18"/>
        <v>0</v>
      </c>
      <c r="H124">
        <f t="shared" si="18"/>
        <v>0</v>
      </c>
      <c r="I124">
        <f t="shared" si="18"/>
        <v>0</v>
      </c>
      <c r="K124">
        <f t="shared" si="19"/>
        <v>0</v>
      </c>
      <c r="L124">
        <f t="shared" si="20"/>
        <v>0</v>
      </c>
      <c r="P124" t="s">
        <v>2779</v>
      </c>
      <c r="CB124">
        <f>K15</f>
        <v>0</v>
      </c>
      <c r="CE124">
        <f t="shared" si="21"/>
        <v>0</v>
      </c>
      <c r="CG124">
        <f>L15</f>
        <v>0</v>
      </c>
      <c r="CJ124">
        <f t="shared" si="22"/>
        <v>0</v>
      </c>
    </row>
    <row r="125" spans="2:88" x14ac:dyDescent="0.2">
      <c r="B125" t="s">
        <v>2780</v>
      </c>
      <c r="C125">
        <v>1440</v>
      </c>
      <c r="D125" t="s">
        <v>2774</v>
      </c>
      <c r="F125">
        <f t="shared" si="18"/>
        <v>0</v>
      </c>
      <c r="G125">
        <f t="shared" si="18"/>
        <v>0</v>
      </c>
      <c r="H125">
        <f t="shared" si="18"/>
        <v>0</v>
      </c>
      <c r="I125">
        <f t="shared" si="18"/>
        <v>0</v>
      </c>
      <c r="K125">
        <f t="shared" si="19"/>
        <v>0</v>
      </c>
      <c r="L125">
        <f t="shared" si="20"/>
        <v>0</v>
      </c>
      <c r="P125" t="s">
        <v>2781</v>
      </c>
      <c r="CB125">
        <f>K16</f>
        <v>0</v>
      </c>
      <c r="CC125">
        <f>-E50</f>
        <v>0</v>
      </c>
      <c r="CD125">
        <f>-H50</f>
        <v>0</v>
      </c>
      <c r="CE125">
        <f t="shared" si="21"/>
        <v>0</v>
      </c>
      <c r="CG125">
        <f>L16</f>
        <v>0</v>
      </c>
      <c r="CH125">
        <f>-F50</f>
        <v>0</v>
      </c>
      <c r="CI125">
        <f>-I50</f>
        <v>0</v>
      </c>
      <c r="CJ125">
        <f t="shared" si="22"/>
        <v>0</v>
      </c>
    </row>
    <row r="126" spans="2:88" x14ac:dyDescent="0.2">
      <c r="B126" t="s">
        <v>2782</v>
      </c>
      <c r="C126">
        <v>1450</v>
      </c>
      <c r="D126" t="s">
        <v>2774</v>
      </c>
      <c r="F126">
        <f t="shared" si="18"/>
        <v>0</v>
      </c>
      <c r="G126">
        <f t="shared" si="18"/>
        <v>0</v>
      </c>
      <c r="H126">
        <f t="shared" si="18"/>
        <v>0</v>
      </c>
      <c r="I126">
        <f t="shared" si="18"/>
        <v>0</v>
      </c>
      <c r="K126">
        <f t="shared" si="19"/>
        <v>0</v>
      </c>
      <c r="L126">
        <f t="shared" si="20"/>
        <v>0</v>
      </c>
      <c r="P126" t="s">
        <v>2783</v>
      </c>
      <c r="CB126">
        <f>K17</f>
        <v>0</v>
      </c>
      <c r="CC126">
        <f>-E51</f>
        <v>0</v>
      </c>
      <c r="CD126">
        <f>-H51</f>
        <v>0</v>
      </c>
      <c r="CE126">
        <f t="shared" si="21"/>
        <v>0</v>
      </c>
      <c r="CG126">
        <f>L17</f>
        <v>0</v>
      </c>
      <c r="CH126">
        <f>-F51</f>
        <v>0</v>
      </c>
      <c r="CI126">
        <f>-I51</f>
        <v>0</v>
      </c>
      <c r="CJ126">
        <f t="shared" si="22"/>
        <v>0</v>
      </c>
    </row>
    <row r="127" spans="2:88" x14ac:dyDescent="0.2">
      <c r="B127" t="s">
        <v>2784</v>
      </c>
      <c r="C127">
        <v>1460</v>
      </c>
      <c r="F127">
        <f t="shared" si="18"/>
        <v>0</v>
      </c>
      <c r="G127">
        <f t="shared" si="18"/>
        <v>0</v>
      </c>
      <c r="H127">
        <f t="shared" si="18"/>
        <v>0</v>
      </c>
      <c r="I127">
        <f t="shared" si="18"/>
        <v>0</v>
      </c>
      <c r="K127">
        <f t="shared" si="19"/>
        <v>0</v>
      </c>
      <c r="L127">
        <f t="shared" si="20"/>
        <v>0</v>
      </c>
      <c r="P127" t="s">
        <v>2785</v>
      </c>
      <c r="CB127">
        <f>K19</f>
        <v>0</v>
      </c>
      <c r="CC127">
        <f>-E53</f>
        <v>0</v>
      </c>
      <c r="CD127">
        <f>-H53</f>
        <v>0</v>
      </c>
      <c r="CE127">
        <f t="shared" si="21"/>
        <v>0</v>
      </c>
      <c r="CG127">
        <f>L19</f>
        <v>0</v>
      </c>
      <c r="CH127">
        <f>-F53</f>
        <v>0</v>
      </c>
      <c r="CI127">
        <f>-I53</f>
        <v>0</v>
      </c>
      <c r="CJ127">
        <f t="shared" si="22"/>
        <v>0</v>
      </c>
    </row>
    <row r="128" spans="2:88" x14ac:dyDescent="0.2">
      <c r="B128" t="s">
        <v>2786</v>
      </c>
      <c r="C128">
        <v>1470</v>
      </c>
      <c r="F128">
        <f>SUM(F122:F127)</f>
        <v>0</v>
      </c>
      <c r="G128">
        <f>SUM(G122:G127)</f>
        <v>0</v>
      </c>
      <c r="H128">
        <f>SUM(H122:H127)</f>
        <v>0</v>
      </c>
      <c r="I128">
        <f>SUM(I122:I127)</f>
        <v>0</v>
      </c>
      <c r="K128">
        <f>SUM(K122:K127)</f>
        <v>0</v>
      </c>
      <c r="L128">
        <f>SUM(L122:L127)</f>
        <v>0</v>
      </c>
    </row>
    <row r="130" spans="2:88" x14ac:dyDescent="0.2">
      <c r="B130" t="s">
        <v>2787</v>
      </c>
    </row>
    <row r="131" spans="2:88" x14ac:dyDescent="0.2">
      <c r="B131" t="s">
        <v>2788</v>
      </c>
      <c r="C131">
        <v>1480</v>
      </c>
      <c r="D131" t="s">
        <v>2789</v>
      </c>
      <c r="F131">
        <f t="shared" ref="F131:I137" si="23">CB131+CG131</f>
        <v>0</v>
      </c>
      <c r="G131">
        <f t="shared" si="23"/>
        <v>0</v>
      </c>
      <c r="H131">
        <f t="shared" si="23"/>
        <v>0</v>
      </c>
      <c r="I131">
        <f t="shared" si="23"/>
        <v>0</v>
      </c>
      <c r="K131">
        <f t="shared" ref="K131:K137" si="24">CE131</f>
        <v>0</v>
      </c>
      <c r="L131">
        <f t="shared" ref="L131:L137" si="25">CJ131</f>
        <v>0</v>
      </c>
      <c r="P131" t="s">
        <v>2790</v>
      </c>
      <c r="CB131">
        <f>K18</f>
        <v>0</v>
      </c>
      <c r="CE131">
        <f t="shared" ref="CE131:CE137" si="26">SUM(CB131:CD131)</f>
        <v>0</v>
      </c>
      <c r="CG131">
        <f>L18</f>
        <v>0</v>
      </c>
      <c r="CJ131">
        <f t="shared" ref="CJ131:CJ137" si="27">SUM(CG131:CI131)</f>
        <v>0</v>
      </c>
    </row>
    <row r="132" spans="2:88" x14ac:dyDescent="0.2">
      <c r="B132" t="s">
        <v>2791</v>
      </c>
      <c r="C132">
        <v>1490</v>
      </c>
      <c r="D132" t="s">
        <v>2789</v>
      </c>
      <c r="F132">
        <f t="shared" si="23"/>
        <v>0</v>
      </c>
      <c r="G132">
        <f t="shared" si="23"/>
        <v>0</v>
      </c>
      <c r="H132">
        <f t="shared" si="23"/>
        <v>0</v>
      </c>
      <c r="I132">
        <f t="shared" si="23"/>
        <v>0</v>
      </c>
      <c r="K132">
        <f t="shared" si="24"/>
        <v>0</v>
      </c>
      <c r="L132">
        <f t="shared" si="25"/>
        <v>0</v>
      </c>
      <c r="P132" t="s">
        <v>2792</v>
      </c>
      <c r="CC132">
        <f>-E49-E52</f>
        <v>0</v>
      </c>
      <c r="CD132">
        <f>-H49-H52</f>
        <v>0</v>
      </c>
      <c r="CE132">
        <f t="shared" si="26"/>
        <v>0</v>
      </c>
      <c r="CH132">
        <f>-F49-F52</f>
        <v>0</v>
      </c>
      <c r="CI132">
        <f>-I49-I52</f>
        <v>0</v>
      </c>
      <c r="CJ132">
        <f t="shared" si="27"/>
        <v>0</v>
      </c>
    </row>
    <row r="133" spans="2:88" x14ac:dyDescent="0.2">
      <c r="B133" t="s">
        <v>2793</v>
      </c>
      <c r="C133">
        <v>1500</v>
      </c>
      <c r="D133" t="s">
        <v>2789</v>
      </c>
      <c r="F133">
        <f t="shared" si="23"/>
        <v>0</v>
      </c>
      <c r="G133">
        <f t="shared" si="23"/>
        <v>0</v>
      </c>
      <c r="H133">
        <f t="shared" si="23"/>
        <v>0</v>
      </c>
      <c r="I133">
        <f t="shared" si="23"/>
        <v>0</v>
      </c>
      <c r="K133">
        <f t="shared" si="24"/>
        <v>0</v>
      </c>
      <c r="L133">
        <f t="shared" si="25"/>
        <v>0</v>
      </c>
      <c r="P133" t="s">
        <v>2794</v>
      </c>
      <c r="CB133">
        <f>K26</f>
        <v>0</v>
      </c>
      <c r="CC133">
        <f>-E68-E69</f>
        <v>0</v>
      </c>
      <c r="CD133">
        <f>-H68-H69</f>
        <v>0</v>
      </c>
      <c r="CE133">
        <f t="shared" si="26"/>
        <v>0</v>
      </c>
      <c r="CG133">
        <f>L26</f>
        <v>0</v>
      </c>
      <c r="CH133">
        <f>-F68-F69</f>
        <v>0</v>
      </c>
      <c r="CI133">
        <f>-I68-I69</f>
        <v>0</v>
      </c>
      <c r="CJ133">
        <f t="shared" si="27"/>
        <v>0</v>
      </c>
    </row>
    <row r="134" spans="2:88" x14ac:dyDescent="0.2">
      <c r="B134" t="s">
        <v>2703</v>
      </c>
      <c r="C134">
        <v>1510</v>
      </c>
      <c r="D134" t="s">
        <v>2789</v>
      </c>
      <c r="F134">
        <f t="shared" si="23"/>
        <v>0</v>
      </c>
      <c r="G134">
        <f t="shared" si="23"/>
        <v>0</v>
      </c>
      <c r="H134">
        <f t="shared" si="23"/>
        <v>0</v>
      </c>
      <c r="I134">
        <f t="shared" si="23"/>
        <v>0</v>
      </c>
      <c r="K134">
        <f t="shared" si="24"/>
        <v>0</v>
      </c>
      <c r="L134">
        <f t="shared" si="25"/>
        <v>0</v>
      </c>
      <c r="P134" t="s">
        <v>2795</v>
      </c>
      <c r="CC134">
        <f>-E67</f>
        <v>0</v>
      </c>
      <c r="CD134">
        <f>-H67</f>
        <v>0</v>
      </c>
      <c r="CE134">
        <f t="shared" si="26"/>
        <v>0</v>
      </c>
      <c r="CH134">
        <f>-F67</f>
        <v>0</v>
      </c>
      <c r="CI134">
        <f>-I67</f>
        <v>0</v>
      </c>
      <c r="CJ134">
        <f t="shared" si="27"/>
        <v>0</v>
      </c>
    </row>
    <row r="135" spans="2:88" x14ac:dyDescent="0.2">
      <c r="B135" t="s">
        <v>2796</v>
      </c>
      <c r="C135">
        <v>1520</v>
      </c>
      <c r="D135" t="s">
        <v>2789</v>
      </c>
      <c r="F135">
        <f t="shared" si="23"/>
        <v>0</v>
      </c>
      <c r="G135">
        <f t="shared" si="23"/>
        <v>0</v>
      </c>
      <c r="H135">
        <f t="shared" si="23"/>
        <v>0</v>
      </c>
      <c r="I135">
        <f t="shared" si="23"/>
        <v>0</v>
      </c>
      <c r="K135">
        <f t="shared" si="24"/>
        <v>0</v>
      </c>
      <c r="L135">
        <f t="shared" si="25"/>
        <v>0</v>
      </c>
      <c r="P135" t="s">
        <v>2797</v>
      </c>
      <c r="CB135">
        <f>K23</f>
        <v>0</v>
      </c>
      <c r="CE135">
        <f t="shared" si="26"/>
        <v>0</v>
      </c>
      <c r="CG135">
        <f>L23</f>
        <v>0</v>
      </c>
      <c r="CJ135">
        <f t="shared" si="27"/>
        <v>0</v>
      </c>
    </row>
    <row r="136" spans="2:88" x14ac:dyDescent="0.2">
      <c r="B136" t="s">
        <v>2798</v>
      </c>
      <c r="C136">
        <v>1530</v>
      </c>
      <c r="D136" t="s">
        <v>2789</v>
      </c>
      <c r="F136">
        <f t="shared" si="23"/>
        <v>0</v>
      </c>
      <c r="G136">
        <f t="shared" si="23"/>
        <v>0</v>
      </c>
      <c r="H136">
        <f t="shared" si="23"/>
        <v>0</v>
      </c>
      <c r="I136">
        <f t="shared" si="23"/>
        <v>0</v>
      </c>
      <c r="K136">
        <f t="shared" si="24"/>
        <v>0</v>
      </c>
      <c r="L136">
        <f t="shared" si="25"/>
        <v>0</v>
      </c>
      <c r="P136" t="s">
        <v>2799</v>
      </c>
      <c r="CB136">
        <f>K24+K25</f>
        <v>0</v>
      </c>
      <c r="CC136">
        <f>-E66</f>
        <v>0</v>
      </c>
      <c r="CD136">
        <f>-H66</f>
        <v>0</v>
      </c>
      <c r="CE136">
        <f t="shared" si="26"/>
        <v>0</v>
      </c>
      <c r="CG136">
        <f>L24+L25</f>
        <v>0</v>
      </c>
      <c r="CH136">
        <f>-F66</f>
        <v>0</v>
      </c>
      <c r="CI136">
        <f>-I66</f>
        <v>0</v>
      </c>
      <c r="CJ136">
        <f t="shared" si="27"/>
        <v>0</v>
      </c>
    </row>
    <row r="137" spans="2:88" x14ac:dyDescent="0.2">
      <c r="B137" t="s">
        <v>2800</v>
      </c>
      <c r="C137">
        <v>1540</v>
      </c>
      <c r="D137" t="s">
        <v>2789</v>
      </c>
      <c r="F137">
        <f t="shared" si="23"/>
        <v>0</v>
      </c>
      <c r="G137">
        <f t="shared" si="23"/>
        <v>0</v>
      </c>
      <c r="H137">
        <f t="shared" si="23"/>
        <v>0</v>
      </c>
      <c r="I137">
        <f t="shared" si="23"/>
        <v>0</v>
      </c>
      <c r="K137">
        <f t="shared" si="24"/>
        <v>0</v>
      </c>
      <c r="L137">
        <f t="shared" si="25"/>
        <v>0</v>
      </c>
      <c r="P137" t="s">
        <v>2801</v>
      </c>
      <c r="CB137">
        <f>K38</f>
        <v>0</v>
      </c>
      <c r="CE137">
        <f t="shared" si="26"/>
        <v>0</v>
      </c>
      <c r="CG137">
        <f>L38</f>
        <v>0</v>
      </c>
      <c r="CJ137">
        <f t="shared" si="27"/>
        <v>0</v>
      </c>
    </row>
    <row r="138" spans="2:88" x14ac:dyDescent="0.2">
      <c r="B138" t="s">
        <v>2787</v>
      </c>
      <c r="C138">
        <v>1550</v>
      </c>
      <c r="F138">
        <f>SUM(F131:F137)</f>
        <v>0</v>
      </c>
      <c r="G138">
        <f>SUM(G131:G137)</f>
        <v>0</v>
      </c>
      <c r="H138">
        <f>SUM(H131:H137)</f>
        <v>0</v>
      </c>
      <c r="I138">
        <f>SUM(I131:I137)</f>
        <v>0</v>
      </c>
      <c r="K138">
        <f>SUM(K131:K137)</f>
        <v>0</v>
      </c>
      <c r="L138">
        <f>SUM(L131:L137)</f>
        <v>0</v>
      </c>
    </row>
    <row r="140" spans="2:88" x14ac:dyDescent="0.2">
      <c r="B140" t="s">
        <v>2802</v>
      </c>
    </row>
    <row r="141" spans="2:88" x14ac:dyDescent="0.2">
      <c r="B141" t="s">
        <v>2803</v>
      </c>
      <c r="C141">
        <v>1560</v>
      </c>
      <c r="D141" t="s">
        <v>2804</v>
      </c>
      <c r="F141">
        <f t="shared" ref="F141:F152" si="28">CB141+CG141</f>
        <v>0</v>
      </c>
      <c r="G141">
        <f t="shared" ref="G141:G152" si="29">CC141+CH141</f>
        <v>0</v>
      </c>
      <c r="H141">
        <f t="shared" ref="H141:H152" si="30">CD141+CI141</f>
        <v>0</v>
      </c>
      <c r="I141">
        <f t="shared" ref="I141:I152" si="31">CE141+CJ141</f>
        <v>0</v>
      </c>
      <c r="K141">
        <f t="shared" ref="K141:K152" si="32">CE141</f>
        <v>0</v>
      </c>
      <c r="L141">
        <f t="shared" ref="L141:L152" si="33">CJ141</f>
        <v>0</v>
      </c>
      <c r="P141" t="s">
        <v>2805</v>
      </c>
      <c r="CB141">
        <f>K22</f>
        <v>0</v>
      </c>
      <c r="CC141">
        <f>-E56-E57-E58</f>
        <v>0</v>
      </c>
      <c r="CD141">
        <f>-H56-H57-H58</f>
        <v>0</v>
      </c>
      <c r="CE141">
        <f t="shared" ref="CE141:CE152" si="34">SUM(CB141:CD141)</f>
        <v>0</v>
      </c>
      <c r="CG141">
        <f>L22</f>
        <v>0</v>
      </c>
      <c r="CH141">
        <f>-F56-F57-F58</f>
        <v>0</v>
      </c>
      <c r="CI141">
        <f>-I56-I57-I58</f>
        <v>0</v>
      </c>
      <c r="CJ141">
        <f t="shared" ref="CJ141:CJ152" si="35">SUM(CG141:CI141)</f>
        <v>0</v>
      </c>
    </row>
    <row r="142" spans="2:88" x14ac:dyDescent="0.2">
      <c r="B142" t="s">
        <v>2806</v>
      </c>
      <c r="C142">
        <v>1570</v>
      </c>
      <c r="D142" t="s">
        <v>2807</v>
      </c>
      <c r="F142">
        <f t="shared" si="28"/>
        <v>0</v>
      </c>
      <c r="G142">
        <f t="shared" si="29"/>
        <v>0</v>
      </c>
      <c r="H142">
        <f t="shared" si="30"/>
        <v>0</v>
      </c>
      <c r="I142">
        <f t="shared" si="31"/>
        <v>0</v>
      </c>
      <c r="K142">
        <f t="shared" si="32"/>
        <v>0</v>
      </c>
      <c r="L142">
        <f t="shared" si="33"/>
        <v>0</v>
      </c>
      <c r="P142" t="s">
        <v>2808</v>
      </c>
      <c r="CB142">
        <f>K28</f>
        <v>0</v>
      </c>
      <c r="CC142">
        <f>-E61</f>
        <v>0</v>
      </c>
      <c r="CD142">
        <f>-H61</f>
        <v>0</v>
      </c>
      <c r="CE142">
        <f t="shared" si="34"/>
        <v>0</v>
      </c>
      <c r="CG142">
        <f>L28</f>
        <v>0</v>
      </c>
      <c r="CH142">
        <f>-F61</f>
        <v>0</v>
      </c>
      <c r="CI142">
        <f>-I61</f>
        <v>0</v>
      </c>
      <c r="CJ142">
        <f t="shared" si="35"/>
        <v>0</v>
      </c>
    </row>
    <row r="143" spans="2:88" x14ac:dyDescent="0.2">
      <c r="B143" t="s">
        <v>2809</v>
      </c>
      <c r="C143">
        <v>1580</v>
      </c>
      <c r="D143" t="s">
        <v>2810</v>
      </c>
      <c r="F143">
        <f t="shared" si="28"/>
        <v>0</v>
      </c>
      <c r="G143">
        <f t="shared" si="29"/>
        <v>0</v>
      </c>
      <c r="H143">
        <f t="shared" si="30"/>
        <v>0</v>
      </c>
      <c r="I143">
        <f t="shared" si="31"/>
        <v>0</v>
      </c>
      <c r="K143">
        <f t="shared" si="32"/>
        <v>0</v>
      </c>
      <c r="L143">
        <f t="shared" si="33"/>
        <v>0</v>
      </c>
      <c r="P143" t="s">
        <v>2811</v>
      </c>
      <c r="CB143">
        <f>K29+K30+K31+K32</f>
        <v>0</v>
      </c>
      <c r="CE143">
        <f t="shared" si="34"/>
        <v>0</v>
      </c>
      <c r="CG143">
        <f>L29+L30+L31+L32</f>
        <v>0</v>
      </c>
      <c r="CJ143">
        <f t="shared" si="35"/>
        <v>0</v>
      </c>
    </row>
    <row r="144" spans="2:88" x14ac:dyDescent="0.2">
      <c r="B144" t="s">
        <v>2812</v>
      </c>
      <c r="C144">
        <v>1590</v>
      </c>
      <c r="D144" t="s">
        <v>2813</v>
      </c>
      <c r="F144">
        <f t="shared" si="28"/>
        <v>0</v>
      </c>
      <c r="G144">
        <f t="shared" si="29"/>
        <v>0</v>
      </c>
      <c r="H144">
        <f t="shared" si="30"/>
        <v>0</v>
      </c>
      <c r="I144">
        <f t="shared" si="31"/>
        <v>0</v>
      </c>
      <c r="K144">
        <f t="shared" si="32"/>
        <v>0</v>
      </c>
      <c r="L144">
        <f t="shared" si="33"/>
        <v>0</v>
      </c>
      <c r="P144" t="s">
        <v>2814</v>
      </c>
      <c r="CB144">
        <f>K34</f>
        <v>0</v>
      </c>
      <c r="CC144">
        <f>-E65</f>
        <v>0</v>
      </c>
      <c r="CD144">
        <f>-H65</f>
        <v>0</v>
      </c>
      <c r="CE144">
        <f t="shared" si="34"/>
        <v>0</v>
      </c>
      <c r="CG144">
        <f>L34</f>
        <v>0</v>
      </c>
      <c r="CH144">
        <f>-F65</f>
        <v>0</v>
      </c>
      <c r="CI144">
        <f>-I65</f>
        <v>0</v>
      </c>
      <c r="CJ144">
        <f t="shared" si="35"/>
        <v>0</v>
      </c>
    </row>
    <row r="145" spans="2:88" x14ac:dyDescent="0.2">
      <c r="B145" t="s">
        <v>2815</v>
      </c>
      <c r="C145">
        <v>1600</v>
      </c>
      <c r="D145" t="s">
        <v>2816</v>
      </c>
      <c r="F145">
        <f t="shared" si="28"/>
        <v>0</v>
      </c>
      <c r="G145">
        <f t="shared" si="29"/>
        <v>0</v>
      </c>
      <c r="H145">
        <f t="shared" si="30"/>
        <v>0</v>
      </c>
      <c r="I145">
        <f t="shared" si="31"/>
        <v>0</v>
      </c>
      <c r="K145">
        <f t="shared" si="32"/>
        <v>0</v>
      </c>
      <c r="L145">
        <f t="shared" si="33"/>
        <v>0</v>
      </c>
      <c r="P145" t="s">
        <v>2817</v>
      </c>
      <c r="CB145">
        <f>K39</f>
        <v>0</v>
      </c>
      <c r="CC145">
        <f>-E71</f>
        <v>0</v>
      </c>
      <c r="CD145">
        <f>-H71</f>
        <v>0</v>
      </c>
      <c r="CE145">
        <f t="shared" si="34"/>
        <v>0</v>
      </c>
      <c r="CG145">
        <f>L39</f>
        <v>0</v>
      </c>
      <c r="CH145">
        <f>-F71</f>
        <v>0</v>
      </c>
      <c r="CI145">
        <f>-I71</f>
        <v>0</v>
      </c>
      <c r="CJ145">
        <f t="shared" si="35"/>
        <v>0</v>
      </c>
    </row>
    <row r="146" spans="2:88" x14ac:dyDescent="0.2">
      <c r="B146" t="s">
        <v>2818</v>
      </c>
      <c r="C146">
        <v>1610</v>
      </c>
      <c r="D146" t="s">
        <v>2819</v>
      </c>
      <c r="F146">
        <f t="shared" si="28"/>
        <v>0</v>
      </c>
      <c r="G146">
        <f t="shared" si="29"/>
        <v>0</v>
      </c>
      <c r="H146">
        <f t="shared" si="30"/>
        <v>0</v>
      </c>
      <c r="I146">
        <f t="shared" si="31"/>
        <v>0</v>
      </c>
      <c r="K146">
        <f t="shared" si="32"/>
        <v>0</v>
      </c>
      <c r="L146">
        <f t="shared" si="33"/>
        <v>0</v>
      </c>
      <c r="P146" t="s">
        <v>2820</v>
      </c>
      <c r="CB146">
        <f>K27</f>
        <v>0</v>
      </c>
      <c r="CC146">
        <f>-E60</f>
        <v>0</v>
      </c>
      <c r="CD146">
        <f>-H60</f>
        <v>0</v>
      </c>
      <c r="CE146">
        <f t="shared" si="34"/>
        <v>0</v>
      </c>
      <c r="CG146">
        <f>L27</f>
        <v>0</v>
      </c>
      <c r="CH146">
        <f>-F60</f>
        <v>0</v>
      </c>
      <c r="CI146">
        <f>-I60</f>
        <v>0</v>
      </c>
      <c r="CJ146">
        <f t="shared" si="35"/>
        <v>0</v>
      </c>
    </row>
    <row r="147" spans="2:88" x14ac:dyDescent="0.2">
      <c r="B147" t="s">
        <v>2821</v>
      </c>
      <c r="C147">
        <v>1620</v>
      </c>
      <c r="D147" t="s">
        <v>2822</v>
      </c>
      <c r="F147">
        <f t="shared" si="28"/>
        <v>0</v>
      </c>
      <c r="G147">
        <f t="shared" si="29"/>
        <v>0</v>
      </c>
      <c r="H147">
        <f t="shared" si="30"/>
        <v>0</v>
      </c>
      <c r="I147">
        <f t="shared" si="31"/>
        <v>0</v>
      </c>
      <c r="K147">
        <f t="shared" si="32"/>
        <v>0</v>
      </c>
      <c r="L147">
        <f t="shared" si="33"/>
        <v>0</v>
      </c>
      <c r="P147" t="s">
        <v>2823</v>
      </c>
      <c r="CB147">
        <f>K41</f>
        <v>0</v>
      </c>
      <c r="CC147">
        <f>-E72</f>
        <v>0</v>
      </c>
      <c r="CD147">
        <f>-H72</f>
        <v>0</v>
      </c>
      <c r="CE147">
        <f t="shared" si="34"/>
        <v>0</v>
      </c>
      <c r="CG147">
        <f>L41</f>
        <v>0</v>
      </c>
      <c r="CH147">
        <f>-F72</f>
        <v>0</v>
      </c>
      <c r="CI147">
        <f>-I72</f>
        <v>0</v>
      </c>
      <c r="CJ147">
        <f t="shared" si="35"/>
        <v>0</v>
      </c>
    </row>
    <row r="148" spans="2:88" x14ac:dyDescent="0.2">
      <c r="B148" t="s">
        <v>2657</v>
      </c>
      <c r="C148">
        <v>1630</v>
      </c>
      <c r="D148" t="s">
        <v>2776</v>
      </c>
      <c r="F148">
        <f t="shared" si="28"/>
        <v>0</v>
      </c>
      <c r="G148">
        <f t="shared" si="29"/>
        <v>0</v>
      </c>
      <c r="H148">
        <f t="shared" si="30"/>
        <v>0</v>
      </c>
      <c r="I148">
        <f t="shared" si="31"/>
        <v>0</v>
      </c>
      <c r="K148">
        <f t="shared" si="32"/>
        <v>0</v>
      </c>
      <c r="L148">
        <f t="shared" si="33"/>
        <v>0</v>
      </c>
      <c r="P148" t="s">
        <v>2824</v>
      </c>
      <c r="CB148">
        <f>K40</f>
        <v>0</v>
      </c>
      <c r="CE148">
        <f t="shared" si="34"/>
        <v>0</v>
      </c>
      <c r="CG148">
        <f>L40</f>
        <v>0</v>
      </c>
      <c r="CJ148">
        <f t="shared" si="35"/>
        <v>0</v>
      </c>
    </row>
    <row r="149" spans="2:88" x14ac:dyDescent="0.2">
      <c r="B149" t="s">
        <v>2825</v>
      </c>
      <c r="C149">
        <v>1640</v>
      </c>
      <c r="D149" t="s">
        <v>352</v>
      </c>
      <c r="F149">
        <f t="shared" si="28"/>
        <v>0</v>
      </c>
      <c r="G149">
        <f t="shared" si="29"/>
        <v>0</v>
      </c>
      <c r="H149">
        <f t="shared" si="30"/>
        <v>0</v>
      </c>
      <c r="I149">
        <f t="shared" si="31"/>
        <v>0</v>
      </c>
      <c r="K149">
        <f t="shared" si="32"/>
        <v>0</v>
      </c>
      <c r="L149">
        <f t="shared" si="33"/>
        <v>0</v>
      </c>
      <c r="P149" t="s">
        <v>2826</v>
      </c>
      <c r="CB149">
        <f>K33</f>
        <v>0</v>
      </c>
      <c r="CC149">
        <f>-E59</f>
        <v>0</v>
      </c>
      <c r="CD149">
        <f>-H59</f>
        <v>0</v>
      </c>
      <c r="CE149">
        <f t="shared" si="34"/>
        <v>0</v>
      </c>
      <c r="CG149">
        <f>L33</f>
        <v>0</v>
      </c>
      <c r="CH149">
        <f>-F59</f>
        <v>0</v>
      </c>
      <c r="CI149">
        <f>-I59</f>
        <v>0</v>
      </c>
      <c r="CJ149">
        <f t="shared" si="35"/>
        <v>0</v>
      </c>
    </row>
    <row r="150" spans="2:88" x14ac:dyDescent="0.2">
      <c r="B150" t="s">
        <v>2827</v>
      </c>
      <c r="C150">
        <v>1650</v>
      </c>
      <c r="D150" t="s">
        <v>352</v>
      </c>
      <c r="F150">
        <f t="shared" si="28"/>
        <v>0</v>
      </c>
      <c r="G150">
        <f t="shared" si="29"/>
        <v>0</v>
      </c>
      <c r="H150">
        <f t="shared" si="30"/>
        <v>0</v>
      </c>
      <c r="I150">
        <f t="shared" si="31"/>
        <v>0</v>
      </c>
      <c r="K150">
        <f t="shared" si="32"/>
        <v>0</v>
      </c>
      <c r="L150">
        <f t="shared" si="33"/>
        <v>0</v>
      </c>
      <c r="P150" t="s">
        <v>2828</v>
      </c>
      <c r="CB150">
        <f>K35+K36</f>
        <v>0</v>
      </c>
      <c r="CC150">
        <f>-E62-E63</f>
        <v>0</v>
      </c>
      <c r="CD150">
        <f>-H62-H63</f>
        <v>0</v>
      </c>
      <c r="CE150">
        <f t="shared" si="34"/>
        <v>0</v>
      </c>
      <c r="CG150">
        <f>L35+L36</f>
        <v>0</v>
      </c>
      <c r="CH150">
        <f>-F62-F63</f>
        <v>0</v>
      </c>
      <c r="CI150">
        <f>-I62-I63</f>
        <v>0</v>
      </c>
      <c r="CJ150">
        <f t="shared" si="35"/>
        <v>0</v>
      </c>
    </row>
    <row r="151" spans="2:88" x14ac:dyDescent="0.2">
      <c r="B151" t="s">
        <v>2652</v>
      </c>
      <c r="C151">
        <v>1660</v>
      </c>
      <c r="D151" t="s">
        <v>352</v>
      </c>
      <c r="F151">
        <f t="shared" si="28"/>
        <v>0</v>
      </c>
      <c r="G151">
        <f t="shared" si="29"/>
        <v>0</v>
      </c>
      <c r="H151">
        <f t="shared" si="30"/>
        <v>0</v>
      </c>
      <c r="I151">
        <f t="shared" si="31"/>
        <v>0</v>
      </c>
      <c r="K151">
        <f t="shared" si="32"/>
        <v>0</v>
      </c>
      <c r="L151">
        <f t="shared" si="33"/>
        <v>0</v>
      </c>
      <c r="P151" t="s">
        <v>2829</v>
      </c>
      <c r="CB151">
        <f>K37</f>
        <v>0</v>
      </c>
      <c r="CC151">
        <f>-E64</f>
        <v>0</v>
      </c>
      <c r="CD151">
        <f>-H64</f>
        <v>0</v>
      </c>
      <c r="CE151">
        <f t="shared" si="34"/>
        <v>0</v>
      </c>
      <c r="CG151">
        <f>L37</f>
        <v>0</v>
      </c>
      <c r="CH151">
        <f>-F64</f>
        <v>0</v>
      </c>
      <c r="CI151">
        <f>-I64</f>
        <v>0</v>
      </c>
      <c r="CJ151">
        <f t="shared" si="35"/>
        <v>0</v>
      </c>
    </row>
    <row r="152" spans="2:88" x14ac:dyDescent="0.2">
      <c r="B152" t="s">
        <v>1243</v>
      </c>
      <c r="C152">
        <v>1670</v>
      </c>
      <c r="D152" t="s">
        <v>352</v>
      </c>
      <c r="F152">
        <f t="shared" si="28"/>
        <v>0</v>
      </c>
      <c r="G152">
        <f t="shared" si="29"/>
        <v>0</v>
      </c>
      <c r="H152">
        <f t="shared" si="30"/>
        <v>0</v>
      </c>
      <c r="I152">
        <f t="shared" si="31"/>
        <v>0</v>
      </c>
      <c r="K152">
        <f t="shared" si="32"/>
        <v>0</v>
      </c>
      <c r="L152">
        <f t="shared" si="33"/>
        <v>0</v>
      </c>
      <c r="P152" t="s">
        <v>2830</v>
      </c>
      <c r="CB152">
        <f>K42</f>
        <v>0</v>
      </c>
      <c r="CC152">
        <f>-E73-E70</f>
        <v>0</v>
      </c>
      <c r="CD152">
        <f>-H73-H70</f>
        <v>0</v>
      </c>
      <c r="CE152">
        <f t="shared" si="34"/>
        <v>0</v>
      </c>
      <c r="CG152">
        <f>L42</f>
        <v>0</v>
      </c>
      <c r="CH152">
        <f>-F73-F70</f>
        <v>0</v>
      </c>
      <c r="CI152">
        <f>-I73-I70</f>
        <v>0</v>
      </c>
      <c r="CJ152">
        <f t="shared" si="35"/>
        <v>0</v>
      </c>
    </row>
    <row r="153" spans="2:88" x14ac:dyDescent="0.2">
      <c r="B153" t="s">
        <v>2831</v>
      </c>
      <c r="C153">
        <v>1680</v>
      </c>
      <c r="F153">
        <f>SUM(F141:F152)</f>
        <v>0</v>
      </c>
      <c r="G153">
        <f>SUM(G141:G152)</f>
        <v>0</v>
      </c>
      <c r="H153">
        <f>SUM(H141:H152)</f>
        <v>0</v>
      </c>
      <c r="I153">
        <f>SUM(I141:I152)</f>
        <v>0</v>
      </c>
      <c r="K153">
        <f>SUM(K141:K152)</f>
        <v>0</v>
      </c>
      <c r="L153">
        <f>SUM(L141:L152)</f>
        <v>0</v>
      </c>
    </row>
    <row r="154" spans="2:88" x14ac:dyDescent="0.2">
      <c r="B154" t="s">
        <v>2832</v>
      </c>
      <c r="C154">
        <v>1690</v>
      </c>
      <c r="F154">
        <f>F120+F128+F138+F153</f>
        <v>0</v>
      </c>
      <c r="G154">
        <f>G120+G128+G138+G153</f>
        <v>0</v>
      </c>
      <c r="H154">
        <f>H120+H128+H138+H153</f>
        <v>0</v>
      </c>
      <c r="I154">
        <f>I120+I128+I138+I153</f>
        <v>0</v>
      </c>
      <c r="K154">
        <f>K120+K128+K138+K153</f>
        <v>0</v>
      </c>
      <c r="L154">
        <f>L120+L128+L138+L153</f>
        <v>0</v>
      </c>
      <c r="P154" t="s">
        <v>2833</v>
      </c>
      <c r="CB154">
        <f>SUM(CB120:CB153)</f>
        <v>0</v>
      </c>
      <c r="CC154">
        <f>SUM(CC120:CC153)</f>
        <v>0</v>
      </c>
      <c r="CD154">
        <f>SUM(CD120:CD153)</f>
        <v>0</v>
      </c>
      <c r="CE154">
        <f>SUM(CE120:CE153)</f>
        <v>0</v>
      </c>
      <c r="CG154">
        <f>SUM(CG120:CG153)</f>
        <v>0</v>
      </c>
      <c r="CH154">
        <f>SUM(CH120:CH153)</f>
        <v>0</v>
      </c>
      <c r="CI154">
        <f>SUM(CI120:CI153)</f>
        <v>0</v>
      </c>
      <c r="CJ154">
        <f>SUM(CJ120:CJ153)</f>
        <v>0</v>
      </c>
    </row>
    <row r="156" spans="2:88" x14ac:dyDescent="0.2">
      <c r="B156" t="s">
        <v>2834</v>
      </c>
      <c r="C156">
        <v>1700</v>
      </c>
      <c r="F156">
        <f>CB156+CG156</f>
        <v>0</v>
      </c>
      <c r="G156">
        <f>CC156+CH156</f>
        <v>0</v>
      </c>
      <c r="H156">
        <f>CD156+CI156</f>
        <v>0</v>
      </c>
      <c r="I156">
        <f>CE156+CJ156</f>
        <v>0</v>
      </c>
      <c r="K156">
        <f>CE156</f>
        <v>0</v>
      </c>
      <c r="L156">
        <f>CJ156</f>
        <v>0</v>
      </c>
      <c r="CG156">
        <f>-CG154</f>
        <v>0</v>
      </c>
      <c r="CH156">
        <f>-CH154</f>
        <v>0</v>
      </c>
      <c r="CI156">
        <f>-CI154</f>
        <v>0</v>
      </c>
      <c r="CJ156">
        <f>SUM(CG156:CI156)</f>
        <v>0</v>
      </c>
    </row>
    <row r="157" spans="2:88" x14ac:dyDescent="0.2">
      <c r="B157" t="s">
        <v>2835</v>
      </c>
      <c r="C157">
        <v>1710</v>
      </c>
      <c r="F157">
        <f>SUM(F154:F156)</f>
        <v>0</v>
      </c>
      <c r="G157">
        <f>SUM(G154:G156)</f>
        <v>0</v>
      </c>
      <c r="H157">
        <f>SUM(H154:H156)</f>
        <v>0</v>
      </c>
      <c r="I157">
        <f>SUM(I154:I156)</f>
        <v>0</v>
      </c>
      <c r="K157">
        <f>SUM(K154:K156)</f>
        <v>0</v>
      </c>
      <c r="L157">
        <f>SUM(L154:L156)</f>
        <v>0</v>
      </c>
      <c r="CB157">
        <f>SUM(CB154:CB156)</f>
        <v>0</v>
      </c>
      <c r="CC157">
        <f>SUM(CC154:CC156)</f>
        <v>0</v>
      </c>
      <c r="CD157">
        <f>SUM(CD154:CD156)</f>
        <v>0</v>
      </c>
      <c r="CE157">
        <f>SUM(CB157:CD157)</f>
        <v>0</v>
      </c>
      <c r="CG157">
        <f>SUM(CG154:CG156)</f>
        <v>0</v>
      </c>
      <c r="CH157">
        <f>SUM(CH154:CH156)</f>
        <v>0</v>
      </c>
      <c r="CI157">
        <f>SUM(CI154:CI156)</f>
        <v>0</v>
      </c>
      <c r="CJ157">
        <f>SUM(CG157:CI157)</f>
        <v>0</v>
      </c>
    </row>
  </sheetData>
  <sheetProtection sheet="1" objects="1" scenarios="1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/>
  <dimension ref="A1:CJ271"/>
  <sheetViews>
    <sheetView zoomScale="70" zoomScaleNormal="70" workbookViewId="0"/>
  </sheetViews>
  <sheetFormatPr defaultRowHeight="12.75" x14ac:dyDescent="0.2"/>
  <sheetData>
    <row r="1" spans="1:87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7" x14ac:dyDescent="0.2">
      <c r="A2" t="s">
        <v>3727</v>
      </c>
    </row>
    <row r="3" spans="1:87" x14ac:dyDescent="0.2">
      <c r="A3" t="s">
        <v>3803</v>
      </c>
    </row>
    <row r="5" spans="1:87" x14ac:dyDescent="0.2">
      <c r="B5" t="s">
        <v>3573</v>
      </c>
      <c r="CA5" t="s">
        <v>230</v>
      </c>
      <c r="CB5">
        <f>0</f>
        <v>0</v>
      </c>
    </row>
    <row r="6" spans="1:87" x14ac:dyDescent="0.2">
      <c r="CA6" t="s">
        <v>231</v>
      </c>
      <c r="CB6" t="s">
        <v>232</v>
      </c>
      <c r="CC6" t="s">
        <v>2599</v>
      </c>
      <c r="CD6" t="s">
        <v>2599</v>
      </c>
      <c r="CE6" t="s">
        <v>2599</v>
      </c>
      <c r="CF6" t="s">
        <v>2600</v>
      </c>
      <c r="CG6" t="s">
        <v>2601</v>
      </c>
      <c r="CH6" t="s">
        <v>2602</v>
      </c>
      <c r="CI6" t="s">
        <v>2603</v>
      </c>
    </row>
    <row r="7" spans="1:87" x14ac:dyDescent="0.2">
      <c r="B7" t="s">
        <v>2604</v>
      </c>
      <c r="C7" t="s">
        <v>238</v>
      </c>
      <c r="D7" t="s">
        <v>25</v>
      </c>
      <c r="F7" t="s">
        <v>1250</v>
      </c>
      <c r="I7" t="s">
        <v>2605</v>
      </c>
      <c r="L7" t="s">
        <v>340</v>
      </c>
      <c r="P7" t="s">
        <v>937</v>
      </c>
      <c r="CA7">
        <f>SUM(CA8:CA176)</f>
        <v>0</v>
      </c>
      <c r="CB7">
        <f>SUM(CB8:CB176)</f>
        <v>0</v>
      </c>
      <c r="CF7">
        <f>SUM(CF8:CF176)</f>
        <v>0</v>
      </c>
    </row>
    <row r="8" spans="1:87" x14ac:dyDescent="0.2">
      <c r="C8" t="s">
        <v>242</v>
      </c>
      <c r="E8" t="s">
        <v>2606</v>
      </c>
      <c r="F8" t="s">
        <v>2607</v>
      </c>
      <c r="G8" t="s">
        <v>340</v>
      </c>
      <c r="H8" t="s">
        <v>2606</v>
      </c>
      <c r="I8" t="s">
        <v>2607</v>
      </c>
      <c r="J8" t="s">
        <v>340</v>
      </c>
      <c r="K8" t="s">
        <v>2606</v>
      </c>
      <c r="L8" t="s">
        <v>2607</v>
      </c>
      <c r="M8" t="s">
        <v>340</v>
      </c>
      <c r="P8" t="s">
        <v>2608</v>
      </c>
    </row>
    <row r="9" spans="1:87" x14ac:dyDescent="0.2">
      <c r="E9" t="s">
        <v>2036</v>
      </c>
      <c r="F9" t="s">
        <v>2037</v>
      </c>
      <c r="G9" t="s">
        <v>2038</v>
      </c>
      <c r="H9" t="s">
        <v>2039</v>
      </c>
      <c r="I9" t="s">
        <v>2040</v>
      </c>
      <c r="J9" t="s">
        <v>2041</v>
      </c>
      <c r="K9" t="s">
        <v>2042</v>
      </c>
      <c r="L9" t="s">
        <v>2043</v>
      </c>
      <c r="M9" t="s">
        <v>2044</v>
      </c>
    </row>
    <row r="10" spans="1:87" x14ac:dyDescent="0.2"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  <c r="K10" t="s">
        <v>243</v>
      </c>
      <c r="L10" t="s">
        <v>243</v>
      </c>
      <c r="M10" t="s">
        <v>243</v>
      </c>
    </row>
    <row r="11" spans="1:87" x14ac:dyDescent="0.2">
      <c r="B11" t="s">
        <v>2609</v>
      </c>
      <c r="C11">
        <v>100</v>
      </c>
      <c r="D11" t="s">
        <v>248</v>
      </c>
      <c r="M11">
        <f>SUM(K11:L11)</f>
        <v>0</v>
      </c>
      <c r="P11" t="s">
        <v>2610</v>
      </c>
      <c r="CB11">
        <f>IF(OR(M11&lt;0),1,0)</f>
        <v>0</v>
      </c>
    </row>
    <row r="12" spans="1:87" x14ac:dyDescent="0.2">
      <c r="B12" t="s">
        <v>2611</v>
      </c>
    </row>
    <row r="13" spans="1:87" x14ac:dyDescent="0.2">
      <c r="B13" t="s">
        <v>2612</v>
      </c>
      <c r="C13">
        <v>110</v>
      </c>
      <c r="D13" t="s">
        <v>245</v>
      </c>
      <c r="M13">
        <f t="shared" ref="M13:M19" si="0">SUM(K13:L13)</f>
        <v>0</v>
      </c>
      <c r="P13" t="s">
        <v>2613</v>
      </c>
      <c r="CA13">
        <f>IF(OR(K13&gt;0,L13&gt;0),1,0)</f>
        <v>0</v>
      </c>
    </row>
    <row r="14" spans="1:87" x14ac:dyDescent="0.2">
      <c r="B14" t="s">
        <v>2614</v>
      </c>
      <c r="C14">
        <v>120</v>
      </c>
      <c r="D14" t="s">
        <v>245</v>
      </c>
      <c r="M14">
        <f t="shared" si="0"/>
        <v>0</v>
      </c>
      <c r="CA14">
        <f>IF(OR(K14&gt;0,L14&gt;0),1,0)</f>
        <v>0</v>
      </c>
    </row>
    <row r="15" spans="1:87" x14ac:dyDescent="0.2">
      <c r="B15" t="s">
        <v>2615</v>
      </c>
      <c r="C15">
        <v>130</v>
      </c>
      <c r="D15" t="s">
        <v>248</v>
      </c>
      <c r="M15">
        <f t="shared" si="0"/>
        <v>0</v>
      </c>
      <c r="CB15">
        <f>IF(OR(K15&lt;0,L15&lt;0),1,0)</f>
        <v>0</v>
      </c>
    </row>
    <row r="16" spans="1:87" x14ac:dyDescent="0.2">
      <c r="B16" t="s">
        <v>2616</v>
      </c>
      <c r="C16">
        <v>140</v>
      </c>
      <c r="D16" t="s">
        <v>251</v>
      </c>
      <c r="M16">
        <f t="shared" si="0"/>
        <v>0</v>
      </c>
      <c r="P16" t="s">
        <v>2617</v>
      </c>
    </row>
    <row r="17" spans="2:87" x14ac:dyDescent="0.2">
      <c r="B17" t="s">
        <v>2618</v>
      </c>
      <c r="C17">
        <v>150</v>
      </c>
      <c r="D17" t="s">
        <v>251</v>
      </c>
      <c r="M17">
        <f t="shared" si="0"/>
        <v>0</v>
      </c>
      <c r="P17" t="s">
        <v>2619</v>
      </c>
    </row>
    <row r="18" spans="2:87" x14ac:dyDescent="0.2">
      <c r="B18" t="s">
        <v>2620</v>
      </c>
      <c r="C18">
        <v>155</v>
      </c>
      <c r="D18" t="s">
        <v>248</v>
      </c>
      <c r="M18">
        <f t="shared" si="0"/>
        <v>0</v>
      </c>
      <c r="CB18">
        <f>IF(OR(K18&lt;0,L18&lt;0),1,0)</f>
        <v>0</v>
      </c>
    </row>
    <row r="19" spans="2:87" x14ac:dyDescent="0.2">
      <c r="B19" t="s">
        <v>352</v>
      </c>
      <c r="C19">
        <v>160</v>
      </c>
      <c r="D19" t="s">
        <v>251</v>
      </c>
      <c r="M19">
        <f t="shared" si="0"/>
        <v>0</v>
      </c>
      <c r="P19" t="s">
        <v>2621</v>
      </c>
      <c r="CG19">
        <f>SUM(M13:M19)</f>
        <v>0</v>
      </c>
      <c r="CH19">
        <f>M19</f>
        <v>0</v>
      </c>
      <c r="CI19">
        <f>IF(CG19&lt;&gt;0,(CH19/CG19)*100,0)</f>
        <v>0</v>
      </c>
    </row>
    <row r="20" spans="2:87" x14ac:dyDescent="0.2">
      <c r="B20" t="s">
        <v>2622</v>
      </c>
      <c r="C20">
        <v>170</v>
      </c>
      <c r="D20" t="s">
        <v>248</v>
      </c>
      <c r="K20">
        <f>SUM(K11:K19)</f>
        <v>0</v>
      </c>
      <c r="L20">
        <f>SUM(L11:L19)</f>
        <v>0</v>
      </c>
      <c r="M20">
        <f>SUM(M11:M19)</f>
        <v>0</v>
      </c>
      <c r="CF20">
        <f>IF(L20&lt;&gt;0,1,0)</f>
        <v>0</v>
      </c>
    </row>
    <row r="21" spans="2:87" x14ac:dyDescent="0.2">
      <c r="B21" t="s">
        <v>2623</v>
      </c>
    </row>
    <row r="22" spans="2:87" x14ac:dyDescent="0.2">
      <c r="B22" t="s">
        <v>2624</v>
      </c>
      <c r="C22">
        <v>180</v>
      </c>
      <c r="D22" t="s">
        <v>248</v>
      </c>
      <c r="M22">
        <f t="shared" ref="M22:M42" si="1">SUM(K22:L22)</f>
        <v>0</v>
      </c>
      <c r="P22" t="s">
        <v>2625</v>
      </c>
      <c r="CB22">
        <f>IF(OR(K22&lt;0,L22&lt;0),1,0)</f>
        <v>0</v>
      </c>
    </row>
    <row r="23" spans="2:87" x14ac:dyDescent="0.2">
      <c r="B23" t="s">
        <v>2626</v>
      </c>
      <c r="C23">
        <v>190</v>
      </c>
      <c r="D23" t="s">
        <v>245</v>
      </c>
      <c r="M23">
        <f t="shared" si="1"/>
        <v>0</v>
      </c>
      <c r="CA23">
        <f>IF(OR(K23&gt;0,L23&gt;0),1,0)</f>
        <v>0</v>
      </c>
    </row>
    <row r="24" spans="2:87" x14ac:dyDescent="0.2">
      <c r="B24" t="s">
        <v>2627</v>
      </c>
      <c r="C24">
        <v>200</v>
      </c>
      <c r="D24" t="s">
        <v>245</v>
      </c>
      <c r="M24">
        <f t="shared" si="1"/>
        <v>0</v>
      </c>
      <c r="P24" t="s">
        <v>2628</v>
      </c>
      <c r="CA24">
        <f>IF(OR(K24&gt;0,L24&gt;0),1,0)</f>
        <v>0</v>
      </c>
    </row>
    <row r="25" spans="2:87" x14ac:dyDescent="0.2">
      <c r="B25" t="s">
        <v>2630</v>
      </c>
      <c r="C25">
        <v>210</v>
      </c>
      <c r="D25" t="s">
        <v>248</v>
      </c>
      <c r="M25">
        <f t="shared" si="1"/>
        <v>0</v>
      </c>
      <c r="P25" t="s">
        <v>2631</v>
      </c>
      <c r="CB25">
        <f>IF(OR(K25&lt;0,L25&lt;0),1,0)</f>
        <v>0</v>
      </c>
    </row>
    <row r="26" spans="2:87" x14ac:dyDescent="0.2">
      <c r="B26" t="s">
        <v>2633</v>
      </c>
      <c r="C26">
        <v>220</v>
      </c>
      <c r="D26" t="s">
        <v>248</v>
      </c>
      <c r="M26">
        <f t="shared" si="1"/>
        <v>0</v>
      </c>
      <c r="P26" t="s">
        <v>2634</v>
      </c>
      <c r="CB26">
        <f>IF(OR(K26&lt;0,L26&lt;0),1,0)</f>
        <v>0</v>
      </c>
    </row>
    <row r="27" spans="2:87" x14ac:dyDescent="0.2">
      <c r="B27" t="s">
        <v>2636</v>
      </c>
      <c r="C27">
        <v>230</v>
      </c>
      <c r="D27" t="s">
        <v>251</v>
      </c>
      <c r="M27">
        <f t="shared" si="1"/>
        <v>0</v>
      </c>
      <c r="P27" t="s">
        <v>2637</v>
      </c>
    </row>
    <row r="28" spans="2:87" x14ac:dyDescent="0.2">
      <c r="B28" t="s">
        <v>2638</v>
      </c>
      <c r="C28">
        <v>240</v>
      </c>
      <c r="D28" t="s">
        <v>251</v>
      </c>
      <c r="M28">
        <f t="shared" si="1"/>
        <v>0</v>
      </c>
      <c r="P28" t="s">
        <v>2639</v>
      </c>
    </row>
    <row r="29" spans="2:87" x14ac:dyDescent="0.2">
      <c r="B29" t="s">
        <v>2640</v>
      </c>
      <c r="C29">
        <v>250</v>
      </c>
      <c r="D29" t="s">
        <v>251</v>
      </c>
      <c r="M29">
        <f t="shared" si="1"/>
        <v>0</v>
      </c>
    </row>
    <row r="30" spans="2:87" x14ac:dyDescent="0.2">
      <c r="B30" t="s">
        <v>2641</v>
      </c>
      <c r="C30">
        <v>260</v>
      </c>
      <c r="D30" t="s">
        <v>251</v>
      </c>
      <c r="M30">
        <f t="shared" si="1"/>
        <v>0</v>
      </c>
    </row>
    <row r="31" spans="2:87" x14ac:dyDescent="0.2">
      <c r="B31" t="s">
        <v>2642</v>
      </c>
      <c r="C31">
        <v>270</v>
      </c>
      <c r="D31" t="s">
        <v>251</v>
      </c>
      <c r="M31">
        <f t="shared" si="1"/>
        <v>0</v>
      </c>
    </row>
    <row r="32" spans="2:87" x14ac:dyDescent="0.2">
      <c r="B32" t="s">
        <v>2643</v>
      </c>
      <c r="C32">
        <v>280</v>
      </c>
      <c r="D32" t="s">
        <v>251</v>
      </c>
      <c r="M32">
        <f t="shared" si="1"/>
        <v>0</v>
      </c>
    </row>
    <row r="33" spans="2:87" x14ac:dyDescent="0.2">
      <c r="B33" t="s">
        <v>2644</v>
      </c>
      <c r="C33">
        <v>290</v>
      </c>
      <c r="D33" t="s">
        <v>251</v>
      </c>
      <c r="M33">
        <f t="shared" si="1"/>
        <v>0</v>
      </c>
      <c r="P33" t="s">
        <v>2645</v>
      </c>
    </row>
    <row r="34" spans="2:87" x14ac:dyDescent="0.2">
      <c r="B34" t="s">
        <v>2646</v>
      </c>
      <c r="C34">
        <v>300</v>
      </c>
      <c r="D34" t="s">
        <v>251</v>
      </c>
      <c r="M34">
        <f t="shared" si="1"/>
        <v>0</v>
      </c>
      <c r="P34" t="s">
        <v>2647</v>
      </c>
    </row>
    <row r="35" spans="2:87" x14ac:dyDescent="0.2">
      <c r="B35" t="s">
        <v>2648</v>
      </c>
      <c r="C35">
        <v>310</v>
      </c>
      <c r="D35" t="s">
        <v>251</v>
      </c>
      <c r="M35">
        <f t="shared" si="1"/>
        <v>0</v>
      </c>
      <c r="P35" t="s">
        <v>2649</v>
      </c>
    </row>
    <row r="36" spans="2:87" x14ac:dyDescent="0.2">
      <c r="B36" t="s">
        <v>2650</v>
      </c>
      <c r="C36">
        <v>320</v>
      </c>
      <c r="D36" t="s">
        <v>251</v>
      </c>
      <c r="M36">
        <f t="shared" si="1"/>
        <v>0</v>
      </c>
      <c r="P36" t="s">
        <v>2651</v>
      </c>
    </row>
    <row r="37" spans="2:87" x14ac:dyDescent="0.2">
      <c r="B37" t="s">
        <v>2652</v>
      </c>
      <c r="C37">
        <v>330</v>
      </c>
      <c r="D37" t="s">
        <v>251</v>
      </c>
      <c r="M37">
        <f t="shared" si="1"/>
        <v>0</v>
      </c>
      <c r="P37" t="s">
        <v>2653</v>
      </c>
    </row>
    <row r="38" spans="2:87" x14ac:dyDescent="0.2">
      <c r="B38" t="s">
        <v>2654</v>
      </c>
      <c r="C38">
        <v>340</v>
      </c>
      <c r="D38" t="s">
        <v>251</v>
      </c>
      <c r="M38">
        <f t="shared" si="1"/>
        <v>0</v>
      </c>
    </row>
    <row r="39" spans="2:87" x14ac:dyDescent="0.2">
      <c r="B39" t="s">
        <v>2655</v>
      </c>
      <c r="C39">
        <v>350</v>
      </c>
      <c r="D39" t="s">
        <v>248</v>
      </c>
      <c r="M39">
        <f t="shared" si="1"/>
        <v>0</v>
      </c>
      <c r="P39" t="s">
        <v>2656</v>
      </c>
      <c r="CB39">
        <f>IF(OR(K39&lt;0,L39&lt;0),1,0)</f>
        <v>0</v>
      </c>
    </row>
    <row r="40" spans="2:87" x14ac:dyDescent="0.2">
      <c r="B40" t="s">
        <v>2614</v>
      </c>
      <c r="C40">
        <v>360</v>
      </c>
      <c r="D40" t="s">
        <v>251</v>
      </c>
      <c r="M40">
        <f t="shared" si="1"/>
        <v>0</v>
      </c>
    </row>
    <row r="41" spans="2:87" x14ac:dyDescent="0.2">
      <c r="B41" t="s">
        <v>2658</v>
      </c>
      <c r="C41">
        <v>370</v>
      </c>
      <c r="D41" t="s">
        <v>251</v>
      </c>
      <c r="M41">
        <f t="shared" si="1"/>
        <v>0</v>
      </c>
      <c r="P41" t="s">
        <v>2659</v>
      </c>
    </row>
    <row r="42" spans="2:87" x14ac:dyDescent="0.2">
      <c r="B42" t="s">
        <v>352</v>
      </c>
      <c r="C42">
        <v>380</v>
      </c>
      <c r="D42" t="s">
        <v>251</v>
      </c>
      <c r="M42">
        <f t="shared" si="1"/>
        <v>0</v>
      </c>
      <c r="P42" t="s">
        <v>2660</v>
      </c>
      <c r="CG42">
        <f>SUM(M22:M42)</f>
        <v>0</v>
      </c>
      <c r="CH42">
        <f>M42</f>
        <v>0</v>
      </c>
      <c r="CI42">
        <f>IF(CG42&lt;&gt;0,(CH42/CG42)*100,0)</f>
        <v>0</v>
      </c>
    </row>
    <row r="43" spans="2:87" x14ac:dyDescent="0.2">
      <c r="B43" t="s">
        <v>2661</v>
      </c>
      <c r="C43">
        <v>390</v>
      </c>
      <c r="D43" t="s">
        <v>251</v>
      </c>
      <c r="K43">
        <f>SUM(K22:K42)</f>
        <v>0</v>
      </c>
      <c r="L43">
        <f>SUM(L22:L42)</f>
        <v>0</v>
      </c>
      <c r="M43">
        <f>K43+L43</f>
        <v>0</v>
      </c>
    </row>
    <row r="44" spans="2:87" x14ac:dyDescent="0.2">
      <c r="B44" t="s">
        <v>2662</v>
      </c>
      <c r="C44">
        <v>400</v>
      </c>
      <c r="D44" t="s">
        <v>248</v>
      </c>
      <c r="K44">
        <f>K43+K20</f>
        <v>0</v>
      </c>
      <c r="L44">
        <f>L43+L20</f>
        <v>0</v>
      </c>
      <c r="M44">
        <f>K44+L44</f>
        <v>0</v>
      </c>
      <c r="P44" t="s">
        <v>2663</v>
      </c>
    </row>
    <row r="45" spans="2:87" x14ac:dyDescent="0.2">
      <c r="E45" t="s">
        <v>2664</v>
      </c>
      <c r="F45" t="s">
        <v>2665</v>
      </c>
      <c r="G45" t="s">
        <v>2666</v>
      </c>
      <c r="H45" t="s">
        <v>2667</v>
      </c>
      <c r="I45" t="s">
        <v>2668</v>
      </c>
      <c r="J45" t="s">
        <v>2669</v>
      </c>
      <c r="K45" t="s">
        <v>2670</v>
      </c>
      <c r="L45" t="s">
        <v>2671</v>
      </c>
      <c r="M45" t="s">
        <v>340</v>
      </c>
    </row>
    <row r="46" spans="2:87" x14ac:dyDescent="0.2">
      <c r="B46" t="s">
        <v>2672</v>
      </c>
      <c r="C46">
        <v>410</v>
      </c>
      <c r="D46" t="s">
        <v>248</v>
      </c>
      <c r="G46">
        <f>SUM(E46:F46)</f>
        <v>0</v>
      </c>
      <c r="J46">
        <f>SUM(H46:I46)</f>
        <v>0</v>
      </c>
      <c r="K46">
        <f>E46+H46</f>
        <v>0</v>
      </c>
      <c r="L46">
        <f>F46+I46</f>
        <v>0</v>
      </c>
      <c r="M46">
        <f>SUM(K46:L46)</f>
        <v>0</v>
      </c>
      <c r="P46" t="s">
        <v>2673</v>
      </c>
      <c r="CB46">
        <f>IF(OR(M46&lt;0),1,0)</f>
        <v>0</v>
      </c>
    </row>
    <row r="47" spans="2:87" x14ac:dyDescent="0.2">
      <c r="B47" t="s">
        <v>2674</v>
      </c>
    </row>
    <row r="48" spans="2:87" x14ac:dyDescent="0.2">
      <c r="B48" t="s">
        <v>2675</v>
      </c>
      <c r="C48">
        <v>420</v>
      </c>
      <c r="D48" t="s">
        <v>245</v>
      </c>
      <c r="G48">
        <f t="shared" ref="G48:G53" si="2">SUM(E48:F48)</f>
        <v>0</v>
      </c>
      <c r="J48">
        <f t="shared" ref="J48:J53" si="3">SUM(H48:I48)</f>
        <v>0</v>
      </c>
      <c r="K48">
        <f t="shared" ref="K48:L53" si="4">E48+H48</f>
        <v>0</v>
      </c>
      <c r="L48">
        <f t="shared" si="4"/>
        <v>0</v>
      </c>
      <c r="M48">
        <f t="shared" ref="M48:M53" si="5">SUM(K48:L48)</f>
        <v>0</v>
      </c>
      <c r="P48" t="s">
        <v>2676</v>
      </c>
      <c r="CA48">
        <f>IF(OR(E48&gt;0,F48&gt;0,H48&gt;0,I48&gt;0),1,0)</f>
        <v>0</v>
      </c>
    </row>
    <row r="49" spans="2:87" x14ac:dyDescent="0.2">
      <c r="B49" t="s">
        <v>2677</v>
      </c>
      <c r="C49">
        <v>430</v>
      </c>
      <c r="D49" t="s">
        <v>248</v>
      </c>
      <c r="G49">
        <f t="shared" si="2"/>
        <v>0</v>
      </c>
      <c r="J49">
        <f t="shared" si="3"/>
        <v>0</v>
      </c>
      <c r="K49">
        <f t="shared" si="4"/>
        <v>0</v>
      </c>
      <c r="L49">
        <f t="shared" si="4"/>
        <v>0</v>
      </c>
      <c r="M49">
        <f t="shared" si="5"/>
        <v>0</v>
      </c>
      <c r="P49" t="s">
        <v>2678</v>
      </c>
      <c r="CB49">
        <f>IF(OR(E49&lt;0,F49&lt;0,H49&lt;0,I49&lt;0),1,0)</f>
        <v>0</v>
      </c>
    </row>
    <row r="50" spans="2:87" x14ac:dyDescent="0.2">
      <c r="B50" t="s">
        <v>2616</v>
      </c>
      <c r="C50">
        <v>440</v>
      </c>
      <c r="D50" t="s">
        <v>251</v>
      </c>
      <c r="G50">
        <f t="shared" si="2"/>
        <v>0</v>
      </c>
      <c r="J50">
        <f t="shared" si="3"/>
        <v>0</v>
      </c>
      <c r="K50">
        <f t="shared" si="4"/>
        <v>0</v>
      </c>
      <c r="L50">
        <f t="shared" si="4"/>
        <v>0</v>
      </c>
      <c r="M50">
        <f t="shared" si="5"/>
        <v>0</v>
      </c>
      <c r="P50" t="s">
        <v>2679</v>
      </c>
    </row>
    <row r="51" spans="2:87" x14ac:dyDescent="0.2">
      <c r="B51" t="s">
        <v>2618</v>
      </c>
      <c r="C51">
        <v>450</v>
      </c>
      <c r="D51" t="s">
        <v>251</v>
      </c>
      <c r="G51">
        <f t="shared" si="2"/>
        <v>0</v>
      </c>
      <c r="J51">
        <f t="shared" si="3"/>
        <v>0</v>
      </c>
      <c r="K51">
        <f t="shared" si="4"/>
        <v>0</v>
      </c>
      <c r="L51">
        <f t="shared" si="4"/>
        <v>0</v>
      </c>
      <c r="M51">
        <f t="shared" si="5"/>
        <v>0</v>
      </c>
      <c r="P51" t="s">
        <v>2680</v>
      </c>
    </row>
    <row r="52" spans="2:87" x14ac:dyDescent="0.2">
      <c r="B52" t="s">
        <v>2681</v>
      </c>
      <c r="C52">
        <v>460</v>
      </c>
      <c r="D52" t="s">
        <v>245</v>
      </c>
      <c r="G52">
        <f t="shared" si="2"/>
        <v>0</v>
      </c>
      <c r="J52">
        <f t="shared" si="3"/>
        <v>0</v>
      </c>
      <c r="K52">
        <f t="shared" si="4"/>
        <v>0</v>
      </c>
      <c r="L52">
        <f t="shared" si="4"/>
        <v>0</v>
      </c>
      <c r="M52">
        <f t="shared" si="5"/>
        <v>0</v>
      </c>
      <c r="P52" t="s">
        <v>2682</v>
      </c>
      <c r="CA52">
        <f>IF(OR(E52&gt;0,F52&gt;0,H52&gt;0,I52&gt;0),1,0)</f>
        <v>0</v>
      </c>
    </row>
    <row r="53" spans="2:87" x14ac:dyDescent="0.2">
      <c r="B53" t="s">
        <v>352</v>
      </c>
      <c r="C53">
        <v>470</v>
      </c>
      <c r="D53" t="s">
        <v>251</v>
      </c>
      <c r="G53">
        <f t="shared" si="2"/>
        <v>0</v>
      </c>
      <c r="J53">
        <f t="shared" si="3"/>
        <v>0</v>
      </c>
      <c r="K53">
        <f t="shared" si="4"/>
        <v>0</v>
      </c>
      <c r="L53">
        <f t="shared" si="4"/>
        <v>0</v>
      </c>
      <c r="M53">
        <f t="shared" si="5"/>
        <v>0</v>
      </c>
      <c r="P53" t="s">
        <v>2683</v>
      </c>
      <c r="CG53">
        <f>SUM(M48:M53)</f>
        <v>0</v>
      </c>
      <c r="CH53">
        <f>M53</f>
        <v>0</v>
      </c>
      <c r="CI53">
        <f>IF(CG53&lt;&gt;0,(CH53/CG53)*100,0)</f>
        <v>0</v>
      </c>
    </row>
    <row r="54" spans="2:87" x14ac:dyDescent="0.2">
      <c r="B54" t="s">
        <v>2684</v>
      </c>
      <c r="C54">
        <v>480</v>
      </c>
      <c r="D54" t="s">
        <v>248</v>
      </c>
      <c r="E54">
        <f t="shared" ref="E54:M54" si="6">SUM(E46:E53)</f>
        <v>0</v>
      </c>
      <c r="F54">
        <f t="shared" si="6"/>
        <v>0</v>
      </c>
      <c r="G54">
        <f t="shared" si="6"/>
        <v>0</v>
      </c>
      <c r="H54">
        <f t="shared" si="6"/>
        <v>0</v>
      </c>
      <c r="I54">
        <f t="shared" si="6"/>
        <v>0</v>
      </c>
      <c r="J54">
        <f t="shared" si="6"/>
        <v>0</v>
      </c>
      <c r="K54">
        <f t="shared" si="6"/>
        <v>0</v>
      </c>
      <c r="L54">
        <f t="shared" si="6"/>
        <v>0</v>
      </c>
      <c r="M54">
        <f t="shared" si="6"/>
        <v>0</v>
      </c>
      <c r="CF54">
        <f>IF(OR(F54&lt;&gt;0,I54&lt;&gt;0),1,0)</f>
        <v>0</v>
      </c>
    </row>
    <row r="55" spans="2:87" x14ac:dyDescent="0.2">
      <c r="B55" t="s">
        <v>2685</v>
      </c>
    </row>
    <row r="56" spans="2:87" x14ac:dyDescent="0.2">
      <c r="B56" t="s">
        <v>2686</v>
      </c>
      <c r="C56">
        <v>490</v>
      </c>
      <c r="D56" t="s">
        <v>248</v>
      </c>
      <c r="G56">
        <f t="shared" ref="G56:G68" si="7">SUM(E56:F56)</f>
        <v>0</v>
      </c>
      <c r="J56">
        <f t="shared" ref="J56:J67" si="8">SUM(H56:I56)</f>
        <v>0</v>
      </c>
      <c r="K56">
        <f t="shared" ref="K56:K67" si="9">E56+H56</f>
        <v>0</v>
      </c>
      <c r="L56">
        <f t="shared" ref="L56:L67" si="10">F56+I56</f>
        <v>0</v>
      </c>
      <c r="M56">
        <f t="shared" ref="M56:M73" si="11">SUM(K56:L56)</f>
        <v>0</v>
      </c>
      <c r="P56" t="s">
        <v>2687</v>
      </c>
      <c r="CB56">
        <f>IF(OR(E56&lt;0,F56&lt;0,H56&lt;0,I56&lt;0),1,0)</f>
        <v>0</v>
      </c>
    </row>
    <row r="57" spans="2:87" x14ac:dyDescent="0.2">
      <c r="B57" t="s">
        <v>2688</v>
      </c>
      <c r="C57">
        <v>500</v>
      </c>
      <c r="D57" t="s">
        <v>248</v>
      </c>
      <c r="G57">
        <f t="shared" si="7"/>
        <v>0</v>
      </c>
      <c r="J57">
        <f t="shared" si="8"/>
        <v>0</v>
      </c>
      <c r="K57">
        <f t="shared" si="9"/>
        <v>0</v>
      </c>
      <c r="L57">
        <f t="shared" si="10"/>
        <v>0</v>
      </c>
      <c r="M57">
        <f t="shared" si="11"/>
        <v>0</v>
      </c>
      <c r="P57" t="s">
        <v>2689</v>
      </c>
      <c r="CB57">
        <f>IF(OR(E57&lt;0,F57&lt;0,H57&lt;0,I57&lt;0),1,0)</f>
        <v>0</v>
      </c>
    </row>
    <row r="58" spans="2:87" x14ac:dyDescent="0.2">
      <c r="B58" t="s">
        <v>2690</v>
      </c>
      <c r="C58">
        <v>510</v>
      </c>
      <c r="D58" t="s">
        <v>248</v>
      </c>
      <c r="G58">
        <f t="shared" si="7"/>
        <v>0</v>
      </c>
      <c r="J58">
        <f t="shared" si="8"/>
        <v>0</v>
      </c>
      <c r="K58">
        <f t="shared" si="9"/>
        <v>0</v>
      </c>
      <c r="L58">
        <f t="shared" si="10"/>
        <v>0</v>
      </c>
      <c r="M58">
        <f t="shared" si="11"/>
        <v>0</v>
      </c>
      <c r="P58" t="s">
        <v>2691</v>
      </c>
      <c r="CB58">
        <f>IF(OR(E58&lt;0,F58&lt;0,H58&lt;0,I58&lt;0),1,0)</f>
        <v>0</v>
      </c>
    </row>
    <row r="59" spans="2:87" x14ac:dyDescent="0.2">
      <c r="B59" t="s">
        <v>2692</v>
      </c>
      <c r="C59">
        <v>520</v>
      </c>
      <c r="D59" t="s">
        <v>251</v>
      </c>
      <c r="G59">
        <f t="shared" si="7"/>
        <v>0</v>
      </c>
      <c r="J59">
        <f t="shared" si="8"/>
        <v>0</v>
      </c>
      <c r="K59">
        <f t="shared" si="9"/>
        <v>0</v>
      </c>
      <c r="L59">
        <f t="shared" si="10"/>
        <v>0</v>
      </c>
      <c r="M59">
        <f t="shared" si="11"/>
        <v>0</v>
      </c>
      <c r="P59" t="s">
        <v>2693</v>
      </c>
    </row>
    <row r="60" spans="2:87" x14ac:dyDescent="0.2">
      <c r="B60" t="s">
        <v>2636</v>
      </c>
      <c r="C60">
        <v>530</v>
      </c>
      <c r="D60" t="s">
        <v>251</v>
      </c>
      <c r="G60">
        <f t="shared" si="7"/>
        <v>0</v>
      </c>
      <c r="J60">
        <f t="shared" si="8"/>
        <v>0</v>
      </c>
      <c r="K60">
        <f t="shared" si="9"/>
        <v>0</v>
      </c>
      <c r="L60">
        <f t="shared" si="10"/>
        <v>0</v>
      </c>
      <c r="M60">
        <f t="shared" si="11"/>
        <v>0</v>
      </c>
      <c r="P60" t="s">
        <v>2694</v>
      </c>
    </row>
    <row r="61" spans="2:87" x14ac:dyDescent="0.2">
      <c r="B61" t="s">
        <v>2638</v>
      </c>
      <c r="C61">
        <v>540</v>
      </c>
      <c r="D61" t="s">
        <v>251</v>
      </c>
      <c r="G61">
        <f t="shared" si="7"/>
        <v>0</v>
      </c>
      <c r="J61">
        <f t="shared" si="8"/>
        <v>0</v>
      </c>
      <c r="K61">
        <f t="shared" si="9"/>
        <v>0</v>
      </c>
      <c r="L61">
        <f t="shared" si="10"/>
        <v>0</v>
      </c>
      <c r="M61">
        <f t="shared" si="11"/>
        <v>0</v>
      </c>
      <c r="P61" t="s">
        <v>2695</v>
      </c>
    </row>
    <row r="62" spans="2:87" x14ac:dyDescent="0.2">
      <c r="B62" t="s">
        <v>2648</v>
      </c>
      <c r="C62">
        <v>550</v>
      </c>
      <c r="D62" t="s">
        <v>251</v>
      </c>
      <c r="G62">
        <f t="shared" si="7"/>
        <v>0</v>
      </c>
      <c r="J62">
        <f t="shared" si="8"/>
        <v>0</v>
      </c>
      <c r="K62">
        <f t="shared" si="9"/>
        <v>0</v>
      </c>
      <c r="L62">
        <f t="shared" si="10"/>
        <v>0</v>
      </c>
      <c r="M62">
        <f t="shared" si="11"/>
        <v>0</v>
      </c>
      <c r="P62" t="s">
        <v>2696</v>
      </c>
    </row>
    <row r="63" spans="2:87" x14ac:dyDescent="0.2">
      <c r="B63" t="s">
        <v>2650</v>
      </c>
      <c r="C63">
        <v>560</v>
      </c>
      <c r="D63" t="s">
        <v>251</v>
      </c>
      <c r="G63">
        <f t="shared" si="7"/>
        <v>0</v>
      </c>
      <c r="J63">
        <f t="shared" si="8"/>
        <v>0</v>
      </c>
      <c r="K63">
        <f t="shared" si="9"/>
        <v>0</v>
      </c>
      <c r="L63">
        <f t="shared" si="10"/>
        <v>0</v>
      </c>
      <c r="M63">
        <f t="shared" si="11"/>
        <v>0</v>
      </c>
      <c r="P63" t="s">
        <v>2697</v>
      </c>
    </row>
    <row r="64" spans="2:87" x14ac:dyDescent="0.2">
      <c r="B64" t="s">
        <v>2652</v>
      </c>
      <c r="C64">
        <v>570</v>
      </c>
      <c r="D64" t="s">
        <v>251</v>
      </c>
      <c r="G64">
        <f t="shared" si="7"/>
        <v>0</v>
      </c>
      <c r="J64">
        <f t="shared" si="8"/>
        <v>0</v>
      </c>
      <c r="K64">
        <f t="shared" si="9"/>
        <v>0</v>
      </c>
      <c r="L64">
        <f t="shared" si="10"/>
        <v>0</v>
      </c>
      <c r="M64">
        <f t="shared" si="11"/>
        <v>0</v>
      </c>
      <c r="P64" t="s">
        <v>2698</v>
      </c>
    </row>
    <row r="65" spans="2:87" x14ac:dyDescent="0.2">
      <c r="B65" t="s">
        <v>2699</v>
      </c>
      <c r="C65">
        <v>580</v>
      </c>
      <c r="D65" t="s">
        <v>248</v>
      </c>
      <c r="G65">
        <f t="shared" si="7"/>
        <v>0</v>
      </c>
      <c r="J65">
        <f t="shared" si="8"/>
        <v>0</v>
      </c>
      <c r="K65">
        <f t="shared" si="9"/>
        <v>0</v>
      </c>
      <c r="L65">
        <f t="shared" si="10"/>
        <v>0</v>
      </c>
      <c r="M65">
        <f t="shared" si="11"/>
        <v>0</v>
      </c>
      <c r="P65" t="s">
        <v>2700</v>
      </c>
      <c r="CB65">
        <f>IF(OR(E65&lt;0,F65&lt;0,H65&lt;0,I65&lt;0),1,0)</f>
        <v>0</v>
      </c>
    </row>
    <row r="66" spans="2:87" x14ac:dyDescent="0.2">
      <c r="B66" t="s">
        <v>2701</v>
      </c>
      <c r="C66">
        <v>590</v>
      </c>
      <c r="D66" t="s">
        <v>248</v>
      </c>
      <c r="G66">
        <f t="shared" si="7"/>
        <v>0</v>
      </c>
      <c r="J66">
        <f t="shared" si="8"/>
        <v>0</v>
      </c>
      <c r="K66">
        <f t="shared" si="9"/>
        <v>0</v>
      </c>
      <c r="L66">
        <f t="shared" si="10"/>
        <v>0</v>
      </c>
      <c r="M66">
        <f t="shared" si="11"/>
        <v>0</v>
      </c>
      <c r="P66" t="s">
        <v>2702</v>
      </c>
      <c r="CB66">
        <f>IF(OR(E66&lt;0,F66&lt;0,H66&lt;0,I66&lt;0),1,0)</f>
        <v>0</v>
      </c>
    </row>
    <row r="67" spans="2:87" x14ac:dyDescent="0.2">
      <c r="B67" t="s">
        <v>2703</v>
      </c>
      <c r="C67">
        <v>600</v>
      </c>
      <c r="D67" t="s">
        <v>248</v>
      </c>
      <c r="G67">
        <f t="shared" si="7"/>
        <v>0</v>
      </c>
      <c r="J67">
        <f t="shared" si="8"/>
        <v>0</v>
      </c>
      <c r="K67">
        <f t="shared" si="9"/>
        <v>0</v>
      </c>
      <c r="L67">
        <f t="shared" si="10"/>
        <v>0</v>
      </c>
      <c r="M67">
        <f t="shared" si="11"/>
        <v>0</v>
      </c>
      <c r="CB67">
        <f>IF(OR(E67&lt;0,F67&lt;0,H67&lt;0,I67&lt;0),1,0)</f>
        <v>0</v>
      </c>
    </row>
    <row r="68" spans="2:87" x14ac:dyDescent="0.2">
      <c r="B68" t="s">
        <v>2704</v>
      </c>
      <c r="C68">
        <v>610</v>
      </c>
      <c r="D68" t="s">
        <v>245</v>
      </c>
      <c r="G68">
        <f t="shared" si="7"/>
        <v>0</v>
      </c>
      <c r="K68">
        <f>E68</f>
        <v>0</v>
      </c>
      <c r="L68">
        <f>F68</f>
        <v>0</v>
      </c>
      <c r="M68">
        <f t="shared" si="11"/>
        <v>0</v>
      </c>
      <c r="P68" t="s">
        <v>2705</v>
      </c>
      <c r="CC68">
        <f>M68*-1</f>
        <v>0</v>
      </c>
      <c r="CD68">
        <f t="shared" ref="CD68:CE70" si="12">K68*-1</f>
        <v>0</v>
      </c>
      <c r="CE68">
        <f t="shared" si="12"/>
        <v>0</v>
      </c>
    </row>
    <row r="69" spans="2:87" x14ac:dyDescent="0.2">
      <c r="B69" t="s">
        <v>2706</v>
      </c>
      <c r="C69">
        <v>620</v>
      </c>
      <c r="D69" t="s">
        <v>245</v>
      </c>
      <c r="J69">
        <f>SUM(H69:I69)</f>
        <v>0</v>
      </c>
      <c r="K69">
        <f>H69</f>
        <v>0</v>
      </c>
      <c r="L69">
        <f>I69</f>
        <v>0</v>
      </c>
      <c r="M69">
        <f t="shared" si="11"/>
        <v>0</v>
      </c>
      <c r="P69" t="s">
        <v>2707</v>
      </c>
      <c r="CC69">
        <f>M69*-1</f>
        <v>0</v>
      </c>
      <c r="CD69">
        <f t="shared" si="12"/>
        <v>0</v>
      </c>
      <c r="CE69">
        <f t="shared" si="12"/>
        <v>0</v>
      </c>
    </row>
    <row r="70" spans="2:87" x14ac:dyDescent="0.2">
      <c r="B70" t="s">
        <v>2708</v>
      </c>
      <c r="C70">
        <v>630</v>
      </c>
      <c r="D70" t="s">
        <v>248</v>
      </c>
      <c r="G70">
        <f>SUM(E70:F70)</f>
        <v>0</v>
      </c>
      <c r="J70">
        <f>SUM(H70:I70)</f>
        <v>0</v>
      </c>
      <c r="K70">
        <f t="shared" ref="K70:L73" si="13">E70+H70</f>
        <v>0</v>
      </c>
      <c r="L70">
        <f t="shared" si="13"/>
        <v>0</v>
      </c>
      <c r="M70">
        <f t="shared" si="11"/>
        <v>0</v>
      </c>
      <c r="CB70">
        <f>IF(OR(E70&lt;0,F70&lt;0,H70&lt;0,I70&lt;0),1,0)</f>
        <v>0</v>
      </c>
      <c r="CC70">
        <f>M70*-1</f>
        <v>0</v>
      </c>
      <c r="CD70">
        <f t="shared" si="12"/>
        <v>0</v>
      </c>
      <c r="CE70">
        <f t="shared" si="12"/>
        <v>0</v>
      </c>
    </row>
    <row r="71" spans="2:87" x14ac:dyDescent="0.2">
      <c r="B71" t="s">
        <v>2675</v>
      </c>
      <c r="C71">
        <v>640</v>
      </c>
      <c r="D71" t="s">
        <v>248</v>
      </c>
      <c r="G71">
        <f>SUM(E71:F71)</f>
        <v>0</v>
      </c>
      <c r="J71">
        <f>SUM(H71:I71)</f>
        <v>0</v>
      </c>
      <c r="K71">
        <f t="shared" si="13"/>
        <v>0</v>
      </c>
      <c r="L71">
        <f t="shared" si="13"/>
        <v>0</v>
      </c>
      <c r="M71">
        <f t="shared" si="11"/>
        <v>0</v>
      </c>
      <c r="P71" t="s">
        <v>2709</v>
      </c>
      <c r="CB71">
        <f>IF(OR(E71&lt;0,F71&lt;0,H71&lt;0,I71&lt;0),1,0)</f>
        <v>0</v>
      </c>
    </row>
    <row r="72" spans="2:87" x14ac:dyDescent="0.2">
      <c r="B72" t="s">
        <v>2658</v>
      </c>
      <c r="C72">
        <v>650</v>
      </c>
      <c r="D72" t="s">
        <v>251</v>
      </c>
      <c r="G72">
        <f>SUM(E72:F72)</f>
        <v>0</v>
      </c>
      <c r="J72">
        <f>SUM(H72:I72)</f>
        <v>0</v>
      </c>
      <c r="K72">
        <f t="shared" si="13"/>
        <v>0</v>
      </c>
      <c r="L72">
        <f t="shared" si="13"/>
        <v>0</v>
      </c>
      <c r="M72">
        <f t="shared" si="11"/>
        <v>0</v>
      </c>
      <c r="P72" t="s">
        <v>2710</v>
      </c>
    </row>
    <row r="73" spans="2:87" x14ac:dyDescent="0.2">
      <c r="B73" t="s">
        <v>352</v>
      </c>
      <c r="C73">
        <v>660</v>
      </c>
      <c r="D73" t="s">
        <v>251</v>
      </c>
      <c r="G73">
        <f>SUM(E73:F73)</f>
        <v>0</v>
      </c>
      <c r="J73">
        <f>SUM(H73:I73)</f>
        <v>0</v>
      </c>
      <c r="K73">
        <f t="shared" si="13"/>
        <v>0</v>
      </c>
      <c r="L73">
        <f t="shared" si="13"/>
        <v>0</v>
      </c>
      <c r="M73">
        <f t="shared" si="11"/>
        <v>0</v>
      </c>
      <c r="P73" t="s">
        <v>2711</v>
      </c>
      <c r="CG73">
        <f>SUM(M56:M73)</f>
        <v>0</v>
      </c>
      <c r="CH73">
        <f>M73</f>
        <v>0</v>
      </c>
      <c r="CI73">
        <f>IF(CG73&lt;&gt;0,(CH73/CG73)*100,0)</f>
        <v>0</v>
      </c>
    </row>
    <row r="74" spans="2:87" x14ac:dyDescent="0.2">
      <c r="B74" t="s">
        <v>2712</v>
      </c>
      <c r="C74">
        <v>670</v>
      </c>
      <c r="D74" t="s">
        <v>248</v>
      </c>
      <c r="E74">
        <f t="shared" ref="E74:M74" si="14">SUM(E56:E73)</f>
        <v>0</v>
      </c>
      <c r="F74">
        <f t="shared" si="14"/>
        <v>0</v>
      </c>
      <c r="G74">
        <f t="shared" si="14"/>
        <v>0</v>
      </c>
      <c r="H74">
        <f t="shared" si="14"/>
        <v>0</v>
      </c>
      <c r="I74">
        <f t="shared" si="14"/>
        <v>0</v>
      </c>
      <c r="J74">
        <f t="shared" si="14"/>
        <v>0</v>
      </c>
      <c r="K74">
        <f t="shared" si="14"/>
        <v>0</v>
      </c>
      <c r="L74">
        <f t="shared" si="14"/>
        <v>0</v>
      </c>
      <c r="M74">
        <f t="shared" si="14"/>
        <v>0</v>
      </c>
    </row>
    <row r="75" spans="2:87" x14ac:dyDescent="0.2">
      <c r="B75" t="s">
        <v>2713</v>
      </c>
      <c r="C75">
        <v>680</v>
      </c>
      <c r="D75" t="s">
        <v>248</v>
      </c>
      <c r="E75">
        <f t="shared" ref="E75:M75" si="15">E74+E54</f>
        <v>0</v>
      </c>
      <c r="F75">
        <f t="shared" si="15"/>
        <v>0</v>
      </c>
      <c r="G75">
        <f t="shared" si="15"/>
        <v>0</v>
      </c>
      <c r="H75">
        <f t="shared" si="15"/>
        <v>0</v>
      </c>
      <c r="I75">
        <f t="shared" si="15"/>
        <v>0</v>
      </c>
      <c r="J75">
        <f t="shared" si="15"/>
        <v>0</v>
      </c>
      <c r="K75">
        <f t="shared" si="15"/>
        <v>0</v>
      </c>
      <c r="L75">
        <f t="shared" si="15"/>
        <v>0</v>
      </c>
      <c r="M75">
        <f t="shared" si="15"/>
        <v>0</v>
      </c>
      <c r="P75" t="s">
        <v>2714</v>
      </c>
    </row>
    <row r="78" spans="2:87" x14ac:dyDescent="0.2">
      <c r="B78" t="s">
        <v>3574</v>
      </c>
      <c r="C78" t="s">
        <v>238</v>
      </c>
      <c r="D78" t="s">
        <v>25</v>
      </c>
      <c r="F78" t="s">
        <v>1250</v>
      </c>
      <c r="I78" t="s">
        <v>2605</v>
      </c>
      <c r="L78" t="s">
        <v>340</v>
      </c>
      <c r="P78" t="s">
        <v>937</v>
      </c>
    </row>
    <row r="79" spans="2:87" x14ac:dyDescent="0.2">
      <c r="C79" t="s">
        <v>242</v>
      </c>
      <c r="E79" t="s">
        <v>2606</v>
      </c>
      <c r="F79" t="s">
        <v>2607</v>
      </c>
      <c r="G79" t="s">
        <v>340</v>
      </c>
      <c r="H79" t="s">
        <v>2606</v>
      </c>
      <c r="I79" t="s">
        <v>2607</v>
      </c>
      <c r="J79" t="s">
        <v>340</v>
      </c>
      <c r="K79" t="s">
        <v>2606</v>
      </c>
      <c r="L79" t="s">
        <v>2607</v>
      </c>
      <c r="M79" t="s">
        <v>340</v>
      </c>
      <c r="P79" t="s">
        <v>2608</v>
      </c>
    </row>
    <row r="80" spans="2:87" x14ac:dyDescent="0.2">
      <c r="E80" t="s">
        <v>2036</v>
      </c>
      <c r="F80" t="s">
        <v>2037</v>
      </c>
      <c r="G80" t="s">
        <v>2038</v>
      </c>
      <c r="H80" t="s">
        <v>2039</v>
      </c>
      <c r="I80" t="s">
        <v>2040</v>
      </c>
      <c r="J80" t="s">
        <v>2041</v>
      </c>
      <c r="K80" t="s">
        <v>2042</v>
      </c>
      <c r="L80" t="s">
        <v>2043</v>
      </c>
      <c r="M80" t="s">
        <v>2044</v>
      </c>
    </row>
    <row r="81" spans="2:87" x14ac:dyDescent="0.2">
      <c r="E81" t="s">
        <v>243</v>
      </c>
      <c r="F81" t="s">
        <v>243</v>
      </c>
      <c r="G81" t="s">
        <v>243</v>
      </c>
      <c r="H81" t="s">
        <v>243</v>
      </c>
      <c r="I81" t="s">
        <v>243</v>
      </c>
      <c r="J81" t="s">
        <v>243</v>
      </c>
      <c r="K81" t="s">
        <v>243</v>
      </c>
      <c r="L81" t="s">
        <v>243</v>
      </c>
      <c r="M81" t="s">
        <v>243</v>
      </c>
    </row>
    <row r="82" spans="2:87" x14ac:dyDescent="0.2">
      <c r="B82" t="s">
        <v>3575</v>
      </c>
      <c r="C82">
        <v>700</v>
      </c>
      <c r="D82" t="s">
        <v>248</v>
      </c>
      <c r="K82">
        <f>K44</f>
        <v>0</v>
      </c>
      <c r="L82">
        <f>L44</f>
        <v>0</v>
      </c>
      <c r="M82">
        <f>SUM(K82:L82)</f>
        <v>0</v>
      </c>
      <c r="P82" t="s">
        <v>2663</v>
      </c>
    </row>
    <row r="83" spans="2:87" x14ac:dyDescent="0.2">
      <c r="B83" t="s">
        <v>3576</v>
      </c>
    </row>
    <row r="84" spans="2:87" x14ac:dyDescent="0.2">
      <c r="B84" t="s">
        <v>2612</v>
      </c>
      <c r="C84">
        <v>710</v>
      </c>
      <c r="D84" t="s">
        <v>245</v>
      </c>
      <c r="M84">
        <f t="shared" ref="M84:M90" si="16">SUM(K84:L84)</f>
        <v>0</v>
      </c>
      <c r="P84" t="s">
        <v>3577</v>
      </c>
      <c r="CA84">
        <f>IF(OR(K84&gt;0,L84&gt;0),1,0)</f>
        <v>0</v>
      </c>
    </row>
    <row r="85" spans="2:87" x14ac:dyDescent="0.2">
      <c r="B85" t="s">
        <v>2614</v>
      </c>
      <c r="C85">
        <v>720</v>
      </c>
      <c r="D85" t="s">
        <v>251</v>
      </c>
      <c r="M85">
        <f t="shared" si="16"/>
        <v>0</v>
      </c>
    </row>
    <row r="86" spans="2:87" x14ac:dyDescent="0.2">
      <c r="B86" t="s">
        <v>3578</v>
      </c>
      <c r="C86">
        <v>730</v>
      </c>
      <c r="D86" t="s">
        <v>248</v>
      </c>
      <c r="M86">
        <f t="shared" si="16"/>
        <v>0</v>
      </c>
      <c r="CB86">
        <f>IF(OR(K86&lt;0,L86&lt;0),1,0)</f>
        <v>0</v>
      </c>
    </row>
    <row r="87" spans="2:87" x14ac:dyDescent="0.2">
      <c r="B87" t="s">
        <v>3579</v>
      </c>
      <c r="C87">
        <v>740</v>
      </c>
      <c r="D87" t="s">
        <v>251</v>
      </c>
      <c r="M87">
        <f t="shared" si="16"/>
        <v>0</v>
      </c>
      <c r="P87" t="s">
        <v>3580</v>
      </c>
    </row>
    <row r="88" spans="2:87" x14ac:dyDescent="0.2">
      <c r="B88" t="s">
        <v>3581</v>
      </c>
      <c r="C88">
        <v>750</v>
      </c>
      <c r="D88" t="s">
        <v>251</v>
      </c>
      <c r="M88">
        <f t="shared" si="16"/>
        <v>0</v>
      </c>
      <c r="P88" t="s">
        <v>3582</v>
      </c>
    </row>
    <row r="89" spans="2:87" x14ac:dyDescent="0.2">
      <c r="B89" t="s">
        <v>3583</v>
      </c>
      <c r="C89">
        <v>760</v>
      </c>
      <c r="D89" t="s">
        <v>248</v>
      </c>
      <c r="M89">
        <f t="shared" si="16"/>
        <v>0</v>
      </c>
    </row>
    <row r="90" spans="2:87" x14ac:dyDescent="0.2">
      <c r="B90" t="s">
        <v>352</v>
      </c>
      <c r="C90">
        <v>770</v>
      </c>
      <c r="D90" t="s">
        <v>251</v>
      </c>
      <c r="M90">
        <f t="shared" si="16"/>
        <v>0</v>
      </c>
      <c r="P90" t="s">
        <v>3584</v>
      </c>
      <c r="CG90">
        <f>SUM(M84:M90)</f>
        <v>0</v>
      </c>
      <c r="CH90">
        <f>M90</f>
        <v>0</v>
      </c>
      <c r="CI90">
        <f>IF(CG90&lt;&gt;0,(CH90/CG90)*100,0)</f>
        <v>0</v>
      </c>
    </row>
    <row r="91" spans="2:87" x14ac:dyDescent="0.2">
      <c r="B91" t="s">
        <v>3585</v>
      </c>
      <c r="C91">
        <v>780</v>
      </c>
      <c r="D91" t="s">
        <v>248</v>
      </c>
      <c r="K91">
        <f>SUM(K82:K90)</f>
        <v>0</v>
      </c>
      <c r="L91">
        <f>SUM(L82:L90)</f>
        <v>0</v>
      </c>
      <c r="M91">
        <f>SUM(M82:M90)</f>
        <v>0</v>
      </c>
      <c r="CF91">
        <f>IF(L91&lt;&gt;0,1,0)</f>
        <v>0</v>
      </c>
    </row>
    <row r="92" spans="2:87" x14ac:dyDescent="0.2">
      <c r="B92" t="s">
        <v>3586</v>
      </c>
    </row>
    <row r="93" spans="2:87" x14ac:dyDescent="0.2">
      <c r="B93" t="s">
        <v>3587</v>
      </c>
      <c r="C93">
        <v>790</v>
      </c>
      <c r="D93" t="s">
        <v>248</v>
      </c>
      <c r="M93">
        <f t="shared" ref="M93:M113" si="17">SUM(K93:L93)</f>
        <v>0</v>
      </c>
      <c r="P93" t="s">
        <v>3588</v>
      </c>
      <c r="CB93">
        <f>IF(OR(K93&lt;0,L93&lt;0),1,0)</f>
        <v>0</v>
      </c>
    </row>
    <row r="94" spans="2:87" x14ac:dyDescent="0.2">
      <c r="B94" t="s">
        <v>3589</v>
      </c>
      <c r="C94">
        <v>800</v>
      </c>
      <c r="D94" t="s">
        <v>245</v>
      </c>
      <c r="M94">
        <f t="shared" si="17"/>
        <v>0</v>
      </c>
      <c r="CA94">
        <f>IF(OR(K94&gt;0,L94&gt;0),1,0)</f>
        <v>0</v>
      </c>
    </row>
    <row r="95" spans="2:87" x14ac:dyDescent="0.2">
      <c r="B95" t="s">
        <v>2627</v>
      </c>
      <c r="C95">
        <v>810</v>
      </c>
      <c r="D95" t="s">
        <v>245</v>
      </c>
      <c r="M95">
        <f t="shared" si="17"/>
        <v>0</v>
      </c>
      <c r="P95" t="s">
        <v>3590</v>
      </c>
      <c r="CA95">
        <f>IF(OR(K95&gt;0,L95&gt;0),1,0)</f>
        <v>0</v>
      </c>
    </row>
    <row r="96" spans="2:87" x14ac:dyDescent="0.2">
      <c r="B96" t="s">
        <v>2630</v>
      </c>
      <c r="C96">
        <v>820</v>
      </c>
      <c r="D96" t="s">
        <v>248</v>
      </c>
      <c r="M96">
        <f t="shared" si="17"/>
        <v>0</v>
      </c>
      <c r="P96" t="s">
        <v>3591</v>
      </c>
      <c r="CB96">
        <f>IF(OR(K96&lt;0,L96&lt;0),1,0)</f>
        <v>0</v>
      </c>
    </row>
    <row r="97" spans="2:80" x14ac:dyDescent="0.2">
      <c r="B97" t="s">
        <v>2633</v>
      </c>
      <c r="C97">
        <v>830</v>
      </c>
      <c r="D97" t="s">
        <v>248</v>
      </c>
      <c r="M97">
        <f t="shared" si="17"/>
        <v>0</v>
      </c>
      <c r="P97" t="s">
        <v>3592</v>
      </c>
    </row>
    <row r="98" spans="2:80" x14ac:dyDescent="0.2">
      <c r="B98" t="s">
        <v>3593</v>
      </c>
      <c r="C98">
        <v>840</v>
      </c>
      <c r="D98" t="s">
        <v>251</v>
      </c>
      <c r="M98">
        <f t="shared" si="17"/>
        <v>0</v>
      </c>
      <c r="P98" t="s">
        <v>3594</v>
      </c>
    </row>
    <row r="99" spans="2:80" x14ac:dyDescent="0.2">
      <c r="B99" t="s">
        <v>2638</v>
      </c>
      <c r="C99">
        <v>850</v>
      </c>
      <c r="D99" t="s">
        <v>251</v>
      </c>
      <c r="M99">
        <f t="shared" si="17"/>
        <v>0</v>
      </c>
      <c r="P99" t="s">
        <v>3595</v>
      </c>
    </row>
    <row r="100" spans="2:80" x14ac:dyDescent="0.2">
      <c r="B100" t="s">
        <v>2640</v>
      </c>
      <c r="C100">
        <v>860</v>
      </c>
      <c r="D100" t="s">
        <v>251</v>
      </c>
      <c r="M100">
        <f t="shared" si="17"/>
        <v>0</v>
      </c>
    </row>
    <row r="101" spans="2:80" x14ac:dyDescent="0.2">
      <c r="B101" t="s">
        <v>2641</v>
      </c>
      <c r="C101">
        <v>870</v>
      </c>
      <c r="D101" t="s">
        <v>251</v>
      </c>
      <c r="M101">
        <f t="shared" si="17"/>
        <v>0</v>
      </c>
    </row>
    <row r="102" spans="2:80" x14ac:dyDescent="0.2">
      <c r="B102" t="s">
        <v>2642</v>
      </c>
      <c r="C102">
        <v>880</v>
      </c>
      <c r="D102" t="s">
        <v>251</v>
      </c>
      <c r="M102">
        <f t="shared" si="17"/>
        <v>0</v>
      </c>
    </row>
    <row r="103" spans="2:80" x14ac:dyDescent="0.2">
      <c r="B103" t="s">
        <v>2643</v>
      </c>
      <c r="C103">
        <v>890</v>
      </c>
      <c r="D103" t="s">
        <v>251</v>
      </c>
      <c r="M103">
        <f t="shared" si="17"/>
        <v>0</v>
      </c>
    </row>
    <row r="104" spans="2:80" x14ac:dyDescent="0.2">
      <c r="B104" t="s">
        <v>2644</v>
      </c>
      <c r="C104">
        <v>900</v>
      </c>
      <c r="D104" t="s">
        <v>251</v>
      </c>
      <c r="M104">
        <f t="shared" si="17"/>
        <v>0</v>
      </c>
      <c r="P104" t="s">
        <v>3596</v>
      </c>
    </row>
    <row r="105" spans="2:80" x14ac:dyDescent="0.2">
      <c r="B105" t="s">
        <v>2646</v>
      </c>
      <c r="C105">
        <v>910</v>
      </c>
      <c r="D105" t="s">
        <v>251</v>
      </c>
      <c r="M105">
        <f t="shared" si="17"/>
        <v>0</v>
      </c>
      <c r="P105" t="s">
        <v>3597</v>
      </c>
    </row>
    <row r="106" spans="2:80" x14ac:dyDescent="0.2">
      <c r="B106" t="s">
        <v>2648</v>
      </c>
      <c r="C106">
        <v>920</v>
      </c>
      <c r="D106" t="s">
        <v>251</v>
      </c>
      <c r="M106">
        <f t="shared" si="17"/>
        <v>0</v>
      </c>
      <c r="P106" t="s">
        <v>3598</v>
      </c>
    </row>
    <row r="107" spans="2:80" x14ac:dyDescent="0.2">
      <c r="B107" t="s">
        <v>2650</v>
      </c>
      <c r="C107">
        <v>930</v>
      </c>
      <c r="D107" t="s">
        <v>251</v>
      </c>
      <c r="M107">
        <f t="shared" si="17"/>
        <v>0</v>
      </c>
      <c r="P107" t="s">
        <v>3599</v>
      </c>
    </row>
    <row r="108" spans="2:80" x14ac:dyDescent="0.2">
      <c r="B108" t="s">
        <v>2652</v>
      </c>
      <c r="C108">
        <v>940</v>
      </c>
      <c r="D108" t="s">
        <v>251</v>
      </c>
      <c r="M108">
        <f t="shared" si="17"/>
        <v>0</v>
      </c>
      <c r="P108" t="s">
        <v>3600</v>
      </c>
    </row>
    <row r="109" spans="2:80" x14ac:dyDescent="0.2">
      <c r="B109" t="s">
        <v>2654</v>
      </c>
      <c r="C109">
        <v>950</v>
      </c>
      <c r="D109" t="s">
        <v>251</v>
      </c>
      <c r="M109">
        <f t="shared" si="17"/>
        <v>0</v>
      </c>
    </row>
    <row r="110" spans="2:80" x14ac:dyDescent="0.2">
      <c r="B110" t="s">
        <v>3601</v>
      </c>
      <c r="C110">
        <v>960</v>
      </c>
      <c r="D110" t="s">
        <v>248</v>
      </c>
      <c r="M110">
        <f t="shared" si="17"/>
        <v>0</v>
      </c>
      <c r="P110" t="s">
        <v>3602</v>
      </c>
      <c r="CB110">
        <f>IF(OR(K110&lt;0,L110&lt;0),1,0)</f>
        <v>0</v>
      </c>
    </row>
    <row r="111" spans="2:80" x14ac:dyDescent="0.2">
      <c r="B111" t="s">
        <v>2614</v>
      </c>
      <c r="C111">
        <v>970</v>
      </c>
      <c r="D111" t="s">
        <v>251</v>
      </c>
      <c r="M111">
        <f t="shared" si="17"/>
        <v>0</v>
      </c>
    </row>
    <row r="112" spans="2:80" x14ac:dyDescent="0.2">
      <c r="B112" t="s">
        <v>3603</v>
      </c>
      <c r="C112">
        <v>980</v>
      </c>
      <c r="D112" t="s">
        <v>251</v>
      </c>
      <c r="M112">
        <f t="shared" si="17"/>
        <v>0</v>
      </c>
      <c r="P112" t="s">
        <v>3604</v>
      </c>
    </row>
    <row r="113" spans="2:87" x14ac:dyDescent="0.2">
      <c r="B113" t="s">
        <v>352</v>
      </c>
      <c r="C113">
        <v>990</v>
      </c>
      <c r="D113" t="s">
        <v>251</v>
      </c>
      <c r="M113">
        <f t="shared" si="17"/>
        <v>0</v>
      </c>
      <c r="P113" t="s">
        <v>3605</v>
      </c>
      <c r="CG113">
        <f>SUM(M93:M113)</f>
        <v>0</v>
      </c>
      <c r="CH113">
        <f>M113</f>
        <v>0</v>
      </c>
      <c r="CI113">
        <f>IF(CG113&lt;&gt;0,(CH113/CG113)*100,0)</f>
        <v>0</v>
      </c>
    </row>
    <row r="114" spans="2:87" x14ac:dyDescent="0.2">
      <c r="B114" t="s">
        <v>3606</v>
      </c>
      <c r="C114">
        <v>1000</v>
      </c>
      <c r="D114" t="s">
        <v>251</v>
      </c>
      <c r="K114">
        <f>SUM(K93:K113)</f>
        <v>0</v>
      </c>
      <c r="L114">
        <f>SUM(L93:L113)</f>
        <v>0</v>
      </c>
      <c r="M114">
        <f>K114+L114</f>
        <v>0</v>
      </c>
    </row>
    <row r="115" spans="2:87" x14ac:dyDescent="0.2">
      <c r="B115" t="s">
        <v>3607</v>
      </c>
      <c r="C115">
        <v>1010</v>
      </c>
      <c r="D115" t="s">
        <v>248</v>
      </c>
      <c r="K115">
        <f>K114+K91</f>
        <v>0</v>
      </c>
      <c r="L115">
        <f>L114+L91</f>
        <v>0</v>
      </c>
      <c r="M115">
        <f>M114+M91</f>
        <v>0</v>
      </c>
      <c r="P115" t="s">
        <v>3608</v>
      </c>
    </row>
    <row r="116" spans="2:87" x14ac:dyDescent="0.2">
      <c r="E116" t="s">
        <v>2664</v>
      </c>
      <c r="F116" t="s">
        <v>2665</v>
      </c>
      <c r="G116" t="s">
        <v>2666</v>
      </c>
      <c r="H116" t="s">
        <v>2667</v>
      </c>
      <c r="I116" t="s">
        <v>2668</v>
      </c>
      <c r="J116" t="s">
        <v>2669</v>
      </c>
      <c r="K116" t="s">
        <v>2670</v>
      </c>
      <c r="L116" t="s">
        <v>2671</v>
      </c>
      <c r="M116" t="s">
        <v>340</v>
      </c>
    </row>
    <row r="117" spans="2:87" x14ac:dyDescent="0.2">
      <c r="B117" t="s">
        <v>3609</v>
      </c>
      <c r="C117">
        <v>1020</v>
      </c>
      <c r="D117" t="s">
        <v>248</v>
      </c>
      <c r="E117">
        <f>E75</f>
        <v>0</v>
      </c>
      <c r="F117">
        <f>F75</f>
        <v>0</v>
      </c>
      <c r="G117">
        <f>SUM(E117:F117)</f>
        <v>0</v>
      </c>
      <c r="H117">
        <f>H75</f>
        <v>0</v>
      </c>
      <c r="I117">
        <f>I75</f>
        <v>0</v>
      </c>
      <c r="J117">
        <f>SUM(H117:I117)</f>
        <v>0</v>
      </c>
      <c r="K117">
        <f>E117+H117</f>
        <v>0</v>
      </c>
      <c r="L117">
        <f>F117+I117</f>
        <v>0</v>
      </c>
      <c r="M117">
        <f>SUM(K117:L117)</f>
        <v>0</v>
      </c>
      <c r="P117" t="s">
        <v>2714</v>
      </c>
    </row>
    <row r="118" spans="2:87" x14ac:dyDescent="0.2">
      <c r="B118" t="s">
        <v>3610</v>
      </c>
    </row>
    <row r="119" spans="2:87" x14ac:dyDescent="0.2">
      <c r="B119" t="s">
        <v>2675</v>
      </c>
      <c r="C119">
        <v>1030</v>
      </c>
      <c r="D119" t="s">
        <v>245</v>
      </c>
      <c r="G119">
        <f>SUM(E119:F119)</f>
        <v>0</v>
      </c>
      <c r="J119">
        <f>SUM(H119:I119)</f>
        <v>0</v>
      </c>
      <c r="K119">
        <f t="shared" ref="K119:L123" si="18">E119+H119</f>
        <v>0</v>
      </c>
      <c r="L119">
        <f t="shared" si="18"/>
        <v>0</v>
      </c>
      <c r="M119">
        <f>SUM(K119:L119)</f>
        <v>0</v>
      </c>
      <c r="P119" t="s">
        <v>3611</v>
      </c>
      <c r="CA119">
        <f>IF(OR(E119&gt;0,F119&gt;0,H119&gt;0,I119&gt;0),1,0)</f>
        <v>0</v>
      </c>
    </row>
    <row r="120" spans="2:87" x14ac:dyDescent="0.2">
      <c r="B120" t="s">
        <v>3579</v>
      </c>
      <c r="C120">
        <v>1040</v>
      </c>
      <c r="D120" t="s">
        <v>251</v>
      </c>
      <c r="G120">
        <f>SUM(E120:F120)</f>
        <v>0</v>
      </c>
      <c r="J120">
        <f>SUM(H120:I120)</f>
        <v>0</v>
      </c>
      <c r="K120">
        <f t="shared" si="18"/>
        <v>0</v>
      </c>
      <c r="L120">
        <f t="shared" si="18"/>
        <v>0</v>
      </c>
      <c r="M120">
        <f>SUM(K120:L120)</f>
        <v>0</v>
      </c>
      <c r="P120" t="s">
        <v>3612</v>
      </c>
    </row>
    <row r="121" spans="2:87" x14ac:dyDescent="0.2">
      <c r="B121" t="s">
        <v>3581</v>
      </c>
      <c r="C121">
        <v>1050</v>
      </c>
      <c r="D121" t="s">
        <v>251</v>
      </c>
      <c r="G121">
        <f>SUM(E121:F121)</f>
        <v>0</v>
      </c>
      <c r="J121">
        <f>SUM(H121:I121)</f>
        <v>0</v>
      </c>
      <c r="K121">
        <f t="shared" si="18"/>
        <v>0</v>
      </c>
      <c r="L121">
        <f t="shared" si="18"/>
        <v>0</v>
      </c>
      <c r="M121">
        <f>SUM(K121:L121)</f>
        <v>0</v>
      </c>
      <c r="P121" t="s">
        <v>3613</v>
      </c>
    </row>
    <row r="122" spans="2:87" x14ac:dyDescent="0.2">
      <c r="B122" t="s">
        <v>3614</v>
      </c>
      <c r="C122">
        <v>1060</v>
      </c>
      <c r="D122" t="s">
        <v>251</v>
      </c>
      <c r="G122">
        <f>SUM(E122:F122)</f>
        <v>0</v>
      </c>
      <c r="J122">
        <f>SUM(H122:I122)</f>
        <v>0</v>
      </c>
      <c r="K122">
        <f t="shared" si="18"/>
        <v>0</v>
      </c>
      <c r="L122">
        <f t="shared" si="18"/>
        <v>0</v>
      </c>
      <c r="M122">
        <f>SUM(K122:L122)</f>
        <v>0</v>
      </c>
    </row>
    <row r="123" spans="2:87" x14ac:dyDescent="0.2">
      <c r="B123" t="s">
        <v>352</v>
      </c>
      <c r="C123">
        <v>1070</v>
      </c>
      <c r="D123" t="s">
        <v>251</v>
      </c>
      <c r="G123">
        <f>SUM(E123:F123)</f>
        <v>0</v>
      </c>
      <c r="J123">
        <f>SUM(H123:I123)</f>
        <v>0</v>
      </c>
      <c r="K123">
        <f t="shared" si="18"/>
        <v>0</v>
      </c>
      <c r="L123">
        <f t="shared" si="18"/>
        <v>0</v>
      </c>
      <c r="M123">
        <f>SUM(K123:L123)</f>
        <v>0</v>
      </c>
      <c r="P123" t="s">
        <v>3615</v>
      </c>
      <c r="CG123">
        <f>SUM(M119:M123)</f>
        <v>0</v>
      </c>
      <c r="CH123">
        <f>M123</f>
        <v>0</v>
      </c>
      <c r="CI123">
        <f>IF(CG123&lt;&gt;0,(CH123/CG123)*100,0)</f>
        <v>0</v>
      </c>
    </row>
    <row r="124" spans="2:87" x14ac:dyDescent="0.2">
      <c r="B124" t="s">
        <v>3616</v>
      </c>
      <c r="C124">
        <v>1080</v>
      </c>
      <c r="D124" t="s">
        <v>248</v>
      </c>
      <c r="E124">
        <f t="shared" ref="E124:M124" si="19">SUM(E117:E123)</f>
        <v>0</v>
      </c>
      <c r="F124">
        <f t="shared" si="19"/>
        <v>0</v>
      </c>
      <c r="G124">
        <f t="shared" si="19"/>
        <v>0</v>
      </c>
      <c r="H124">
        <f t="shared" si="19"/>
        <v>0</v>
      </c>
      <c r="I124">
        <f t="shared" si="19"/>
        <v>0</v>
      </c>
      <c r="J124">
        <f t="shared" si="19"/>
        <v>0</v>
      </c>
      <c r="K124">
        <f t="shared" si="19"/>
        <v>0</v>
      </c>
      <c r="L124">
        <f t="shared" si="19"/>
        <v>0</v>
      </c>
      <c r="M124">
        <f t="shared" si="19"/>
        <v>0</v>
      </c>
      <c r="CF124">
        <f>IF(OR(F124&lt;&gt;0,I124&lt;&gt;0),1,0)</f>
        <v>0</v>
      </c>
    </row>
    <row r="125" spans="2:87" x14ac:dyDescent="0.2">
      <c r="B125" t="s">
        <v>3617</v>
      </c>
    </row>
    <row r="126" spans="2:87" x14ac:dyDescent="0.2">
      <c r="B126" t="s">
        <v>2686</v>
      </c>
      <c r="C126">
        <v>1090</v>
      </c>
      <c r="D126" t="s">
        <v>248</v>
      </c>
      <c r="G126">
        <f t="shared" ref="G126:G138" si="20">SUM(E126:F126)</f>
        <v>0</v>
      </c>
      <c r="J126">
        <f t="shared" ref="J126:J137" si="21">SUM(H126:I126)</f>
        <v>0</v>
      </c>
      <c r="K126">
        <f t="shared" ref="K126:K137" si="22">E126+H126</f>
        <v>0</v>
      </c>
      <c r="L126">
        <f t="shared" ref="L126:L137" si="23">F126+I126</f>
        <v>0</v>
      </c>
      <c r="M126">
        <f t="shared" ref="M126:M143" si="24">SUM(K126:L126)</f>
        <v>0</v>
      </c>
      <c r="P126" t="s">
        <v>3618</v>
      </c>
      <c r="CB126">
        <f>IF(OR(E126&lt;0,F126&lt;0,H126&lt;0,I126&lt;0),1,0)</f>
        <v>0</v>
      </c>
    </row>
    <row r="127" spans="2:87" x14ac:dyDescent="0.2">
      <c r="B127" t="s">
        <v>2688</v>
      </c>
      <c r="C127">
        <v>1100</v>
      </c>
      <c r="D127" t="s">
        <v>248</v>
      </c>
      <c r="G127">
        <f t="shared" si="20"/>
        <v>0</v>
      </c>
      <c r="J127">
        <f t="shared" si="21"/>
        <v>0</v>
      </c>
      <c r="K127">
        <f t="shared" si="22"/>
        <v>0</v>
      </c>
      <c r="L127">
        <f t="shared" si="23"/>
        <v>0</v>
      </c>
      <c r="M127">
        <f t="shared" si="24"/>
        <v>0</v>
      </c>
      <c r="P127" t="s">
        <v>3619</v>
      </c>
      <c r="CB127">
        <f>IF(OR(E127&lt;0,F127&lt;0,H127&lt;0,I127&lt;0),1,0)</f>
        <v>0</v>
      </c>
    </row>
    <row r="128" spans="2:87" x14ac:dyDescent="0.2">
      <c r="B128" t="s">
        <v>2690</v>
      </c>
      <c r="C128">
        <v>1110</v>
      </c>
      <c r="D128" t="s">
        <v>248</v>
      </c>
      <c r="G128">
        <f t="shared" si="20"/>
        <v>0</v>
      </c>
      <c r="J128">
        <f t="shared" si="21"/>
        <v>0</v>
      </c>
      <c r="K128">
        <f t="shared" si="22"/>
        <v>0</v>
      </c>
      <c r="L128">
        <f t="shared" si="23"/>
        <v>0</v>
      </c>
      <c r="M128">
        <f t="shared" si="24"/>
        <v>0</v>
      </c>
      <c r="P128" t="s">
        <v>3620</v>
      </c>
      <c r="CB128">
        <f>IF(OR(E128&lt;0,F128&lt;0,H128&lt;0,I128&lt;0),1,0)</f>
        <v>0</v>
      </c>
    </row>
    <row r="129" spans="2:87" x14ac:dyDescent="0.2">
      <c r="B129" t="s">
        <v>2692</v>
      </c>
      <c r="C129">
        <v>1120</v>
      </c>
      <c r="D129" t="s">
        <v>251</v>
      </c>
      <c r="G129">
        <f t="shared" si="20"/>
        <v>0</v>
      </c>
      <c r="J129">
        <f t="shared" si="21"/>
        <v>0</v>
      </c>
      <c r="K129">
        <f t="shared" si="22"/>
        <v>0</v>
      </c>
      <c r="L129">
        <f t="shared" si="23"/>
        <v>0</v>
      </c>
      <c r="M129">
        <f t="shared" si="24"/>
        <v>0</v>
      </c>
      <c r="P129" t="s">
        <v>3621</v>
      </c>
    </row>
    <row r="130" spans="2:87" x14ac:dyDescent="0.2">
      <c r="B130" t="s">
        <v>3593</v>
      </c>
      <c r="C130">
        <v>1130</v>
      </c>
      <c r="D130" t="s">
        <v>251</v>
      </c>
      <c r="G130">
        <f t="shared" si="20"/>
        <v>0</v>
      </c>
      <c r="J130">
        <f t="shared" si="21"/>
        <v>0</v>
      </c>
      <c r="K130">
        <f t="shared" si="22"/>
        <v>0</v>
      </c>
      <c r="L130">
        <f t="shared" si="23"/>
        <v>0</v>
      </c>
      <c r="M130">
        <f t="shared" si="24"/>
        <v>0</v>
      </c>
      <c r="P130" t="s">
        <v>3622</v>
      </c>
    </row>
    <row r="131" spans="2:87" x14ac:dyDescent="0.2">
      <c r="B131" t="s">
        <v>2638</v>
      </c>
      <c r="C131">
        <v>1140</v>
      </c>
      <c r="D131" t="s">
        <v>251</v>
      </c>
      <c r="G131">
        <f t="shared" si="20"/>
        <v>0</v>
      </c>
      <c r="J131">
        <f t="shared" si="21"/>
        <v>0</v>
      </c>
      <c r="K131">
        <f t="shared" si="22"/>
        <v>0</v>
      </c>
      <c r="L131">
        <f t="shared" si="23"/>
        <v>0</v>
      </c>
      <c r="M131">
        <f t="shared" si="24"/>
        <v>0</v>
      </c>
      <c r="P131" t="s">
        <v>3623</v>
      </c>
    </row>
    <row r="132" spans="2:87" x14ac:dyDescent="0.2">
      <c r="B132" t="s">
        <v>2648</v>
      </c>
      <c r="C132">
        <v>1150</v>
      </c>
      <c r="D132" t="s">
        <v>251</v>
      </c>
      <c r="G132">
        <f t="shared" si="20"/>
        <v>0</v>
      </c>
      <c r="J132">
        <f t="shared" si="21"/>
        <v>0</v>
      </c>
      <c r="K132">
        <f t="shared" si="22"/>
        <v>0</v>
      </c>
      <c r="L132">
        <f t="shared" si="23"/>
        <v>0</v>
      </c>
      <c r="M132">
        <f t="shared" si="24"/>
        <v>0</v>
      </c>
      <c r="P132" t="s">
        <v>3624</v>
      </c>
    </row>
    <row r="133" spans="2:87" x14ac:dyDescent="0.2">
      <c r="B133" t="s">
        <v>2650</v>
      </c>
      <c r="C133">
        <v>1160</v>
      </c>
      <c r="D133" t="s">
        <v>251</v>
      </c>
      <c r="G133">
        <f t="shared" si="20"/>
        <v>0</v>
      </c>
      <c r="J133">
        <f t="shared" si="21"/>
        <v>0</v>
      </c>
      <c r="K133">
        <f t="shared" si="22"/>
        <v>0</v>
      </c>
      <c r="L133">
        <f t="shared" si="23"/>
        <v>0</v>
      </c>
      <c r="M133">
        <f t="shared" si="24"/>
        <v>0</v>
      </c>
      <c r="P133" t="s">
        <v>3625</v>
      </c>
    </row>
    <row r="134" spans="2:87" x14ac:dyDescent="0.2">
      <c r="B134" t="s">
        <v>2652</v>
      </c>
      <c r="C134">
        <v>1170</v>
      </c>
      <c r="D134" t="s">
        <v>251</v>
      </c>
      <c r="G134">
        <f t="shared" si="20"/>
        <v>0</v>
      </c>
      <c r="J134">
        <f t="shared" si="21"/>
        <v>0</v>
      </c>
      <c r="K134">
        <f t="shared" si="22"/>
        <v>0</v>
      </c>
      <c r="L134">
        <f t="shared" si="23"/>
        <v>0</v>
      </c>
      <c r="M134">
        <f t="shared" si="24"/>
        <v>0</v>
      </c>
      <c r="P134" t="s">
        <v>3626</v>
      </c>
    </row>
    <row r="135" spans="2:87" x14ac:dyDescent="0.2">
      <c r="B135" t="s">
        <v>3627</v>
      </c>
      <c r="C135">
        <v>1180</v>
      </c>
      <c r="D135" t="s">
        <v>248</v>
      </c>
      <c r="G135">
        <f t="shared" si="20"/>
        <v>0</v>
      </c>
      <c r="J135">
        <f t="shared" si="21"/>
        <v>0</v>
      </c>
      <c r="K135">
        <f t="shared" si="22"/>
        <v>0</v>
      </c>
      <c r="L135">
        <f t="shared" si="23"/>
        <v>0</v>
      </c>
      <c r="M135">
        <f t="shared" si="24"/>
        <v>0</v>
      </c>
      <c r="P135" t="s">
        <v>3628</v>
      </c>
      <c r="CB135">
        <f>IF(OR(E135&lt;0,F135&lt;0,H135&lt;0,I135&lt;0),1,0)</f>
        <v>0</v>
      </c>
    </row>
    <row r="136" spans="2:87" x14ac:dyDescent="0.2">
      <c r="B136" t="s">
        <v>2701</v>
      </c>
      <c r="C136">
        <v>1190</v>
      </c>
      <c r="D136" t="s">
        <v>248</v>
      </c>
      <c r="G136">
        <f t="shared" si="20"/>
        <v>0</v>
      </c>
      <c r="J136">
        <f t="shared" si="21"/>
        <v>0</v>
      </c>
      <c r="K136">
        <f t="shared" si="22"/>
        <v>0</v>
      </c>
      <c r="L136">
        <f t="shared" si="23"/>
        <v>0</v>
      </c>
      <c r="M136">
        <f t="shared" si="24"/>
        <v>0</v>
      </c>
      <c r="P136" t="s">
        <v>3629</v>
      </c>
      <c r="CB136">
        <f>IF(OR(E136&lt;0,F136&lt;0,H136&lt;0,I136&lt;0),1,0)</f>
        <v>0</v>
      </c>
    </row>
    <row r="137" spans="2:87" x14ac:dyDescent="0.2">
      <c r="B137" t="s">
        <v>2703</v>
      </c>
      <c r="C137">
        <v>1200</v>
      </c>
      <c r="D137" t="s">
        <v>248</v>
      </c>
      <c r="G137">
        <f t="shared" si="20"/>
        <v>0</v>
      </c>
      <c r="J137">
        <f t="shared" si="21"/>
        <v>0</v>
      </c>
      <c r="K137">
        <f t="shared" si="22"/>
        <v>0</v>
      </c>
      <c r="L137">
        <f t="shared" si="23"/>
        <v>0</v>
      </c>
      <c r="M137">
        <f t="shared" si="24"/>
        <v>0</v>
      </c>
      <c r="CB137">
        <f>IF(OR(E137&lt;0,F137&lt;0,H137&lt;0,I137&lt;0),1,0)</f>
        <v>0</v>
      </c>
    </row>
    <row r="138" spans="2:87" x14ac:dyDescent="0.2">
      <c r="B138" t="s">
        <v>2704</v>
      </c>
      <c r="C138">
        <v>1210</v>
      </c>
      <c r="D138" t="s">
        <v>245</v>
      </c>
      <c r="G138">
        <f t="shared" si="20"/>
        <v>0</v>
      </c>
      <c r="K138">
        <f>E138</f>
        <v>0</v>
      </c>
      <c r="L138">
        <f>F138</f>
        <v>0</v>
      </c>
      <c r="M138">
        <f t="shared" si="24"/>
        <v>0</v>
      </c>
      <c r="P138" t="s">
        <v>3630</v>
      </c>
      <c r="CC138">
        <f>M138*-1</f>
        <v>0</v>
      </c>
      <c r="CD138">
        <f t="shared" ref="CD138:CE140" si="25">K138*-1</f>
        <v>0</v>
      </c>
      <c r="CE138">
        <f t="shared" si="25"/>
        <v>0</v>
      </c>
    </row>
    <row r="139" spans="2:87" x14ac:dyDescent="0.2">
      <c r="B139" t="s">
        <v>2706</v>
      </c>
      <c r="C139">
        <v>1220</v>
      </c>
      <c r="D139" t="s">
        <v>245</v>
      </c>
      <c r="J139">
        <f>SUM(H139:I139)</f>
        <v>0</v>
      </c>
      <c r="K139">
        <f>H139</f>
        <v>0</v>
      </c>
      <c r="L139">
        <f>I139</f>
        <v>0</v>
      </c>
      <c r="M139">
        <f t="shared" si="24"/>
        <v>0</v>
      </c>
      <c r="P139" t="s">
        <v>3631</v>
      </c>
      <c r="CC139">
        <f>M139*-1</f>
        <v>0</v>
      </c>
      <c r="CD139">
        <f t="shared" si="25"/>
        <v>0</v>
      </c>
      <c r="CE139">
        <f t="shared" si="25"/>
        <v>0</v>
      </c>
    </row>
    <row r="140" spans="2:87" x14ac:dyDescent="0.2">
      <c r="B140" t="s">
        <v>2708</v>
      </c>
      <c r="C140">
        <v>1230</v>
      </c>
      <c r="D140" t="s">
        <v>248</v>
      </c>
      <c r="G140">
        <f>SUM(E140:F140)</f>
        <v>0</v>
      </c>
      <c r="J140">
        <f>SUM(H140:I140)</f>
        <v>0</v>
      </c>
      <c r="K140">
        <f t="shared" ref="K140:L143" si="26">E140+H140</f>
        <v>0</v>
      </c>
      <c r="L140">
        <f t="shared" si="26"/>
        <v>0</v>
      </c>
      <c r="M140">
        <f t="shared" si="24"/>
        <v>0</v>
      </c>
      <c r="CB140">
        <f>IF(OR(E140&lt;0,F140&lt;0,H140&lt;0,I140&lt;0),1,0)</f>
        <v>0</v>
      </c>
      <c r="CC140">
        <f>M140*-1</f>
        <v>0</v>
      </c>
      <c r="CD140">
        <f t="shared" si="25"/>
        <v>0</v>
      </c>
      <c r="CE140">
        <f t="shared" si="25"/>
        <v>0</v>
      </c>
    </row>
    <row r="141" spans="2:87" x14ac:dyDescent="0.2">
      <c r="B141" t="s">
        <v>2675</v>
      </c>
      <c r="C141">
        <v>1240</v>
      </c>
      <c r="D141" t="s">
        <v>248</v>
      </c>
      <c r="G141">
        <f>SUM(E141:F141)</f>
        <v>0</v>
      </c>
      <c r="J141">
        <f>SUM(H141:I141)</f>
        <v>0</v>
      </c>
      <c r="K141">
        <f t="shared" si="26"/>
        <v>0</v>
      </c>
      <c r="L141">
        <f t="shared" si="26"/>
        <v>0</v>
      </c>
      <c r="M141">
        <f t="shared" si="24"/>
        <v>0</v>
      </c>
      <c r="P141" t="s">
        <v>3632</v>
      </c>
      <c r="CB141">
        <f>IF(OR(E141&lt;0,F141&lt;0,H141&lt;0,I141&lt;0),1,0)</f>
        <v>0</v>
      </c>
    </row>
    <row r="142" spans="2:87" x14ac:dyDescent="0.2">
      <c r="B142" t="s">
        <v>3633</v>
      </c>
      <c r="C142">
        <v>1250</v>
      </c>
      <c r="D142" t="s">
        <v>251</v>
      </c>
      <c r="G142">
        <f>SUM(E142:F142)</f>
        <v>0</v>
      </c>
      <c r="J142">
        <f>SUM(H142:I142)</f>
        <v>0</v>
      </c>
      <c r="K142">
        <f t="shared" si="26"/>
        <v>0</v>
      </c>
      <c r="L142">
        <f t="shared" si="26"/>
        <v>0</v>
      </c>
      <c r="M142">
        <f t="shared" si="24"/>
        <v>0</v>
      </c>
      <c r="P142" t="s">
        <v>3634</v>
      </c>
    </row>
    <row r="143" spans="2:87" x14ac:dyDescent="0.2">
      <c r="B143" t="s">
        <v>352</v>
      </c>
      <c r="C143">
        <v>1260</v>
      </c>
      <c r="D143" t="s">
        <v>251</v>
      </c>
      <c r="G143">
        <f>SUM(E143:F143)</f>
        <v>0</v>
      </c>
      <c r="J143">
        <f>SUM(H143:I143)</f>
        <v>0</v>
      </c>
      <c r="K143">
        <f t="shared" si="26"/>
        <v>0</v>
      </c>
      <c r="L143">
        <f t="shared" si="26"/>
        <v>0</v>
      </c>
      <c r="M143">
        <f t="shared" si="24"/>
        <v>0</v>
      </c>
      <c r="P143" t="s">
        <v>3635</v>
      </c>
      <c r="CG143">
        <f>SUM(M126:M143)</f>
        <v>0</v>
      </c>
      <c r="CH143">
        <f>M143</f>
        <v>0</v>
      </c>
      <c r="CI143">
        <f>IF(CG143&lt;&gt;0,(CH143/CG143)*100,0)</f>
        <v>0</v>
      </c>
    </row>
    <row r="144" spans="2:87" x14ac:dyDescent="0.2">
      <c r="B144" t="s">
        <v>3636</v>
      </c>
      <c r="C144">
        <v>1270</v>
      </c>
      <c r="D144" t="s">
        <v>248</v>
      </c>
      <c r="E144">
        <f t="shared" ref="E144:M144" si="27">SUM(E126:E143)</f>
        <v>0</v>
      </c>
      <c r="F144">
        <f t="shared" si="27"/>
        <v>0</v>
      </c>
      <c r="G144">
        <f t="shared" si="27"/>
        <v>0</v>
      </c>
      <c r="H144">
        <f t="shared" si="27"/>
        <v>0</v>
      </c>
      <c r="I144">
        <f t="shared" si="27"/>
        <v>0</v>
      </c>
      <c r="J144">
        <f t="shared" si="27"/>
        <v>0</v>
      </c>
      <c r="K144">
        <f t="shared" si="27"/>
        <v>0</v>
      </c>
      <c r="L144">
        <f t="shared" si="27"/>
        <v>0</v>
      </c>
      <c r="M144">
        <f t="shared" si="27"/>
        <v>0</v>
      </c>
    </row>
    <row r="145" spans="2:81" x14ac:dyDescent="0.2">
      <c r="B145" t="s">
        <v>3637</v>
      </c>
      <c r="C145">
        <v>1280</v>
      </c>
      <c r="D145" t="s">
        <v>248</v>
      </c>
      <c r="E145">
        <f t="shared" ref="E145:M145" si="28">E144+E124</f>
        <v>0</v>
      </c>
      <c r="F145">
        <f t="shared" si="28"/>
        <v>0</v>
      </c>
      <c r="G145">
        <f t="shared" si="28"/>
        <v>0</v>
      </c>
      <c r="H145">
        <f t="shared" si="28"/>
        <v>0</v>
      </c>
      <c r="I145">
        <f t="shared" si="28"/>
        <v>0</v>
      </c>
      <c r="J145">
        <f t="shared" si="28"/>
        <v>0</v>
      </c>
      <c r="K145">
        <f t="shared" si="28"/>
        <v>0</v>
      </c>
      <c r="L145">
        <f t="shared" si="28"/>
        <v>0</v>
      </c>
      <c r="M145">
        <f t="shared" si="28"/>
        <v>0</v>
      </c>
      <c r="P145" t="s">
        <v>3638</v>
      </c>
    </row>
    <row r="153" spans="2:81" x14ac:dyDescent="0.2">
      <c r="B153" t="s">
        <v>2715</v>
      </c>
      <c r="C153" t="s">
        <v>238</v>
      </c>
      <c r="F153" t="s">
        <v>1746</v>
      </c>
      <c r="G153" t="s">
        <v>2716</v>
      </c>
      <c r="I153" t="s">
        <v>1941</v>
      </c>
      <c r="J153" t="s">
        <v>2716</v>
      </c>
      <c r="L153" t="s">
        <v>3510</v>
      </c>
      <c r="M153" t="s">
        <v>2716</v>
      </c>
    </row>
    <row r="154" spans="2:81" x14ac:dyDescent="0.2">
      <c r="C154" t="s">
        <v>242</v>
      </c>
      <c r="F154" t="s">
        <v>2037</v>
      </c>
      <c r="G154" t="s">
        <v>2038</v>
      </c>
      <c r="I154" t="s">
        <v>2040</v>
      </c>
      <c r="J154" t="s">
        <v>2041</v>
      </c>
      <c r="L154" t="s">
        <v>2043</v>
      </c>
      <c r="M154" t="s">
        <v>2044</v>
      </c>
    </row>
    <row r="155" spans="2:81" x14ac:dyDescent="0.2">
      <c r="F155" t="s">
        <v>243</v>
      </c>
      <c r="G155" t="s">
        <v>243</v>
      </c>
      <c r="I155" t="s">
        <v>243</v>
      </c>
      <c r="J155" t="s">
        <v>243</v>
      </c>
      <c r="L155" t="s">
        <v>243</v>
      </c>
      <c r="M155" t="s">
        <v>243</v>
      </c>
      <c r="CC155" t="s">
        <v>2717</v>
      </c>
    </row>
    <row r="156" spans="2:81" x14ac:dyDescent="0.2">
      <c r="B156" t="s">
        <v>3639</v>
      </c>
      <c r="C156">
        <v>1300</v>
      </c>
      <c r="F156">
        <f>M11-M46</f>
        <v>0</v>
      </c>
      <c r="G156">
        <f>IF($CC$156=0,0,F156/$CC$156*100)</f>
        <v>0</v>
      </c>
      <c r="I156">
        <f>M44-M75</f>
        <v>0</v>
      </c>
      <c r="J156">
        <f>IF($CC$158=0,0,I156/$CC$158*100)</f>
        <v>0</v>
      </c>
      <c r="L156">
        <f>M115-M145</f>
        <v>0</v>
      </c>
      <c r="M156">
        <f>IF($CC$160=0,0,L156/$CC$160*100)</f>
        <v>0</v>
      </c>
    </row>
    <row r="157" spans="2:81" x14ac:dyDescent="0.2">
      <c r="B157" t="s">
        <v>2719</v>
      </c>
      <c r="C157">
        <v>1310</v>
      </c>
      <c r="F157">
        <f>K11-K46</f>
        <v>0</v>
      </c>
      <c r="G157">
        <f>IF($CC$156=0,0,F157/$CC$156*100)</f>
        <v>0</v>
      </c>
      <c r="I157">
        <f>K44-K75</f>
        <v>0</v>
      </c>
      <c r="J157">
        <f>IF($CC$158=0,0,I157/$CC$158*100)</f>
        <v>0</v>
      </c>
      <c r="L157">
        <f>K115-K145</f>
        <v>0</v>
      </c>
      <c r="M157">
        <f>IF($CC$160=0,0,L157/$CC$160*100)</f>
        <v>0</v>
      </c>
      <c r="CC157" t="s">
        <v>2720</v>
      </c>
    </row>
    <row r="158" spans="2:81" x14ac:dyDescent="0.2">
      <c r="B158" t="s">
        <v>2721</v>
      </c>
      <c r="C158">
        <v>1315</v>
      </c>
      <c r="D158" t="s">
        <v>248</v>
      </c>
      <c r="G158">
        <f>IF($CC$156=0,0,F158/$CC$156*100)</f>
        <v>0</v>
      </c>
      <c r="J158">
        <f>IF($CC$158=0,0,I158/$CC$158*100)</f>
        <v>0</v>
      </c>
      <c r="M158">
        <f>IF($CC$160=0,0,L158/$CC$160*100)</f>
        <v>0</v>
      </c>
      <c r="CB158">
        <f>IF(OR(F158&lt;0,I158&lt;0,L158&lt;0),1,0)</f>
        <v>0</v>
      </c>
    </row>
    <row r="159" spans="2:81" x14ac:dyDescent="0.2">
      <c r="CC159" t="s">
        <v>2722</v>
      </c>
    </row>
    <row r="163" spans="2:80" x14ac:dyDescent="0.2">
      <c r="F163" t="s">
        <v>2723</v>
      </c>
      <c r="I163" t="s">
        <v>2386</v>
      </c>
      <c r="L163" t="s">
        <v>3406</v>
      </c>
    </row>
    <row r="164" spans="2:80" x14ac:dyDescent="0.2">
      <c r="B164" t="s">
        <v>2725</v>
      </c>
      <c r="C164" t="s">
        <v>238</v>
      </c>
      <c r="D164" t="s">
        <v>25</v>
      </c>
      <c r="E164" t="s">
        <v>2606</v>
      </c>
      <c r="F164" t="s">
        <v>2607</v>
      </c>
      <c r="G164" t="s">
        <v>340</v>
      </c>
      <c r="H164" t="s">
        <v>2606</v>
      </c>
      <c r="I164" t="s">
        <v>2607</v>
      </c>
      <c r="J164" t="s">
        <v>340</v>
      </c>
      <c r="K164" t="s">
        <v>2606</v>
      </c>
      <c r="L164" t="s">
        <v>2607</v>
      </c>
      <c r="M164" t="s">
        <v>340</v>
      </c>
      <c r="N164" t="s">
        <v>3640</v>
      </c>
      <c r="P164" t="s">
        <v>937</v>
      </c>
    </row>
    <row r="165" spans="2:80" x14ac:dyDescent="0.2">
      <c r="C165" t="s">
        <v>242</v>
      </c>
      <c r="E165" t="s">
        <v>2036</v>
      </c>
      <c r="F165" t="s">
        <v>2037</v>
      </c>
      <c r="G165" t="s">
        <v>2038</v>
      </c>
      <c r="H165" t="s">
        <v>2039</v>
      </c>
      <c r="I165" t="s">
        <v>2040</v>
      </c>
      <c r="J165" t="s">
        <v>2041</v>
      </c>
      <c r="K165" t="s">
        <v>2042</v>
      </c>
      <c r="L165" t="s">
        <v>2043</v>
      </c>
      <c r="M165" t="s">
        <v>2044</v>
      </c>
      <c r="N165" t="s">
        <v>2045</v>
      </c>
      <c r="P165" t="s">
        <v>2608</v>
      </c>
    </row>
    <row r="166" spans="2:80" x14ac:dyDescent="0.2">
      <c r="E166" t="s">
        <v>243</v>
      </c>
      <c r="F166" t="s">
        <v>243</v>
      </c>
      <c r="G166" t="s">
        <v>243</v>
      </c>
      <c r="H166" t="s">
        <v>243</v>
      </c>
      <c r="I166" t="s">
        <v>243</v>
      </c>
      <c r="J166" t="s">
        <v>243</v>
      </c>
      <c r="K166" t="s">
        <v>243</v>
      </c>
      <c r="L166" t="s">
        <v>243</v>
      </c>
      <c r="M166" t="s">
        <v>243</v>
      </c>
      <c r="N166" t="s">
        <v>243</v>
      </c>
    </row>
    <row r="167" spans="2:80" x14ac:dyDescent="0.2">
      <c r="B167" t="s">
        <v>2726</v>
      </c>
      <c r="C167">
        <v>1320</v>
      </c>
      <c r="D167" t="s">
        <v>248</v>
      </c>
      <c r="G167">
        <f t="shared" ref="G167:G172" si="29">SUM(E167:F167)</f>
        <v>0</v>
      </c>
      <c r="H167">
        <f>E167-K29</f>
        <v>0</v>
      </c>
      <c r="I167">
        <f>-L29</f>
        <v>0</v>
      </c>
      <c r="J167">
        <f t="shared" ref="J167:J172" si="30">SUM(H167:I167)</f>
        <v>0</v>
      </c>
      <c r="K167">
        <f>H167-K100</f>
        <v>0</v>
      </c>
      <c r="L167">
        <f>-L100</f>
        <v>0</v>
      </c>
      <c r="M167">
        <f t="shared" ref="M167:M172" si="31">SUM(K167:L167)</f>
        <v>0</v>
      </c>
      <c r="N167">
        <f t="shared" ref="N167:N172" si="32">IF($M$20=0,0,G167/$M$20*100)</f>
        <v>0</v>
      </c>
      <c r="P167" t="s">
        <v>2727</v>
      </c>
      <c r="CB167">
        <f t="shared" ref="CB167:CB172" si="33">IF(OR(E167&lt;0,F167&lt;0),1,0)</f>
        <v>0</v>
      </c>
    </row>
    <row r="168" spans="2:80" x14ac:dyDescent="0.2">
      <c r="B168" t="s">
        <v>2728</v>
      </c>
      <c r="C168">
        <v>1330</v>
      </c>
      <c r="D168" t="s">
        <v>248</v>
      </c>
      <c r="G168">
        <f t="shared" si="29"/>
        <v>0</v>
      </c>
      <c r="H168">
        <f>E168-K30</f>
        <v>0</v>
      </c>
      <c r="I168">
        <f>-L30</f>
        <v>0</v>
      </c>
      <c r="J168">
        <f t="shared" si="30"/>
        <v>0</v>
      </c>
      <c r="K168">
        <f>H168-K101</f>
        <v>0</v>
      </c>
      <c r="L168">
        <f>-L101</f>
        <v>0</v>
      </c>
      <c r="M168">
        <f t="shared" si="31"/>
        <v>0</v>
      </c>
      <c r="N168">
        <f t="shared" si="32"/>
        <v>0</v>
      </c>
      <c r="P168" t="s">
        <v>2729</v>
      </c>
      <c r="CB168">
        <f t="shared" si="33"/>
        <v>0</v>
      </c>
    </row>
    <row r="169" spans="2:80" x14ac:dyDescent="0.2">
      <c r="B169" t="s">
        <v>2730</v>
      </c>
      <c r="C169">
        <v>1340</v>
      </c>
      <c r="D169" t="s">
        <v>248</v>
      </c>
      <c r="G169">
        <f t="shared" si="29"/>
        <v>0</v>
      </c>
      <c r="H169">
        <f>E169+K31</f>
        <v>0</v>
      </c>
      <c r="I169">
        <f>L31</f>
        <v>0</v>
      </c>
      <c r="J169">
        <f t="shared" si="30"/>
        <v>0</v>
      </c>
      <c r="K169">
        <f>H169+K102</f>
        <v>0</v>
      </c>
      <c r="L169">
        <f>L102</f>
        <v>0</v>
      </c>
      <c r="M169">
        <f t="shared" si="31"/>
        <v>0</v>
      </c>
      <c r="N169">
        <f t="shared" si="32"/>
        <v>0</v>
      </c>
      <c r="P169" t="s">
        <v>2731</v>
      </c>
      <c r="CB169">
        <f t="shared" si="33"/>
        <v>0</v>
      </c>
    </row>
    <row r="170" spans="2:80" x14ac:dyDescent="0.2">
      <c r="B170" t="s">
        <v>2732</v>
      </c>
      <c r="C170">
        <v>1350</v>
      </c>
      <c r="D170" t="s">
        <v>248</v>
      </c>
      <c r="G170">
        <f t="shared" si="29"/>
        <v>0</v>
      </c>
      <c r="H170">
        <f>E170+K33</f>
        <v>0</v>
      </c>
      <c r="I170">
        <f>L33</f>
        <v>0</v>
      </c>
      <c r="J170">
        <f t="shared" si="30"/>
        <v>0</v>
      </c>
      <c r="K170">
        <f>H170+K104</f>
        <v>0</v>
      </c>
      <c r="L170">
        <f>L104</f>
        <v>0</v>
      </c>
      <c r="M170">
        <f t="shared" si="31"/>
        <v>0</v>
      </c>
      <c r="N170">
        <f t="shared" si="32"/>
        <v>0</v>
      </c>
      <c r="P170" t="s">
        <v>2733</v>
      </c>
      <c r="CB170">
        <f t="shared" si="33"/>
        <v>0</v>
      </c>
    </row>
    <row r="171" spans="2:80" x14ac:dyDescent="0.2">
      <c r="B171" t="s">
        <v>2734</v>
      </c>
      <c r="C171">
        <v>1360</v>
      </c>
      <c r="D171" t="s">
        <v>248</v>
      </c>
      <c r="G171">
        <f t="shared" si="29"/>
        <v>0</v>
      </c>
      <c r="H171">
        <f>E171+K38</f>
        <v>0</v>
      </c>
      <c r="I171">
        <f>L38+L39</f>
        <v>0</v>
      </c>
      <c r="J171">
        <f t="shared" si="30"/>
        <v>0</v>
      </c>
      <c r="K171">
        <f>H171+K109</f>
        <v>0</v>
      </c>
      <c r="L171">
        <f>L109+L110</f>
        <v>0</v>
      </c>
      <c r="M171">
        <f t="shared" si="31"/>
        <v>0</v>
      </c>
      <c r="N171">
        <f t="shared" si="32"/>
        <v>0</v>
      </c>
      <c r="P171" t="s">
        <v>2735</v>
      </c>
      <c r="CB171">
        <f t="shared" si="33"/>
        <v>0</v>
      </c>
    </row>
    <row r="172" spans="2:80" x14ac:dyDescent="0.2">
      <c r="B172" t="s">
        <v>2736</v>
      </c>
      <c r="C172">
        <v>1370</v>
      </c>
      <c r="D172" t="s">
        <v>248</v>
      </c>
      <c r="G172">
        <f t="shared" si="29"/>
        <v>0</v>
      </c>
      <c r="H172">
        <f>E172+K34</f>
        <v>0</v>
      </c>
      <c r="I172">
        <f>L34</f>
        <v>0</v>
      </c>
      <c r="J172">
        <f t="shared" si="30"/>
        <v>0</v>
      </c>
      <c r="K172">
        <f>H172+K105</f>
        <v>0</v>
      </c>
      <c r="L172">
        <f>L105</f>
        <v>0</v>
      </c>
      <c r="M172">
        <f t="shared" si="31"/>
        <v>0</v>
      </c>
      <c r="N172">
        <f t="shared" si="32"/>
        <v>0</v>
      </c>
      <c r="P172" t="s">
        <v>2737</v>
      </c>
      <c r="CB172">
        <f t="shared" si="33"/>
        <v>0</v>
      </c>
    </row>
    <row r="173" spans="2:80" x14ac:dyDescent="0.2">
      <c r="B173" t="s">
        <v>3571</v>
      </c>
      <c r="C173" t="s">
        <v>238</v>
      </c>
      <c r="D173" t="s">
        <v>25</v>
      </c>
      <c r="E173" t="s">
        <v>2606</v>
      </c>
      <c r="F173" t="s">
        <v>2607</v>
      </c>
      <c r="G173" t="s">
        <v>340</v>
      </c>
      <c r="N173" t="s">
        <v>3641</v>
      </c>
    </row>
    <row r="174" spans="2:80" x14ac:dyDescent="0.2">
      <c r="C174" t="s">
        <v>242</v>
      </c>
      <c r="E174" t="s">
        <v>2036</v>
      </c>
      <c r="F174" t="s">
        <v>2037</v>
      </c>
      <c r="G174" t="s">
        <v>2038</v>
      </c>
      <c r="N174" t="s">
        <v>2045</v>
      </c>
    </row>
    <row r="175" spans="2:80" x14ac:dyDescent="0.2">
      <c r="E175" t="s">
        <v>243</v>
      </c>
      <c r="F175" t="s">
        <v>243</v>
      </c>
      <c r="G175" t="s">
        <v>243</v>
      </c>
      <c r="N175" t="s">
        <v>243</v>
      </c>
    </row>
    <row r="176" spans="2:80" x14ac:dyDescent="0.2">
      <c r="B176" t="s">
        <v>2738</v>
      </c>
      <c r="C176">
        <v>1380</v>
      </c>
      <c r="D176" t="s">
        <v>248</v>
      </c>
      <c r="G176">
        <f>F176</f>
        <v>0</v>
      </c>
      <c r="N176">
        <f>IF($M$11=0,0,G176/$M$11*100)</f>
        <v>0</v>
      </c>
      <c r="CB176">
        <f>IF(OR(E176&lt;0,F176&lt;0),1,0)</f>
        <v>0</v>
      </c>
    </row>
    <row r="184" spans="2:88" x14ac:dyDescent="0.2">
      <c r="B184" t="s">
        <v>2761</v>
      </c>
      <c r="C184" t="s">
        <v>238</v>
      </c>
      <c r="D184" t="s">
        <v>2762</v>
      </c>
      <c r="F184" t="s">
        <v>340</v>
      </c>
      <c r="K184" t="s">
        <v>340</v>
      </c>
      <c r="P184" t="s">
        <v>937</v>
      </c>
    </row>
    <row r="185" spans="2:88" x14ac:dyDescent="0.2">
      <c r="B185" t="s">
        <v>2763</v>
      </c>
      <c r="C185" t="s">
        <v>242</v>
      </c>
      <c r="F185" t="s">
        <v>655</v>
      </c>
      <c r="G185" t="s">
        <v>2002</v>
      </c>
      <c r="H185" t="s">
        <v>2002</v>
      </c>
      <c r="I185" t="s">
        <v>340</v>
      </c>
      <c r="K185" t="s">
        <v>2764</v>
      </c>
      <c r="L185" t="s">
        <v>2765</v>
      </c>
      <c r="P185" t="s">
        <v>2608</v>
      </c>
      <c r="CC185" t="s">
        <v>2766</v>
      </c>
      <c r="CH185" t="s">
        <v>2767</v>
      </c>
    </row>
    <row r="186" spans="2:88" x14ac:dyDescent="0.2">
      <c r="G186" t="s">
        <v>1250</v>
      </c>
      <c r="H186" t="s">
        <v>2605</v>
      </c>
      <c r="CB186" t="s">
        <v>655</v>
      </c>
      <c r="CC186" t="s">
        <v>2768</v>
      </c>
      <c r="CD186" t="s">
        <v>2769</v>
      </c>
      <c r="CE186" t="s">
        <v>340</v>
      </c>
      <c r="CG186" t="s">
        <v>655</v>
      </c>
      <c r="CH186" t="s">
        <v>2768</v>
      </c>
      <c r="CI186" t="s">
        <v>2769</v>
      </c>
      <c r="CJ186" t="s">
        <v>340</v>
      </c>
    </row>
    <row r="187" spans="2:88" x14ac:dyDescent="0.2">
      <c r="F187" t="s">
        <v>243</v>
      </c>
      <c r="G187" t="s">
        <v>243</v>
      </c>
      <c r="H187" t="s">
        <v>243</v>
      </c>
      <c r="I187" t="s">
        <v>243</v>
      </c>
      <c r="K187" t="s">
        <v>243</v>
      </c>
      <c r="L187" t="s">
        <v>243</v>
      </c>
    </row>
    <row r="188" spans="2:88" x14ac:dyDescent="0.2">
      <c r="B188" t="s">
        <v>2770</v>
      </c>
      <c r="C188">
        <v>1400</v>
      </c>
      <c r="F188">
        <f>CB188+CG188</f>
        <v>0</v>
      </c>
      <c r="G188">
        <f>CC188+CH188</f>
        <v>0</v>
      </c>
      <c r="H188">
        <f>CD188+CI188</f>
        <v>0</v>
      </c>
      <c r="I188">
        <f>CE188+CJ188</f>
        <v>0</v>
      </c>
      <c r="K188">
        <f>CE188</f>
        <v>0</v>
      </c>
      <c r="L188">
        <f>CJ188</f>
        <v>0</v>
      </c>
      <c r="P188" t="s">
        <v>2771</v>
      </c>
      <c r="CB188">
        <f>K11</f>
        <v>0</v>
      </c>
      <c r="CC188">
        <f>-E46</f>
        <v>0</v>
      </c>
      <c r="CD188">
        <f>-H46</f>
        <v>0</v>
      </c>
      <c r="CE188">
        <f>SUM(CB188:CD188)</f>
        <v>0</v>
      </c>
      <c r="CG188">
        <f>L11</f>
        <v>0</v>
      </c>
      <c r="CH188">
        <f>-F46</f>
        <v>0</v>
      </c>
      <c r="CI188">
        <f>-I46</f>
        <v>0</v>
      </c>
      <c r="CJ188">
        <f>SUM(CG188:CI188)</f>
        <v>0</v>
      </c>
    </row>
    <row r="189" spans="2:88" x14ac:dyDescent="0.2">
      <c r="B189" t="s">
        <v>2772</v>
      </c>
    </row>
    <row r="190" spans="2:88" x14ac:dyDescent="0.2">
      <c r="B190" t="s">
        <v>2773</v>
      </c>
      <c r="C190">
        <v>1410</v>
      </c>
      <c r="D190" t="s">
        <v>2774</v>
      </c>
      <c r="F190">
        <f t="shared" ref="F190:I195" si="34">CB190+CG190</f>
        <v>0</v>
      </c>
      <c r="G190">
        <f t="shared" si="34"/>
        <v>0</v>
      </c>
      <c r="H190">
        <f t="shared" si="34"/>
        <v>0</v>
      </c>
      <c r="I190">
        <f t="shared" si="34"/>
        <v>0</v>
      </c>
      <c r="K190">
        <f t="shared" ref="K190:K195" si="35">CE190</f>
        <v>0</v>
      </c>
      <c r="L190">
        <f t="shared" ref="L190:L195" si="36">CJ190</f>
        <v>0</v>
      </c>
      <c r="P190" t="s">
        <v>2775</v>
      </c>
      <c r="CB190">
        <f>K13</f>
        <v>0</v>
      </c>
      <c r="CC190">
        <f>-E48</f>
        <v>0</v>
      </c>
      <c r="CD190">
        <f>-H48</f>
        <v>0</v>
      </c>
      <c r="CE190">
        <f t="shared" ref="CE190:CE195" si="37">SUM(CB190:CD190)</f>
        <v>0</v>
      </c>
      <c r="CG190">
        <f>L13</f>
        <v>0</v>
      </c>
      <c r="CH190">
        <f>-F48</f>
        <v>0</v>
      </c>
      <c r="CI190">
        <f>-I48</f>
        <v>0</v>
      </c>
      <c r="CJ190">
        <f t="shared" ref="CJ190:CJ195" si="38">SUM(CG190:CI190)</f>
        <v>0</v>
      </c>
    </row>
    <row r="191" spans="2:88" x14ac:dyDescent="0.2">
      <c r="B191" t="s">
        <v>2776</v>
      </c>
      <c r="C191">
        <v>1420</v>
      </c>
      <c r="D191" t="s">
        <v>2774</v>
      </c>
      <c r="F191">
        <f t="shared" si="34"/>
        <v>0</v>
      </c>
      <c r="G191">
        <f t="shared" si="34"/>
        <v>0</v>
      </c>
      <c r="H191">
        <f t="shared" si="34"/>
        <v>0</v>
      </c>
      <c r="I191">
        <f t="shared" si="34"/>
        <v>0</v>
      </c>
      <c r="K191">
        <f t="shared" si="35"/>
        <v>0</v>
      </c>
      <c r="L191">
        <f t="shared" si="36"/>
        <v>0</v>
      </c>
      <c r="P191" t="s">
        <v>2777</v>
      </c>
      <c r="CB191">
        <f>K14</f>
        <v>0</v>
      </c>
      <c r="CE191">
        <f t="shared" si="37"/>
        <v>0</v>
      </c>
      <c r="CG191">
        <f>L14</f>
        <v>0</v>
      </c>
      <c r="CJ191">
        <f t="shared" si="38"/>
        <v>0</v>
      </c>
    </row>
    <row r="192" spans="2:88" x14ac:dyDescent="0.2">
      <c r="B192" t="s">
        <v>2778</v>
      </c>
      <c r="C192">
        <v>1430</v>
      </c>
      <c r="D192" t="s">
        <v>2774</v>
      </c>
      <c r="F192">
        <f t="shared" si="34"/>
        <v>0</v>
      </c>
      <c r="G192">
        <f t="shared" si="34"/>
        <v>0</v>
      </c>
      <c r="H192">
        <f t="shared" si="34"/>
        <v>0</v>
      </c>
      <c r="I192">
        <f t="shared" si="34"/>
        <v>0</v>
      </c>
      <c r="K192">
        <f t="shared" si="35"/>
        <v>0</v>
      </c>
      <c r="L192">
        <f t="shared" si="36"/>
        <v>0</v>
      </c>
      <c r="P192" t="s">
        <v>2779</v>
      </c>
      <c r="CB192">
        <f>K15</f>
        <v>0</v>
      </c>
      <c r="CE192">
        <f t="shared" si="37"/>
        <v>0</v>
      </c>
      <c r="CG192">
        <f>L15</f>
        <v>0</v>
      </c>
      <c r="CJ192">
        <f t="shared" si="38"/>
        <v>0</v>
      </c>
    </row>
    <row r="193" spans="2:88" x14ac:dyDescent="0.2">
      <c r="B193" t="s">
        <v>2780</v>
      </c>
      <c r="C193">
        <v>1440</v>
      </c>
      <c r="D193" t="s">
        <v>2774</v>
      </c>
      <c r="F193">
        <f t="shared" si="34"/>
        <v>0</v>
      </c>
      <c r="G193">
        <f t="shared" si="34"/>
        <v>0</v>
      </c>
      <c r="H193">
        <f t="shared" si="34"/>
        <v>0</v>
      </c>
      <c r="I193">
        <f t="shared" si="34"/>
        <v>0</v>
      </c>
      <c r="K193">
        <f t="shared" si="35"/>
        <v>0</v>
      </c>
      <c r="L193">
        <f t="shared" si="36"/>
        <v>0</v>
      </c>
      <c r="P193" t="s">
        <v>2781</v>
      </c>
      <c r="CB193">
        <f>K16</f>
        <v>0</v>
      </c>
      <c r="CC193">
        <f>-E50</f>
        <v>0</v>
      </c>
      <c r="CD193">
        <f>-H50</f>
        <v>0</v>
      </c>
      <c r="CE193">
        <f t="shared" si="37"/>
        <v>0</v>
      </c>
      <c r="CG193">
        <f>L16</f>
        <v>0</v>
      </c>
      <c r="CH193">
        <f>-F50</f>
        <v>0</v>
      </c>
      <c r="CI193">
        <f>-I50</f>
        <v>0</v>
      </c>
      <c r="CJ193">
        <f t="shared" si="38"/>
        <v>0</v>
      </c>
    </row>
    <row r="194" spans="2:88" x14ac:dyDescent="0.2">
      <c r="B194" t="s">
        <v>2782</v>
      </c>
      <c r="C194">
        <v>1450</v>
      </c>
      <c r="D194" t="s">
        <v>2774</v>
      </c>
      <c r="F194">
        <f t="shared" si="34"/>
        <v>0</v>
      </c>
      <c r="G194">
        <f t="shared" si="34"/>
        <v>0</v>
      </c>
      <c r="H194">
        <f t="shared" si="34"/>
        <v>0</v>
      </c>
      <c r="I194">
        <f t="shared" si="34"/>
        <v>0</v>
      </c>
      <c r="K194">
        <f t="shared" si="35"/>
        <v>0</v>
      </c>
      <c r="L194">
        <f t="shared" si="36"/>
        <v>0</v>
      </c>
      <c r="P194" t="s">
        <v>2783</v>
      </c>
      <c r="CB194">
        <f>K17</f>
        <v>0</v>
      </c>
      <c r="CC194">
        <f>-E51</f>
        <v>0</v>
      </c>
      <c r="CD194">
        <f>-H51</f>
        <v>0</v>
      </c>
      <c r="CE194">
        <f t="shared" si="37"/>
        <v>0</v>
      </c>
      <c r="CG194">
        <f>L17</f>
        <v>0</v>
      </c>
      <c r="CH194">
        <f>-F51</f>
        <v>0</v>
      </c>
      <c r="CI194">
        <f>-I51</f>
        <v>0</v>
      </c>
      <c r="CJ194">
        <f t="shared" si="38"/>
        <v>0</v>
      </c>
    </row>
    <row r="195" spans="2:88" x14ac:dyDescent="0.2">
      <c r="B195" t="s">
        <v>2784</v>
      </c>
      <c r="C195">
        <v>1460</v>
      </c>
      <c r="F195">
        <f t="shared" si="34"/>
        <v>0</v>
      </c>
      <c r="G195">
        <f t="shared" si="34"/>
        <v>0</v>
      </c>
      <c r="H195">
        <f t="shared" si="34"/>
        <v>0</v>
      </c>
      <c r="I195">
        <f t="shared" si="34"/>
        <v>0</v>
      </c>
      <c r="K195">
        <f t="shared" si="35"/>
        <v>0</v>
      </c>
      <c r="L195">
        <f t="shared" si="36"/>
        <v>0</v>
      </c>
      <c r="P195" t="s">
        <v>2785</v>
      </c>
      <c r="CB195">
        <f>K19</f>
        <v>0</v>
      </c>
      <c r="CC195">
        <f>-E53</f>
        <v>0</v>
      </c>
      <c r="CD195">
        <f>-H53</f>
        <v>0</v>
      </c>
      <c r="CE195">
        <f t="shared" si="37"/>
        <v>0</v>
      </c>
      <c r="CG195">
        <f>L19</f>
        <v>0</v>
      </c>
      <c r="CH195">
        <f>-F53</f>
        <v>0</v>
      </c>
      <c r="CI195">
        <f>-I53</f>
        <v>0</v>
      </c>
      <c r="CJ195">
        <f t="shared" si="38"/>
        <v>0</v>
      </c>
    </row>
    <row r="196" spans="2:88" x14ac:dyDescent="0.2">
      <c r="B196" t="s">
        <v>2786</v>
      </c>
      <c r="C196">
        <v>1470</v>
      </c>
      <c r="F196">
        <f>SUM(F190:F195)</f>
        <v>0</v>
      </c>
      <c r="G196">
        <f>SUM(G190:G195)</f>
        <v>0</v>
      </c>
      <c r="H196">
        <f>SUM(H190:H195)</f>
        <v>0</v>
      </c>
      <c r="I196">
        <f>SUM(I190:I195)</f>
        <v>0</v>
      </c>
      <c r="K196">
        <f>SUM(K190:K195)</f>
        <v>0</v>
      </c>
      <c r="L196">
        <f>SUM(L190:L195)</f>
        <v>0</v>
      </c>
    </row>
    <row r="198" spans="2:88" x14ac:dyDescent="0.2">
      <c r="B198" t="s">
        <v>2787</v>
      </c>
    </row>
    <row r="199" spans="2:88" x14ac:dyDescent="0.2">
      <c r="B199" t="s">
        <v>3642</v>
      </c>
      <c r="C199">
        <v>1480</v>
      </c>
      <c r="D199" t="s">
        <v>2789</v>
      </c>
      <c r="F199">
        <f t="shared" ref="F199:I205" si="39">CB199+CG199</f>
        <v>0</v>
      </c>
      <c r="G199">
        <f t="shared" si="39"/>
        <v>0</v>
      </c>
      <c r="H199">
        <f t="shared" si="39"/>
        <v>0</v>
      </c>
      <c r="I199">
        <f t="shared" si="39"/>
        <v>0</v>
      </c>
      <c r="K199">
        <f t="shared" ref="K199:K205" si="40">CE199</f>
        <v>0</v>
      </c>
      <c r="L199">
        <f t="shared" ref="L199:L205" si="41">CJ199</f>
        <v>0</v>
      </c>
      <c r="P199" t="s">
        <v>2790</v>
      </c>
      <c r="CB199">
        <f>K18</f>
        <v>0</v>
      </c>
      <c r="CE199">
        <f t="shared" ref="CE199:CE205" si="42">SUM(CB199:CD199)</f>
        <v>0</v>
      </c>
      <c r="CG199">
        <f>L18</f>
        <v>0</v>
      </c>
      <c r="CJ199">
        <f t="shared" ref="CJ199:CJ205" si="43">SUM(CG199:CI199)</f>
        <v>0</v>
      </c>
    </row>
    <row r="200" spans="2:88" x14ac:dyDescent="0.2">
      <c r="B200" t="s">
        <v>3643</v>
      </c>
      <c r="C200">
        <v>1490</v>
      </c>
      <c r="D200" t="s">
        <v>2789</v>
      </c>
      <c r="F200">
        <f t="shared" si="39"/>
        <v>0</v>
      </c>
      <c r="G200">
        <f t="shared" si="39"/>
        <v>0</v>
      </c>
      <c r="H200">
        <f t="shared" si="39"/>
        <v>0</v>
      </c>
      <c r="I200">
        <f t="shared" si="39"/>
        <v>0</v>
      </c>
      <c r="K200">
        <f t="shared" si="40"/>
        <v>0</v>
      </c>
      <c r="L200">
        <f t="shared" si="41"/>
        <v>0</v>
      </c>
      <c r="P200" t="s">
        <v>2792</v>
      </c>
      <c r="CC200">
        <f>-E49-E52</f>
        <v>0</v>
      </c>
      <c r="CD200">
        <f>-H49-H52</f>
        <v>0</v>
      </c>
      <c r="CE200">
        <f t="shared" si="42"/>
        <v>0</v>
      </c>
      <c r="CH200">
        <f>-F49-F52</f>
        <v>0</v>
      </c>
      <c r="CI200">
        <f>-I49-I52</f>
        <v>0</v>
      </c>
      <c r="CJ200">
        <f t="shared" si="43"/>
        <v>0</v>
      </c>
    </row>
    <row r="201" spans="2:88" x14ac:dyDescent="0.2">
      <c r="B201" t="s">
        <v>2793</v>
      </c>
      <c r="C201">
        <v>1500</v>
      </c>
      <c r="D201" t="s">
        <v>2789</v>
      </c>
      <c r="F201">
        <f t="shared" si="39"/>
        <v>0</v>
      </c>
      <c r="G201">
        <f t="shared" si="39"/>
        <v>0</v>
      </c>
      <c r="H201">
        <f t="shared" si="39"/>
        <v>0</v>
      </c>
      <c r="I201">
        <f t="shared" si="39"/>
        <v>0</v>
      </c>
      <c r="K201">
        <f t="shared" si="40"/>
        <v>0</v>
      </c>
      <c r="L201">
        <f t="shared" si="41"/>
        <v>0</v>
      </c>
      <c r="P201" t="s">
        <v>2794</v>
      </c>
      <c r="CB201">
        <f>K26</f>
        <v>0</v>
      </c>
      <c r="CC201">
        <f>-E68-E69</f>
        <v>0</v>
      </c>
      <c r="CD201">
        <f>-H68-H69</f>
        <v>0</v>
      </c>
      <c r="CE201">
        <f t="shared" si="42"/>
        <v>0</v>
      </c>
      <c r="CG201">
        <f>L26</f>
        <v>0</v>
      </c>
      <c r="CH201">
        <f>-F68-F69</f>
        <v>0</v>
      </c>
      <c r="CI201">
        <f>-I68-I69</f>
        <v>0</v>
      </c>
      <c r="CJ201">
        <f t="shared" si="43"/>
        <v>0</v>
      </c>
    </row>
    <row r="202" spans="2:88" x14ac:dyDescent="0.2">
      <c r="B202" t="s">
        <v>2703</v>
      </c>
      <c r="C202">
        <v>1510</v>
      </c>
      <c r="D202" t="s">
        <v>2789</v>
      </c>
      <c r="F202">
        <f t="shared" si="39"/>
        <v>0</v>
      </c>
      <c r="G202">
        <f t="shared" si="39"/>
        <v>0</v>
      </c>
      <c r="H202">
        <f t="shared" si="39"/>
        <v>0</v>
      </c>
      <c r="I202">
        <f t="shared" si="39"/>
        <v>0</v>
      </c>
      <c r="K202">
        <f t="shared" si="40"/>
        <v>0</v>
      </c>
      <c r="L202">
        <f t="shared" si="41"/>
        <v>0</v>
      </c>
      <c r="P202" t="s">
        <v>2795</v>
      </c>
      <c r="CC202">
        <f>-E67</f>
        <v>0</v>
      </c>
      <c r="CD202">
        <f>-H67</f>
        <v>0</v>
      </c>
      <c r="CE202">
        <f t="shared" si="42"/>
        <v>0</v>
      </c>
      <c r="CH202">
        <f>-F67</f>
        <v>0</v>
      </c>
      <c r="CI202">
        <f>-I67</f>
        <v>0</v>
      </c>
      <c r="CJ202">
        <f t="shared" si="43"/>
        <v>0</v>
      </c>
    </row>
    <row r="203" spans="2:88" x14ac:dyDescent="0.2">
      <c r="B203" t="s">
        <v>2796</v>
      </c>
      <c r="C203">
        <v>1520</v>
      </c>
      <c r="D203" t="s">
        <v>2789</v>
      </c>
      <c r="F203">
        <f t="shared" si="39"/>
        <v>0</v>
      </c>
      <c r="G203">
        <f t="shared" si="39"/>
        <v>0</v>
      </c>
      <c r="H203">
        <f t="shared" si="39"/>
        <v>0</v>
      </c>
      <c r="I203">
        <f t="shared" si="39"/>
        <v>0</v>
      </c>
      <c r="K203">
        <f t="shared" si="40"/>
        <v>0</v>
      </c>
      <c r="L203">
        <f t="shared" si="41"/>
        <v>0</v>
      </c>
      <c r="P203" t="s">
        <v>2797</v>
      </c>
      <c r="CB203">
        <f>K23</f>
        <v>0</v>
      </c>
      <c r="CE203">
        <f t="shared" si="42"/>
        <v>0</v>
      </c>
      <c r="CG203">
        <f>L23</f>
        <v>0</v>
      </c>
      <c r="CJ203">
        <f t="shared" si="43"/>
        <v>0</v>
      </c>
    </row>
    <row r="204" spans="2:88" x14ac:dyDescent="0.2">
      <c r="B204" t="s">
        <v>2798</v>
      </c>
      <c r="C204">
        <v>1530</v>
      </c>
      <c r="D204" t="s">
        <v>2789</v>
      </c>
      <c r="F204">
        <f t="shared" si="39"/>
        <v>0</v>
      </c>
      <c r="G204">
        <f t="shared" si="39"/>
        <v>0</v>
      </c>
      <c r="H204">
        <f t="shared" si="39"/>
        <v>0</v>
      </c>
      <c r="I204">
        <f t="shared" si="39"/>
        <v>0</v>
      </c>
      <c r="K204">
        <f t="shared" si="40"/>
        <v>0</v>
      </c>
      <c r="L204">
        <f t="shared" si="41"/>
        <v>0</v>
      </c>
      <c r="P204" t="s">
        <v>2799</v>
      </c>
      <c r="CB204">
        <f>K24+K25</f>
        <v>0</v>
      </c>
      <c r="CC204">
        <f>-E66</f>
        <v>0</v>
      </c>
      <c r="CD204">
        <f>-H66</f>
        <v>0</v>
      </c>
      <c r="CE204">
        <f t="shared" si="42"/>
        <v>0</v>
      </c>
      <c r="CG204">
        <f>L24+L25</f>
        <v>0</v>
      </c>
      <c r="CH204">
        <f>-F66</f>
        <v>0</v>
      </c>
      <c r="CI204">
        <f>-I66</f>
        <v>0</v>
      </c>
      <c r="CJ204">
        <f t="shared" si="43"/>
        <v>0</v>
      </c>
    </row>
    <row r="205" spans="2:88" x14ac:dyDescent="0.2">
      <c r="B205" t="s">
        <v>2800</v>
      </c>
      <c r="C205">
        <v>1540</v>
      </c>
      <c r="D205" t="s">
        <v>2789</v>
      </c>
      <c r="F205">
        <f t="shared" si="39"/>
        <v>0</v>
      </c>
      <c r="G205">
        <f t="shared" si="39"/>
        <v>0</v>
      </c>
      <c r="H205">
        <f t="shared" si="39"/>
        <v>0</v>
      </c>
      <c r="I205">
        <f t="shared" si="39"/>
        <v>0</v>
      </c>
      <c r="K205">
        <f t="shared" si="40"/>
        <v>0</v>
      </c>
      <c r="L205">
        <f t="shared" si="41"/>
        <v>0</v>
      </c>
      <c r="P205" t="s">
        <v>2801</v>
      </c>
      <c r="CB205">
        <f>K38</f>
        <v>0</v>
      </c>
      <c r="CE205">
        <f t="shared" si="42"/>
        <v>0</v>
      </c>
      <c r="CG205">
        <f>L38</f>
        <v>0</v>
      </c>
      <c r="CJ205">
        <f t="shared" si="43"/>
        <v>0</v>
      </c>
    </row>
    <row r="206" spans="2:88" x14ac:dyDescent="0.2">
      <c r="B206" t="s">
        <v>2787</v>
      </c>
      <c r="C206">
        <v>1550</v>
      </c>
      <c r="F206">
        <f>SUM(F199:F205)</f>
        <v>0</v>
      </c>
      <c r="G206">
        <f>SUM(G199:G205)</f>
        <v>0</v>
      </c>
      <c r="H206">
        <f>SUM(H199:H205)</f>
        <v>0</v>
      </c>
      <c r="I206">
        <f>SUM(I199:I205)</f>
        <v>0</v>
      </c>
      <c r="K206">
        <f>SUM(K199:K205)</f>
        <v>0</v>
      </c>
      <c r="L206">
        <f>SUM(L199:L205)</f>
        <v>0</v>
      </c>
    </row>
    <row r="208" spans="2:88" x14ac:dyDescent="0.2">
      <c r="B208" t="s">
        <v>2802</v>
      </c>
    </row>
    <row r="209" spans="2:88" x14ac:dyDescent="0.2">
      <c r="B209" t="s">
        <v>2803</v>
      </c>
      <c r="C209">
        <v>1560</v>
      </c>
      <c r="D209" t="s">
        <v>2804</v>
      </c>
      <c r="F209">
        <f t="shared" ref="F209:F220" si="44">CB209+CG209</f>
        <v>0</v>
      </c>
      <c r="G209">
        <f t="shared" ref="G209:G220" si="45">CC209+CH209</f>
        <v>0</v>
      </c>
      <c r="H209">
        <f t="shared" ref="H209:H220" si="46">CD209+CI209</f>
        <v>0</v>
      </c>
      <c r="I209">
        <f t="shared" ref="I209:I220" si="47">CE209+CJ209</f>
        <v>0</v>
      </c>
      <c r="K209">
        <f t="shared" ref="K209:K220" si="48">CE209</f>
        <v>0</v>
      </c>
      <c r="L209">
        <f t="shared" ref="L209:L220" si="49">CJ209</f>
        <v>0</v>
      </c>
      <c r="P209" t="s">
        <v>2805</v>
      </c>
      <c r="CB209">
        <f>K22</f>
        <v>0</v>
      </c>
      <c r="CC209">
        <f>-E56-E57-E58</f>
        <v>0</v>
      </c>
      <c r="CD209">
        <f>-H56-H57-H58</f>
        <v>0</v>
      </c>
      <c r="CE209">
        <f t="shared" ref="CE209:CE220" si="50">SUM(CB209:CD209)</f>
        <v>0</v>
      </c>
      <c r="CG209">
        <f>L22</f>
        <v>0</v>
      </c>
      <c r="CH209">
        <f>-F56-F57-F58</f>
        <v>0</v>
      </c>
      <c r="CI209">
        <f>-I56-I57-I58</f>
        <v>0</v>
      </c>
      <c r="CJ209">
        <f t="shared" ref="CJ209:CJ220" si="51">SUM(CG209:CI209)</f>
        <v>0</v>
      </c>
    </row>
    <row r="210" spans="2:88" x14ac:dyDescent="0.2">
      <c r="B210" t="s">
        <v>2806</v>
      </c>
      <c r="C210">
        <v>1570</v>
      </c>
      <c r="D210" t="s">
        <v>2807</v>
      </c>
      <c r="F210">
        <f t="shared" si="44"/>
        <v>0</v>
      </c>
      <c r="G210">
        <f t="shared" si="45"/>
        <v>0</v>
      </c>
      <c r="H210">
        <f t="shared" si="46"/>
        <v>0</v>
      </c>
      <c r="I210">
        <f t="shared" si="47"/>
        <v>0</v>
      </c>
      <c r="K210">
        <f t="shared" si="48"/>
        <v>0</v>
      </c>
      <c r="L210">
        <f t="shared" si="49"/>
        <v>0</v>
      </c>
      <c r="P210" t="s">
        <v>2808</v>
      </c>
      <c r="CB210">
        <f>K28</f>
        <v>0</v>
      </c>
      <c r="CC210">
        <f>-E61</f>
        <v>0</v>
      </c>
      <c r="CD210">
        <f>-H61</f>
        <v>0</v>
      </c>
      <c r="CE210">
        <f t="shared" si="50"/>
        <v>0</v>
      </c>
      <c r="CG210">
        <f>L28</f>
        <v>0</v>
      </c>
      <c r="CH210">
        <f>-F61</f>
        <v>0</v>
      </c>
      <c r="CI210">
        <f>-I61</f>
        <v>0</v>
      </c>
      <c r="CJ210">
        <f t="shared" si="51"/>
        <v>0</v>
      </c>
    </row>
    <row r="211" spans="2:88" x14ac:dyDescent="0.2">
      <c r="B211" t="s">
        <v>2809</v>
      </c>
      <c r="C211">
        <v>1580</v>
      </c>
      <c r="D211" t="s">
        <v>2810</v>
      </c>
      <c r="F211">
        <f t="shared" si="44"/>
        <v>0</v>
      </c>
      <c r="G211">
        <f t="shared" si="45"/>
        <v>0</v>
      </c>
      <c r="H211">
        <f t="shared" si="46"/>
        <v>0</v>
      </c>
      <c r="I211">
        <f t="shared" si="47"/>
        <v>0</v>
      </c>
      <c r="K211">
        <f t="shared" si="48"/>
        <v>0</v>
      </c>
      <c r="L211">
        <f t="shared" si="49"/>
        <v>0</v>
      </c>
      <c r="P211" t="s">
        <v>2811</v>
      </c>
      <c r="CB211">
        <f>K29+K30+K31+K32</f>
        <v>0</v>
      </c>
      <c r="CE211">
        <f t="shared" si="50"/>
        <v>0</v>
      </c>
      <c r="CG211">
        <f>L29+L30+L31+L32</f>
        <v>0</v>
      </c>
      <c r="CJ211">
        <f t="shared" si="51"/>
        <v>0</v>
      </c>
    </row>
    <row r="212" spans="2:88" x14ac:dyDescent="0.2">
      <c r="B212" t="s">
        <v>2812</v>
      </c>
      <c r="C212">
        <v>1590</v>
      </c>
      <c r="D212" t="s">
        <v>2813</v>
      </c>
      <c r="F212">
        <f t="shared" si="44"/>
        <v>0</v>
      </c>
      <c r="G212">
        <f t="shared" si="45"/>
        <v>0</v>
      </c>
      <c r="H212">
        <f t="shared" si="46"/>
        <v>0</v>
      </c>
      <c r="I212">
        <f t="shared" si="47"/>
        <v>0</v>
      </c>
      <c r="K212">
        <f t="shared" si="48"/>
        <v>0</v>
      </c>
      <c r="L212">
        <f t="shared" si="49"/>
        <v>0</v>
      </c>
      <c r="P212" t="s">
        <v>2814</v>
      </c>
      <c r="CB212">
        <f>K34</f>
        <v>0</v>
      </c>
      <c r="CC212">
        <f>-E65</f>
        <v>0</v>
      </c>
      <c r="CD212">
        <f>-H65</f>
        <v>0</v>
      </c>
      <c r="CE212">
        <f t="shared" si="50"/>
        <v>0</v>
      </c>
      <c r="CG212">
        <f>L34</f>
        <v>0</v>
      </c>
      <c r="CH212">
        <f>-F65</f>
        <v>0</v>
      </c>
      <c r="CI212">
        <f>-I65</f>
        <v>0</v>
      </c>
      <c r="CJ212">
        <f t="shared" si="51"/>
        <v>0</v>
      </c>
    </row>
    <row r="213" spans="2:88" x14ac:dyDescent="0.2">
      <c r="B213" t="s">
        <v>2815</v>
      </c>
      <c r="C213">
        <v>1600</v>
      </c>
      <c r="D213" t="s">
        <v>2816</v>
      </c>
      <c r="F213">
        <f t="shared" si="44"/>
        <v>0</v>
      </c>
      <c r="G213">
        <f t="shared" si="45"/>
        <v>0</v>
      </c>
      <c r="H213">
        <f t="shared" si="46"/>
        <v>0</v>
      </c>
      <c r="I213">
        <f t="shared" si="47"/>
        <v>0</v>
      </c>
      <c r="K213">
        <f t="shared" si="48"/>
        <v>0</v>
      </c>
      <c r="L213">
        <f t="shared" si="49"/>
        <v>0</v>
      </c>
      <c r="P213" t="s">
        <v>2817</v>
      </c>
      <c r="CB213">
        <f>K39</f>
        <v>0</v>
      </c>
      <c r="CC213">
        <f>-E71</f>
        <v>0</v>
      </c>
      <c r="CD213">
        <f>-H71</f>
        <v>0</v>
      </c>
      <c r="CE213">
        <f t="shared" si="50"/>
        <v>0</v>
      </c>
      <c r="CG213">
        <f>L39</f>
        <v>0</v>
      </c>
      <c r="CH213">
        <f>-F71</f>
        <v>0</v>
      </c>
      <c r="CI213">
        <f>-I71</f>
        <v>0</v>
      </c>
      <c r="CJ213">
        <f t="shared" si="51"/>
        <v>0</v>
      </c>
    </row>
    <row r="214" spans="2:88" x14ac:dyDescent="0.2">
      <c r="B214" t="s">
        <v>2818</v>
      </c>
      <c r="C214">
        <v>1610</v>
      </c>
      <c r="D214" t="s">
        <v>2819</v>
      </c>
      <c r="F214">
        <f t="shared" si="44"/>
        <v>0</v>
      </c>
      <c r="G214">
        <f t="shared" si="45"/>
        <v>0</v>
      </c>
      <c r="H214">
        <f t="shared" si="46"/>
        <v>0</v>
      </c>
      <c r="I214">
        <f t="shared" si="47"/>
        <v>0</v>
      </c>
      <c r="K214">
        <f t="shared" si="48"/>
        <v>0</v>
      </c>
      <c r="L214">
        <f t="shared" si="49"/>
        <v>0</v>
      </c>
      <c r="P214" t="s">
        <v>2820</v>
      </c>
      <c r="CB214">
        <f>K27</f>
        <v>0</v>
      </c>
      <c r="CC214">
        <f>-E60</f>
        <v>0</v>
      </c>
      <c r="CD214">
        <f>-H60</f>
        <v>0</v>
      </c>
      <c r="CE214">
        <f t="shared" si="50"/>
        <v>0</v>
      </c>
      <c r="CG214">
        <f>L27</f>
        <v>0</v>
      </c>
      <c r="CH214">
        <f>-F60</f>
        <v>0</v>
      </c>
      <c r="CI214">
        <f>-I60</f>
        <v>0</v>
      </c>
      <c r="CJ214">
        <f t="shared" si="51"/>
        <v>0</v>
      </c>
    </row>
    <row r="215" spans="2:88" x14ac:dyDescent="0.2">
      <c r="B215" t="s">
        <v>2821</v>
      </c>
      <c r="C215">
        <v>1620</v>
      </c>
      <c r="D215" t="s">
        <v>2822</v>
      </c>
      <c r="F215">
        <f t="shared" si="44"/>
        <v>0</v>
      </c>
      <c r="G215">
        <f t="shared" si="45"/>
        <v>0</v>
      </c>
      <c r="H215">
        <f t="shared" si="46"/>
        <v>0</v>
      </c>
      <c r="I215">
        <f t="shared" si="47"/>
        <v>0</v>
      </c>
      <c r="K215">
        <f t="shared" si="48"/>
        <v>0</v>
      </c>
      <c r="L215">
        <f t="shared" si="49"/>
        <v>0</v>
      </c>
      <c r="P215" t="s">
        <v>2823</v>
      </c>
      <c r="CB215">
        <f>K41</f>
        <v>0</v>
      </c>
      <c r="CC215">
        <f>-E72</f>
        <v>0</v>
      </c>
      <c r="CD215">
        <f>-H72</f>
        <v>0</v>
      </c>
      <c r="CE215">
        <f t="shared" si="50"/>
        <v>0</v>
      </c>
      <c r="CG215">
        <f>L41</f>
        <v>0</v>
      </c>
      <c r="CH215">
        <f>-F72</f>
        <v>0</v>
      </c>
      <c r="CI215">
        <f>-I72</f>
        <v>0</v>
      </c>
      <c r="CJ215">
        <f t="shared" si="51"/>
        <v>0</v>
      </c>
    </row>
    <row r="216" spans="2:88" x14ac:dyDescent="0.2">
      <c r="B216" t="s">
        <v>2776</v>
      </c>
      <c r="C216">
        <v>1630</v>
      </c>
      <c r="D216" t="s">
        <v>2776</v>
      </c>
      <c r="F216">
        <f t="shared" si="44"/>
        <v>0</v>
      </c>
      <c r="G216">
        <f t="shared" si="45"/>
        <v>0</v>
      </c>
      <c r="H216">
        <f t="shared" si="46"/>
        <v>0</v>
      </c>
      <c r="I216">
        <f t="shared" si="47"/>
        <v>0</v>
      </c>
      <c r="K216">
        <f t="shared" si="48"/>
        <v>0</v>
      </c>
      <c r="L216">
        <f t="shared" si="49"/>
        <v>0</v>
      </c>
      <c r="P216" t="s">
        <v>2824</v>
      </c>
      <c r="CB216">
        <f>K40</f>
        <v>0</v>
      </c>
      <c r="CE216">
        <f t="shared" si="50"/>
        <v>0</v>
      </c>
      <c r="CG216">
        <f>L40</f>
        <v>0</v>
      </c>
      <c r="CJ216">
        <f t="shared" si="51"/>
        <v>0</v>
      </c>
    </row>
    <row r="217" spans="2:88" x14ac:dyDescent="0.2">
      <c r="B217" t="s">
        <v>2825</v>
      </c>
      <c r="C217">
        <v>1640</v>
      </c>
      <c r="D217" t="s">
        <v>352</v>
      </c>
      <c r="F217">
        <f t="shared" si="44"/>
        <v>0</v>
      </c>
      <c r="G217">
        <f t="shared" si="45"/>
        <v>0</v>
      </c>
      <c r="H217">
        <f t="shared" si="46"/>
        <v>0</v>
      </c>
      <c r="I217">
        <f t="shared" si="47"/>
        <v>0</v>
      </c>
      <c r="K217">
        <f t="shared" si="48"/>
        <v>0</v>
      </c>
      <c r="L217">
        <f t="shared" si="49"/>
        <v>0</v>
      </c>
      <c r="P217" t="s">
        <v>2826</v>
      </c>
      <c r="CB217">
        <f>K33</f>
        <v>0</v>
      </c>
      <c r="CC217">
        <f>-E59</f>
        <v>0</v>
      </c>
      <c r="CD217">
        <f>-H59</f>
        <v>0</v>
      </c>
      <c r="CE217">
        <f t="shared" si="50"/>
        <v>0</v>
      </c>
      <c r="CG217">
        <f>L33</f>
        <v>0</v>
      </c>
      <c r="CH217">
        <f>-F59</f>
        <v>0</v>
      </c>
      <c r="CI217">
        <f>-I59</f>
        <v>0</v>
      </c>
      <c r="CJ217">
        <f t="shared" si="51"/>
        <v>0</v>
      </c>
    </row>
    <row r="218" spans="2:88" x14ac:dyDescent="0.2">
      <c r="B218" t="s">
        <v>2827</v>
      </c>
      <c r="C218">
        <v>1650</v>
      </c>
      <c r="D218" t="s">
        <v>352</v>
      </c>
      <c r="F218">
        <f t="shared" si="44"/>
        <v>0</v>
      </c>
      <c r="G218">
        <f t="shared" si="45"/>
        <v>0</v>
      </c>
      <c r="H218">
        <f t="shared" si="46"/>
        <v>0</v>
      </c>
      <c r="I218">
        <f t="shared" si="47"/>
        <v>0</v>
      </c>
      <c r="K218">
        <f t="shared" si="48"/>
        <v>0</v>
      </c>
      <c r="L218">
        <f t="shared" si="49"/>
        <v>0</v>
      </c>
      <c r="P218" t="s">
        <v>2828</v>
      </c>
      <c r="CB218">
        <f>K35+K36</f>
        <v>0</v>
      </c>
      <c r="CC218">
        <f>-E62-E63</f>
        <v>0</v>
      </c>
      <c r="CD218">
        <f>-H62-H63</f>
        <v>0</v>
      </c>
      <c r="CE218">
        <f t="shared" si="50"/>
        <v>0</v>
      </c>
      <c r="CG218">
        <f>L35+L36</f>
        <v>0</v>
      </c>
      <c r="CH218">
        <f>-F62-F63</f>
        <v>0</v>
      </c>
      <c r="CI218">
        <f>-I62-I63</f>
        <v>0</v>
      </c>
      <c r="CJ218">
        <f t="shared" si="51"/>
        <v>0</v>
      </c>
    </row>
    <row r="219" spans="2:88" x14ac:dyDescent="0.2">
      <c r="B219" t="s">
        <v>2652</v>
      </c>
      <c r="C219">
        <v>1660</v>
      </c>
      <c r="D219" t="s">
        <v>352</v>
      </c>
      <c r="F219">
        <f t="shared" si="44"/>
        <v>0</v>
      </c>
      <c r="G219">
        <f t="shared" si="45"/>
        <v>0</v>
      </c>
      <c r="H219">
        <f t="shared" si="46"/>
        <v>0</v>
      </c>
      <c r="I219">
        <f t="shared" si="47"/>
        <v>0</v>
      </c>
      <c r="K219">
        <f t="shared" si="48"/>
        <v>0</v>
      </c>
      <c r="L219">
        <f t="shared" si="49"/>
        <v>0</v>
      </c>
      <c r="P219" t="s">
        <v>2829</v>
      </c>
      <c r="CB219">
        <f>K37</f>
        <v>0</v>
      </c>
      <c r="CC219">
        <f>-E64</f>
        <v>0</v>
      </c>
      <c r="CD219">
        <f>-H64</f>
        <v>0</v>
      </c>
      <c r="CE219">
        <f t="shared" si="50"/>
        <v>0</v>
      </c>
      <c r="CG219">
        <f>L37</f>
        <v>0</v>
      </c>
      <c r="CH219">
        <f>-F64</f>
        <v>0</v>
      </c>
      <c r="CI219">
        <f>-I64</f>
        <v>0</v>
      </c>
      <c r="CJ219">
        <f t="shared" si="51"/>
        <v>0</v>
      </c>
    </row>
    <row r="220" spans="2:88" x14ac:dyDescent="0.2">
      <c r="B220" t="s">
        <v>1243</v>
      </c>
      <c r="C220">
        <v>1670</v>
      </c>
      <c r="D220" t="s">
        <v>352</v>
      </c>
      <c r="F220">
        <f t="shared" si="44"/>
        <v>0</v>
      </c>
      <c r="G220">
        <f t="shared" si="45"/>
        <v>0</v>
      </c>
      <c r="H220">
        <f t="shared" si="46"/>
        <v>0</v>
      </c>
      <c r="I220">
        <f t="shared" si="47"/>
        <v>0</v>
      </c>
      <c r="K220">
        <f t="shared" si="48"/>
        <v>0</v>
      </c>
      <c r="L220">
        <f t="shared" si="49"/>
        <v>0</v>
      </c>
      <c r="P220" t="s">
        <v>2830</v>
      </c>
      <c r="CB220">
        <f>K42</f>
        <v>0</v>
      </c>
      <c r="CC220">
        <f>-E73-E70</f>
        <v>0</v>
      </c>
      <c r="CD220">
        <f>-H73-H70</f>
        <v>0</v>
      </c>
      <c r="CE220">
        <f t="shared" si="50"/>
        <v>0</v>
      </c>
      <c r="CG220">
        <f>L42</f>
        <v>0</v>
      </c>
      <c r="CH220">
        <f>-F73-F70</f>
        <v>0</v>
      </c>
      <c r="CI220">
        <f>-I73-I70</f>
        <v>0</v>
      </c>
      <c r="CJ220">
        <f t="shared" si="51"/>
        <v>0</v>
      </c>
    </row>
    <row r="221" spans="2:88" x14ac:dyDescent="0.2">
      <c r="B221" t="s">
        <v>2831</v>
      </c>
      <c r="C221">
        <v>1680</v>
      </c>
      <c r="F221">
        <f>SUM(F209:F220)</f>
        <v>0</v>
      </c>
      <c r="G221">
        <f>SUM(G209:G220)</f>
        <v>0</v>
      </c>
      <c r="H221">
        <f>SUM(H209:H220)</f>
        <v>0</v>
      </c>
      <c r="I221">
        <f>SUM(I209:I220)</f>
        <v>0</v>
      </c>
      <c r="K221">
        <f>SUM(K209:K220)</f>
        <v>0</v>
      </c>
      <c r="L221">
        <f>SUM(L209:L220)</f>
        <v>0</v>
      </c>
    </row>
    <row r="222" spans="2:88" x14ac:dyDescent="0.2">
      <c r="B222" t="s">
        <v>2832</v>
      </c>
      <c r="C222">
        <v>1690</v>
      </c>
      <c r="F222">
        <f>F188+F196+F206+F221</f>
        <v>0</v>
      </c>
      <c r="G222">
        <f>G188+G196+G206+G221</f>
        <v>0</v>
      </c>
      <c r="H222">
        <f>H188+H196+H206+H221</f>
        <v>0</v>
      </c>
      <c r="I222">
        <f>I188+I196+I206+I221</f>
        <v>0</v>
      </c>
      <c r="K222">
        <f>K188+K196+K206+K221</f>
        <v>0</v>
      </c>
      <c r="L222">
        <f>L188+L196+L206+L221</f>
        <v>0</v>
      </c>
      <c r="P222" t="s">
        <v>2833</v>
      </c>
      <c r="CB222">
        <f>SUM(CB188:CB221)</f>
        <v>0</v>
      </c>
      <c r="CC222">
        <f>SUM(CC188:CC221)</f>
        <v>0</v>
      </c>
      <c r="CD222">
        <f>SUM(CD188:CD221)</f>
        <v>0</v>
      </c>
      <c r="CE222">
        <f>SUM(CE188:CE221)</f>
        <v>0</v>
      </c>
      <c r="CG222">
        <f>SUM(CG188:CG221)</f>
        <v>0</v>
      </c>
      <c r="CH222">
        <f>SUM(CH188:CH221)</f>
        <v>0</v>
      </c>
      <c r="CI222">
        <f>SUM(CI188:CI221)</f>
        <v>0</v>
      </c>
      <c r="CJ222">
        <f>SUM(CJ188:CJ221)</f>
        <v>0</v>
      </c>
    </row>
    <row r="224" spans="2:88" x14ac:dyDescent="0.2">
      <c r="B224" t="s">
        <v>2834</v>
      </c>
      <c r="C224">
        <v>1700</v>
      </c>
      <c r="F224">
        <f>CB224+CG224</f>
        <v>0</v>
      </c>
      <c r="G224">
        <f>CC224+CH224</f>
        <v>0</v>
      </c>
      <c r="H224">
        <f>CD224+CI224</f>
        <v>0</v>
      </c>
      <c r="I224">
        <f>CE224+CJ224</f>
        <v>0</v>
      </c>
      <c r="K224">
        <f>CE224</f>
        <v>0</v>
      </c>
      <c r="L224">
        <f>CJ224</f>
        <v>0</v>
      </c>
      <c r="CG224">
        <f>-CG222</f>
        <v>0</v>
      </c>
      <c r="CH224">
        <f>-CH222</f>
        <v>0</v>
      </c>
      <c r="CI224">
        <f>-CI222</f>
        <v>0</v>
      </c>
      <c r="CJ224">
        <f>SUM(CG224:CI224)</f>
        <v>0</v>
      </c>
    </row>
    <row r="225" spans="2:88" x14ac:dyDescent="0.2">
      <c r="B225" t="s">
        <v>2835</v>
      </c>
      <c r="C225">
        <v>1710</v>
      </c>
      <c r="F225">
        <f>SUM(F222:F224)</f>
        <v>0</v>
      </c>
      <c r="G225">
        <f>SUM(G222:G224)</f>
        <v>0</v>
      </c>
      <c r="H225">
        <f>SUM(H222:H224)</f>
        <v>0</v>
      </c>
      <c r="I225">
        <f>SUM(I222:I224)</f>
        <v>0</v>
      </c>
      <c r="K225">
        <f>SUM(K222:K224)</f>
        <v>0</v>
      </c>
      <c r="L225">
        <f>SUM(L222:L224)</f>
        <v>0</v>
      </c>
      <c r="CB225">
        <f>SUM(CB222:CB224)</f>
        <v>0</v>
      </c>
      <c r="CC225">
        <f>SUM(CC222:CC224)</f>
        <v>0</v>
      </c>
      <c r="CD225">
        <f>SUM(CD222:CD224)</f>
        <v>0</v>
      </c>
      <c r="CE225">
        <f>SUM(CB225:CD225)</f>
        <v>0</v>
      </c>
      <c r="CG225">
        <f>SUM(CG222:CG224)</f>
        <v>0</v>
      </c>
      <c r="CH225">
        <f>SUM(CH222:CH224)</f>
        <v>0</v>
      </c>
      <c r="CI225">
        <f>SUM(CI222:CI224)</f>
        <v>0</v>
      </c>
      <c r="CJ225">
        <f>SUM(CG225:CI225)</f>
        <v>0</v>
      </c>
    </row>
    <row r="230" spans="2:88" x14ac:dyDescent="0.2">
      <c r="B230" t="s">
        <v>3644</v>
      </c>
      <c r="C230" t="s">
        <v>238</v>
      </c>
      <c r="D230" t="s">
        <v>2762</v>
      </c>
      <c r="F230" t="s">
        <v>340</v>
      </c>
      <c r="K230" t="s">
        <v>340</v>
      </c>
      <c r="P230" t="s">
        <v>937</v>
      </c>
    </row>
    <row r="231" spans="2:88" x14ac:dyDescent="0.2">
      <c r="B231" t="s">
        <v>2763</v>
      </c>
      <c r="C231" t="s">
        <v>242</v>
      </c>
      <c r="F231" t="s">
        <v>655</v>
      </c>
      <c r="G231" t="s">
        <v>2002</v>
      </c>
      <c r="H231" t="s">
        <v>2002</v>
      </c>
      <c r="I231" t="s">
        <v>340</v>
      </c>
      <c r="K231" t="s">
        <v>2764</v>
      </c>
      <c r="L231" t="s">
        <v>2765</v>
      </c>
      <c r="P231" t="s">
        <v>2608</v>
      </c>
      <c r="CC231" t="s">
        <v>2766</v>
      </c>
      <c r="CH231" t="s">
        <v>2767</v>
      </c>
    </row>
    <row r="232" spans="2:88" x14ac:dyDescent="0.2">
      <c r="G232" t="s">
        <v>1250</v>
      </c>
      <c r="H232" t="s">
        <v>2605</v>
      </c>
      <c r="CB232" t="s">
        <v>655</v>
      </c>
      <c r="CC232" t="s">
        <v>2768</v>
      </c>
      <c r="CD232" t="s">
        <v>2769</v>
      </c>
      <c r="CE232" t="s">
        <v>340</v>
      </c>
      <c r="CG232" t="s">
        <v>655</v>
      </c>
      <c r="CH232" t="s">
        <v>2768</v>
      </c>
      <c r="CI232" t="s">
        <v>2769</v>
      </c>
      <c r="CJ232" t="s">
        <v>340</v>
      </c>
    </row>
    <row r="233" spans="2:88" x14ac:dyDescent="0.2">
      <c r="F233" t="s">
        <v>243</v>
      </c>
      <c r="G233" t="s">
        <v>243</v>
      </c>
      <c r="H233" t="s">
        <v>243</v>
      </c>
      <c r="I233" t="s">
        <v>243</v>
      </c>
      <c r="K233" t="s">
        <v>243</v>
      </c>
      <c r="L233" t="s">
        <v>243</v>
      </c>
    </row>
    <row r="234" spans="2:88" x14ac:dyDescent="0.2">
      <c r="B234" t="s">
        <v>3645</v>
      </c>
      <c r="C234">
        <v>1720</v>
      </c>
      <c r="F234">
        <f>CB234+CG234</f>
        <v>0</v>
      </c>
      <c r="G234">
        <f>CC234+CH234</f>
        <v>0</v>
      </c>
      <c r="H234">
        <f>CD234+CI234</f>
        <v>0</v>
      </c>
      <c r="I234">
        <f>CE234+CJ234</f>
        <v>0</v>
      </c>
      <c r="K234">
        <f>CE234</f>
        <v>0</v>
      </c>
      <c r="L234">
        <f>CJ234</f>
        <v>0</v>
      </c>
      <c r="P234" t="s">
        <v>3646</v>
      </c>
      <c r="CB234">
        <f>K82</f>
        <v>0</v>
      </c>
      <c r="CC234">
        <f>-E117</f>
        <v>0</v>
      </c>
      <c r="CD234">
        <f>-H117</f>
        <v>0</v>
      </c>
      <c r="CE234">
        <f>SUM(CB234:CD234)</f>
        <v>0</v>
      </c>
      <c r="CG234">
        <f>L82</f>
        <v>0</v>
      </c>
      <c r="CH234">
        <f>-F117</f>
        <v>0</v>
      </c>
      <c r="CI234">
        <f>-I117</f>
        <v>0</v>
      </c>
      <c r="CJ234">
        <f>SUM(CG234:CI234)</f>
        <v>0</v>
      </c>
    </row>
    <row r="235" spans="2:88" x14ac:dyDescent="0.2">
      <c r="B235" t="s">
        <v>2772</v>
      </c>
    </row>
    <row r="236" spans="2:88" x14ac:dyDescent="0.2">
      <c r="B236" t="s">
        <v>2773</v>
      </c>
      <c r="C236">
        <v>1730</v>
      </c>
      <c r="D236" t="s">
        <v>2774</v>
      </c>
      <c r="F236">
        <f t="shared" ref="F236:I241" si="52">CB236+CG236</f>
        <v>0</v>
      </c>
      <c r="G236">
        <f t="shared" si="52"/>
        <v>0</v>
      </c>
      <c r="H236">
        <f t="shared" si="52"/>
        <v>0</v>
      </c>
      <c r="I236">
        <f t="shared" si="52"/>
        <v>0</v>
      </c>
      <c r="K236">
        <f t="shared" ref="K236:K241" si="53">CE236</f>
        <v>0</v>
      </c>
      <c r="L236">
        <f t="shared" ref="L236:L241" si="54">CJ236</f>
        <v>0</v>
      </c>
      <c r="P236" t="s">
        <v>3647</v>
      </c>
      <c r="CB236">
        <f>K84</f>
        <v>0</v>
      </c>
      <c r="CC236">
        <f>-E119</f>
        <v>0</v>
      </c>
      <c r="CD236">
        <f>-H119</f>
        <v>0</v>
      </c>
      <c r="CE236">
        <f t="shared" ref="CE236:CE241" si="55">SUM(CB236:CD236)</f>
        <v>0</v>
      </c>
      <c r="CG236">
        <f>L84</f>
        <v>0</v>
      </c>
      <c r="CH236">
        <f>-F119</f>
        <v>0</v>
      </c>
      <c r="CI236">
        <f>-I119</f>
        <v>0</v>
      </c>
      <c r="CJ236">
        <f t="shared" ref="CJ236:CJ241" si="56">SUM(CG236:CI236)</f>
        <v>0</v>
      </c>
    </row>
    <row r="237" spans="2:88" x14ac:dyDescent="0.2">
      <c r="B237" t="s">
        <v>2776</v>
      </c>
      <c r="C237">
        <v>1740</v>
      </c>
      <c r="D237" t="s">
        <v>2774</v>
      </c>
      <c r="F237">
        <f t="shared" si="52"/>
        <v>0</v>
      </c>
      <c r="G237">
        <f t="shared" si="52"/>
        <v>0</v>
      </c>
      <c r="H237">
        <f t="shared" si="52"/>
        <v>0</v>
      </c>
      <c r="I237">
        <f t="shared" si="52"/>
        <v>0</v>
      </c>
      <c r="K237">
        <f t="shared" si="53"/>
        <v>0</v>
      </c>
      <c r="L237">
        <f t="shared" si="54"/>
        <v>0</v>
      </c>
      <c r="P237" t="s">
        <v>3648</v>
      </c>
      <c r="CB237">
        <f>K85</f>
        <v>0</v>
      </c>
      <c r="CE237">
        <f t="shared" si="55"/>
        <v>0</v>
      </c>
      <c r="CG237">
        <f>L85</f>
        <v>0</v>
      </c>
      <c r="CJ237">
        <f t="shared" si="56"/>
        <v>0</v>
      </c>
    </row>
    <row r="238" spans="2:88" x14ac:dyDescent="0.2">
      <c r="B238" t="s">
        <v>2778</v>
      </c>
      <c r="C238">
        <v>1750</v>
      </c>
      <c r="D238" t="s">
        <v>2774</v>
      </c>
      <c r="F238">
        <f t="shared" si="52"/>
        <v>0</v>
      </c>
      <c r="G238">
        <f t="shared" si="52"/>
        <v>0</v>
      </c>
      <c r="H238">
        <f t="shared" si="52"/>
        <v>0</v>
      </c>
      <c r="I238">
        <f t="shared" si="52"/>
        <v>0</v>
      </c>
      <c r="K238">
        <f t="shared" si="53"/>
        <v>0</v>
      </c>
      <c r="L238">
        <f t="shared" si="54"/>
        <v>0</v>
      </c>
      <c r="P238" t="s">
        <v>3649</v>
      </c>
      <c r="CB238">
        <f>K86</f>
        <v>0</v>
      </c>
      <c r="CE238">
        <f t="shared" si="55"/>
        <v>0</v>
      </c>
      <c r="CG238">
        <f>L86</f>
        <v>0</v>
      </c>
      <c r="CJ238">
        <f t="shared" si="56"/>
        <v>0</v>
      </c>
    </row>
    <row r="239" spans="2:88" x14ac:dyDescent="0.2">
      <c r="B239" t="s">
        <v>2780</v>
      </c>
      <c r="C239">
        <v>1760</v>
      </c>
      <c r="D239" t="s">
        <v>2774</v>
      </c>
      <c r="F239">
        <f t="shared" si="52"/>
        <v>0</v>
      </c>
      <c r="G239">
        <f t="shared" si="52"/>
        <v>0</v>
      </c>
      <c r="H239">
        <f t="shared" si="52"/>
        <v>0</v>
      </c>
      <c r="I239">
        <f t="shared" si="52"/>
        <v>0</v>
      </c>
      <c r="K239">
        <f t="shared" si="53"/>
        <v>0</v>
      </c>
      <c r="L239">
        <f t="shared" si="54"/>
        <v>0</v>
      </c>
      <c r="P239" t="s">
        <v>3650</v>
      </c>
      <c r="CB239">
        <f>K87</f>
        <v>0</v>
      </c>
      <c r="CC239">
        <f>-E120</f>
        <v>0</v>
      </c>
      <c r="CD239">
        <f>-H120</f>
        <v>0</v>
      </c>
      <c r="CE239">
        <f t="shared" si="55"/>
        <v>0</v>
      </c>
      <c r="CG239">
        <f>L87</f>
        <v>0</v>
      </c>
      <c r="CH239">
        <f>-F120</f>
        <v>0</v>
      </c>
      <c r="CI239">
        <f>-I120</f>
        <v>0</v>
      </c>
      <c r="CJ239">
        <f t="shared" si="56"/>
        <v>0</v>
      </c>
    </row>
    <row r="240" spans="2:88" x14ac:dyDescent="0.2">
      <c r="B240" t="s">
        <v>2782</v>
      </c>
      <c r="C240">
        <v>1770</v>
      </c>
      <c r="D240" t="s">
        <v>2774</v>
      </c>
      <c r="F240">
        <f t="shared" si="52"/>
        <v>0</v>
      </c>
      <c r="G240">
        <f t="shared" si="52"/>
        <v>0</v>
      </c>
      <c r="H240">
        <f t="shared" si="52"/>
        <v>0</v>
      </c>
      <c r="I240">
        <f t="shared" si="52"/>
        <v>0</v>
      </c>
      <c r="K240">
        <f t="shared" si="53"/>
        <v>0</v>
      </c>
      <c r="L240">
        <f t="shared" si="54"/>
        <v>0</v>
      </c>
      <c r="P240" t="s">
        <v>3651</v>
      </c>
      <c r="CB240">
        <f>K88</f>
        <v>0</v>
      </c>
      <c r="CC240">
        <f>-E121</f>
        <v>0</v>
      </c>
      <c r="CD240">
        <f>-H121</f>
        <v>0</v>
      </c>
      <c r="CE240">
        <f t="shared" si="55"/>
        <v>0</v>
      </c>
      <c r="CG240">
        <f>L88</f>
        <v>0</v>
      </c>
      <c r="CH240">
        <f>-F121</f>
        <v>0</v>
      </c>
      <c r="CI240">
        <f>-I121</f>
        <v>0</v>
      </c>
      <c r="CJ240">
        <f t="shared" si="56"/>
        <v>0</v>
      </c>
    </row>
    <row r="241" spans="2:88" x14ac:dyDescent="0.2">
      <c r="B241" t="s">
        <v>2784</v>
      </c>
      <c r="C241">
        <v>1780</v>
      </c>
      <c r="F241">
        <f t="shared" si="52"/>
        <v>0</v>
      </c>
      <c r="G241">
        <f t="shared" si="52"/>
        <v>0</v>
      </c>
      <c r="H241">
        <f t="shared" si="52"/>
        <v>0</v>
      </c>
      <c r="I241">
        <f t="shared" si="52"/>
        <v>0</v>
      </c>
      <c r="K241">
        <f t="shared" si="53"/>
        <v>0</v>
      </c>
      <c r="L241">
        <f t="shared" si="54"/>
        <v>0</v>
      </c>
      <c r="P241" t="s">
        <v>3652</v>
      </c>
      <c r="CB241">
        <f>K90</f>
        <v>0</v>
      </c>
      <c r="CC241">
        <f>-E123</f>
        <v>0</v>
      </c>
      <c r="CD241">
        <f>-H123</f>
        <v>0</v>
      </c>
      <c r="CE241">
        <f t="shared" si="55"/>
        <v>0</v>
      </c>
      <c r="CG241">
        <f>L90</f>
        <v>0</v>
      </c>
      <c r="CH241">
        <f>-F123</f>
        <v>0</v>
      </c>
      <c r="CI241">
        <f>-I123</f>
        <v>0</v>
      </c>
      <c r="CJ241">
        <f t="shared" si="56"/>
        <v>0</v>
      </c>
    </row>
    <row r="242" spans="2:88" x14ac:dyDescent="0.2">
      <c r="B242" t="s">
        <v>3653</v>
      </c>
      <c r="C242">
        <v>1790</v>
      </c>
      <c r="F242">
        <f>SUM(F236:F241)</f>
        <v>0</v>
      </c>
      <c r="G242">
        <f>SUM(G236:G241)</f>
        <v>0</v>
      </c>
      <c r="H242">
        <f>SUM(H236:H241)</f>
        <v>0</v>
      </c>
      <c r="I242">
        <f>SUM(I236:I241)</f>
        <v>0</v>
      </c>
      <c r="K242">
        <f>SUM(K236:K241)</f>
        <v>0</v>
      </c>
      <c r="L242">
        <f>SUM(L236:L241)</f>
        <v>0</v>
      </c>
    </row>
    <row r="244" spans="2:88" x14ac:dyDescent="0.2">
      <c r="B244" t="s">
        <v>3654</v>
      </c>
    </row>
    <row r="245" spans="2:88" x14ac:dyDescent="0.2">
      <c r="B245" t="s">
        <v>3642</v>
      </c>
      <c r="C245">
        <v>1800</v>
      </c>
      <c r="D245" t="s">
        <v>2789</v>
      </c>
      <c r="F245">
        <f t="shared" ref="F245:I251" si="57">CB245+CG245</f>
        <v>0</v>
      </c>
      <c r="G245">
        <f t="shared" si="57"/>
        <v>0</v>
      </c>
      <c r="H245">
        <f t="shared" si="57"/>
        <v>0</v>
      </c>
      <c r="I245">
        <f t="shared" si="57"/>
        <v>0</v>
      </c>
      <c r="K245">
        <f t="shared" ref="K245:K251" si="58">CE245</f>
        <v>0</v>
      </c>
      <c r="L245">
        <f t="shared" ref="L245:L251" si="59">CJ245</f>
        <v>0</v>
      </c>
      <c r="P245" t="s">
        <v>3655</v>
      </c>
      <c r="CB245">
        <f>K89</f>
        <v>0</v>
      </c>
      <c r="CE245">
        <f t="shared" ref="CE245:CE251" si="60">SUM(CB245:CD245)</f>
        <v>0</v>
      </c>
      <c r="CG245">
        <f>L89</f>
        <v>0</v>
      </c>
      <c r="CJ245">
        <f t="shared" ref="CJ245:CJ251" si="61">SUM(CG245:CI245)</f>
        <v>0</v>
      </c>
    </row>
    <row r="246" spans="2:88" x14ac:dyDescent="0.2">
      <c r="B246" t="s">
        <v>3643</v>
      </c>
      <c r="C246">
        <v>1810</v>
      </c>
      <c r="D246" t="s">
        <v>2789</v>
      </c>
      <c r="F246">
        <f t="shared" si="57"/>
        <v>0</v>
      </c>
      <c r="G246">
        <f t="shared" si="57"/>
        <v>0</v>
      </c>
      <c r="H246">
        <f t="shared" si="57"/>
        <v>0</v>
      </c>
      <c r="I246">
        <f t="shared" si="57"/>
        <v>0</v>
      </c>
      <c r="K246">
        <f t="shared" si="58"/>
        <v>0</v>
      </c>
      <c r="L246">
        <f t="shared" si="59"/>
        <v>0</v>
      </c>
      <c r="P246" t="s">
        <v>3656</v>
      </c>
      <c r="CC246">
        <f>-E122</f>
        <v>0</v>
      </c>
      <c r="CD246">
        <f>-H122</f>
        <v>0</v>
      </c>
      <c r="CE246">
        <f t="shared" si="60"/>
        <v>0</v>
      </c>
      <c r="CH246">
        <f>-F122</f>
        <v>0</v>
      </c>
      <c r="CI246">
        <f>-I122</f>
        <v>0</v>
      </c>
      <c r="CJ246">
        <f t="shared" si="61"/>
        <v>0</v>
      </c>
    </row>
    <row r="247" spans="2:88" x14ac:dyDescent="0.2">
      <c r="B247" t="s">
        <v>2793</v>
      </c>
      <c r="C247">
        <v>1820</v>
      </c>
      <c r="D247" t="s">
        <v>2789</v>
      </c>
      <c r="F247">
        <f t="shared" si="57"/>
        <v>0</v>
      </c>
      <c r="G247">
        <f t="shared" si="57"/>
        <v>0</v>
      </c>
      <c r="H247">
        <f t="shared" si="57"/>
        <v>0</v>
      </c>
      <c r="I247">
        <f t="shared" si="57"/>
        <v>0</v>
      </c>
      <c r="K247">
        <f t="shared" si="58"/>
        <v>0</v>
      </c>
      <c r="L247">
        <f t="shared" si="59"/>
        <v>0</v>
      </c>
      <c r="P247" t="s">
        <v>3657</v>
      </c>
      <c r="CB247">
        <f>K97</f>
        <v>0</v>
      </c>
      <c r="CC247">
        <f>-E138-E139</f>
        <v>0</v>
      </c>
      <c r="CD247">
        <f>-H138-H139</f>
        <v>0</v>
      </c>
      <c r="CE247">
        <f t="shared" si="60"/>
        <v>0</v>
      </c>
      <c r="CG247">
        <f>L97</f>
        <v>0</v>
      </c>
      <c r="CH247">
        <f>-F138-F139</f>
        <v>0</v>
      </c>
      <c r="CI247">
        <f>-I138-I139</f>
        <v>0</v>
      </c>
      <c r="CJ247">
        <f t="shared" si="61"/>
        <v>0</v>
      </c>
    </row>
    <row r="248" spans="2:88" x14ac:dyDescent="0.2">
      <c r="B248" t="s">
        <v>2703</v>
      </c>
      <c r="C248">
        <v>1830</v>
      </c>
      <c r="D248" t="s">
        <v>2789</v>
      </c>
      <c r="F248">
        <f t="shared" si="57"/>
        <v>0</v>
      </c>
      <c r="G248">
        <f t="shared" si="57"/>
        <v>0</v>
      </c>
      <c r="H248">
        <f t="shared" si="57"/>
        <v>0</v>
      </c>
      <c r="I248">
        <f t="shared" si="57"/>
        <v>0</v>
      </c>
      <c r="K248">
        <f t="shared" si="58"/>
        <v>0</v>
      </c>
      <c r="L248">
        <f t="shared" si="59"/>
        <v>0</v>
      </c>
      <c r="P248" t="s">
        <v>3658</v>
      </c>
      <c r="CC248">
        <f>-E137</f>
        <v>0</v>
      </c>
      <c r="CD248">
        <f>-H137</f>
        <v>0</v>
      </c>
      <c r="CE248">
        <f t="shared" si="60"/>
        <v>0</v>
      </c>
      <c r="CH248">
        <f>-F137</f>
        <v>0</v>
      </c>
      <c r="CI248">
        <f>-I137</f>
        <v>0</v>
      </c>
      <c r="CJ248">
        <f t="shared" si="61"/>
        <v>0</v>
      </c>
    </row>
    <row r="249" spans="2:88" x14ac:dyDescent="0.2">
      <c r="B249" t="s">
        <v>3589</v>
      </c>
      <c r="C249">
        <v>1840</v>
      </c>
      <c r="D249" t="s">
        <v>2789</v>
      </c>
      <c r="F249">
        <f t="shared" si="57"/>
        <v>0</v>
      </c>
      <c r="G249">
        <f t="shared" si="57"/>
        <v>0</v>
      </c>
      <c r="H249">
        <f t="shared" si="57"/>
        <v>0</v>
      </c>
      <c r="I249">
        <f t="shared" si="57"/>
        <v>0</v>
      </c>
      <c r="K249">
        <f t="shared" si="58"/>
        <v>0</v>
      </c>
      <c r="L249">
        <f t="shared" si="59"/>
        <v>0</v>
      </c>
      <c r="P249" t="s">
        <v>3659</v>
      </c>
      <c r="CB249">
        <f>K94</f>
        <v>0</v>
      </c>
      <c r="CE249">
        <f t="shared" si="60"/>
        <v>0</v>
      </c>
      <c r="CG249">
        <f>L94</f>
        <v>0</v>
      </c>
      <c r="CJ249">
        <f t="shared" si="61"/>
        <v>0</v>
      </c>
    </row>
    <row r="250" spans="2:88" x14ac:dyDescent="0.2">
      <c r="B250" t="s">
        <v>2798</v>
      </c>
      <c r="C250">
        <v>1850</v>
      </c>
      <c r="D250" t="s">
        <v>2789</v>
      </c>
      <c r="F250">
        <f t="shared" si="57"/>
        <v>0</v>
      </c>
      <c r="G250">
        <f t="shared" si="57"/>
        <v>0</v>
      </c>
      <c r="H250">
        <f t="shared" si="57"/>
        <v>0</v>
      </c>
      <c r="I250">
        <f t="shared" si="57"/>
        <v>0</v>
      </c>
      <c r="K250">
        <f t="shared" si="58"/>
        <v>0</v>
      </c>
      <c r="L250">
        <f t="shared" si="59"/>
        <v>0</v>
      </c>
      <c r="P250" t="s">
        <v>3660</v>
      </c>
      <c r="CB250">
        <f>K95+K96</f>
        <v>0</v>
      </c>
      <c r="CC250">
        <f>-E136</f>
        <v>0</v>
      </c>
      <c r="CD250">
        <f>-H136</f>
        <v>0</v>
      </c>
      <c r="CE250">
        <f t="shared" si="60"/>
        <v>0</v>
      </c>
      <c r="CG250">
        <f>L95+L96</f>
        <v>0</v>
      </c>
      <c r="CH250">
        <f>-F136</f>
        <v>0</v>
      </c>
      <c r="CI250">
        <f>-I136</f>
        <v>0</v>
      </c>
      <c r="CJ250">
        <f t="shared" si="61"/>
        <v>0</v>
      </c>
    </row>
    <row r="251" spans="2:88" x14ac:dyDescent="0.2">
      <c r="B251" t="s">
        <v>2800</v>
      </c>
      <c r="C251">
        <v>1860</v>
      </c>
      <c r="D251" t="s">
        <v>2789</v>
      </c>
      <c r="F251">
        <f t="shared" si="57"/>
        <v>0</v>
      </c>
      <c r="G251">
        <f t="shared" si="57"/>
        <v>0</v>
      </c>
      <c r="H251">
        <f t="shared" si="57"/>
        <v>0</v>
      </c>
      <c r="I251">
        <f t="shared" si="57"/>
        <v>0</v>
      </c>
      <c r="K251">
        <f t="shared" si="58"/>
        <v>0</v>
      </c>
      <c r="L251">
        <f t="shared" si="59"/>
        <v>0</v>
      </c>
      <c r="P251" t="s">
        <v>3661</v>
      </c>
      <c r="CB251">
        <f>K109</f>
        <v>0</v>
      </c>
      <c r="CE251">
        <f t="shared" si="60"/>
        <v>0</v>
      </c>
      <c r="CG251">
        <f>L109</f>
        <v>0</v>
      </c>
      <c r="CJ251">
        <f t="shared" si="61"/>
        <v>0</v>
      </c>
    </row>
    <row r="252" spans="2:88" x14ac:dyDescent="0.2">
      <c r="B252" t="s">
        <v>3654</v>
      </c>
      <c r="C252">
        <v>1870</v>
      </c>
      <c r="F252">
        <f>SUM(F245:F251)</f>
        <v>0</v>
      </c>
      <c r="G252">
        <f>SUM(G245:G251)</f>
        <v>0</v>
      </c>
      <c r="H252">
        <f>SUM(H245:H251)</f>
        <v>0</v>
      </c>
      <c r="I252">
        <f>SUM(I245:I251)</f>
        <v>0</v>
      </c>
      <c r="K252">
        <f>SUM(K245:K251)</f>
        <v>0</v>
      </c>
      <c r="L252">
        <f>SUM(L245:L251)</f>
        <v>0</v>
      </c>
    </row>
    <row r="254" spans="2:88" x14ac:dyDescent="0.2">
      <c r="B254" t="s">
        <v>3662</v>
      </c>
    </row>
    <row r="255" spans="2:88" x14ac:dyDescent="0.2">
      <c r="B255" t="s">
        <v>3663</v>
      </c>
      <c r="C255">
        <v>1880</v>
      </c>
      <c r="D255" t="s">
        <v>2804</v>
      </c>
      <c r="F255">
        <f t="shared" ref="F255:F266" si="62">CB255+CG255</f>
        <v>0</v>
      </c>
      <c r="G255">
        <f t="shared" ref="G255:G266" si="63">CC255+CH255</f>
        <v>0</v>
      </c>
      <c r="H255">
        <f t="shared" ref="H255:H266" si="64">CD255+CI255</f>
        <v>0</v>
      </c>
      <c r="I255">
        <f t="shared" ref="I255:I266" si="65">CE255+CJ255</f>
        <v>0</v>
      </c>
      <c r="K255">
        <f t="shared" ref="K255:K266" si="66">CE255</f>
        <v>0</v>
      </c>
      <c r="L255">
        <f t="shared" ref="L255:L266" si="67">CJ255</f>
        <v>0</v>
      </c>
      <c r="P255" t="s">
        <v>3664</v>
      </c>
      <c r="CB255">
        <f>K93</f>
        <v>0</v>
      </c>
      <c r="CC255">
        <f>-E126-E127-E128</f>
        <v>0</v>
      </c>
      <c r="CD255">
        <f>-H126-H127-H128</f>
        <v>0</v>
      </c>
      <c r="CE255">
        <f t="shared" ref="CE255:CE266" si="68">SUM(CB255:CD255)</f>
        <v>0</v>
      </c>
      <c r="CG255">
        <f>L93</f>
        <v>0</v>
      </c>
      <c r="CH255">
        <f>-F126-F127-F128</f>
        <v>0</v>
      </c>
      <c r="CI255">
        <f>-I126-I127-I128</f>
        <v>0</v>
      </c>
      <c r="CJ255">
        <f t="shared" ref="CJ255:CJ266" si="69">SUM(CG255:CI255)</f>
        <v>0</v>
      </c>
    </row>
    <row r="256" spans="2:88" x14ac:dyDescent="0.2">
      <c r="B256" t="s">
        <v>2806</v>
      </c>
      <c r="C256">
        <v>1890</v>
      </c>
      <c r="D256" t="s">
        <v>2807</v>
      </c>
      <c r="F256">
        <f t="shared" si="62"/>
        <v>0</v>
      </c>
      <c r="G256">
        <f t="shared" si="63"/>
        <v>0</v>
      </c>
      <c r="H256">
        <f t="shared" si="64"/>
        <v>0</v>
      </c>
      <c r="I256">
        <f t="shared" si="65"/>
        <v>0</v>
      </c>
      <c r="K256">
        <f t="shared" si="66"/>
        <v>0</v>
      </c>
      <c r="L256">
        <f t="shared" si="67"/>
        <v>0</v>
      </c>
      <c r="P256" t="s">
        <v>3665</v>
      </c>
      <c r="CB256">
        <f>K99</f>
        <v>0</v>
      </c>
      <c r="CC256">
        <f>-E131</f>
        <v>0</v>
      </c>
      <c r="CD256">
        <f>-H131</f>
        <v>0</v>
      </c>
      <c r="CE256">
        <f t="shared" si="68"/>
        <v>0</v>
      </c>
      <c r="CG256">
        <f>L99</f>
        <v>0</v>
      </c>
      <c r="CH256">
        <f>-F131</f>
        <v>0</v>
      </c>
      <c r="CI256">
        <f>-I131</f>
        <v>0</v>
      </c>
      <c r="CJ256">
        <f t="shared" si="69"/>
        <v>0</v>
      </c>
    </row>
    <row r="257" spans="2:88" x14ac:dyDescent="0.2">
      <c r="B257" t="s">
        <v>2809</v>
      </c>
      <c r="C257">
        <v>1900</v>
      </c>
      <c r="D257" t="s">
        <v>2810</v>
      </c>
      <c r="F257">
        <f t="shared" si="62"/>
        <v>0</v>
      </c>
      <c r="G257">
        <f t="shared" si="63"/>
        <v>0</v>
      </c>
      <c r="H257">
        <f t="shared" si="64"/>
        <v>0</v>
      </c>
      <c r="I257">
        <f t="shared" si="65"/>
        <v>0</v>
      </c>
      <c r="K257">
        <f t="shared" si="66"/>
        <v>0</v>
      </c>
      <c r="L257">
        <f t="shared" si="67"/>
        <v>0</v>
      </c>
      <c r="P257" t="s">
        <v>3666</v>
      </c>
      <c r="CB257">
        <f>K100+K101+K102+K103</f>
        <v>0</v>
      </c>
      <c r="CE257">
        <f t="shared" si="68"/>
        <v>0</v>
      </c>
      <c r="CG257">
        <f>L100+L101+L102+L103</f>
        <v>0</v>
      </c>
      <c r="CJ257">
        <f t="shared" si="69"/>
        <v>0</v>
      </c>
    </row>
    <row r="258" spans="2:88" x14ac:dyDescent="0.2">
      <c r="B258" t="s">
        <v>2812</v>
      </c>
      <c r="C258">
        <v>1910</v>
      </c>
      <c r="D258" t="s">
        <v>2813</v>
      </c>
      <c r="F258">
        <f t="shared" si="62"/>
        <v>0</v>
      </c>
      <c r="G258">
        <f t="shared" si="63"/>
        <v>0</v>
      </c>
      <c r="H258">
        <f t="shared" si="64"/>
        <v>0</v>
      </c>
      <c r="I258">
        <f t="shared" si="65"/>
        <v>0</v>
      </c>
      <c r="K258">
        <f t="shared" si="66"/>
        <v>0</v>
      </c>
      <c r="L258">
        <f t="shared" si="67"/>
        <v>0</v>
      </c>
      <c r="P258" t="s">
        <v>3667</v>
      </c>
      <c r="CB258">
        <f>K105</f>
        <v>0</v>
      </c>
      <c r="CC258">
        <f>-E135</f>
        <v>0</v>
      </c>
      <c r="CD258">
        <f>-H135</f>
        <v>0</v>
      </c>
      <c r="CE258">
        <f t="shared" si="68"/>
        <v>0</v>
      </c>
      <c r="CG258">
        <f>L105</f>
        <v>0</v>
      </c>
      <c r="CH258">
        <f>-F135</f>
        <v>0</v>
      </c>
      <c r="CI258">
        <f>-I135</f>
        <v>0</v>
      </c>
      <c r="CJ258">
        <f t="shared" si="69"/>
        <v>0</v>
      </c>
    </row>
    <row r="259" spans="2:88" x14ac:dyDescent="0.2">
      <c r="B259" t="s">
        <v>2815</v>
      </c>
      <c r="C259">
        <v>1920</v>
      </c>
      <c r="D259" t="s">
        <v>2816</v>
      </c>
      <c r="F259">
        <f t="shared" si="62"/>
        <v>0</v>
      </c>
      <c r="G259">
        <f t="shared" si="63"/>
        <v>0</v>
      </c>
      <c r="H259">
        <f t="shared" si="64"/>
        <v>0</v>
      </c>
      <c r="I259">
        <f t="shared" si="65"/>
        <v>0</v>
      </c>
      <c r="K259">
        <f t="shared" si="66"/>
        <v>0</v>
      </c>
      <c r="L259">
        <f t="shared" si="67"/>
        <v>0</v>
      </c>
      <c r="P259" t="s">
        <v>3668</v>
      </c>
      <c r="CB259">
        <f>K110</f>
        <v>0</v>
      </c>
      <c r="CC259">
        <f>-E141</f>
        <v>0</v>
      </c>
      <c r="CD259">
        <f>-H141</f>
        <v>0</v>
      </c>
      <c r="CE259">
        <f t="shared" si="68"/>
        <v>0</v>
      </c>
      <c r="CG259">
        <f>L110</f>
        <v>0</v>
      </c>
      <c r="CH259">
        <f>-F141</f>
        <v>0</v>
      </c>
      <c r="CI259">
        <f>-I141</f>
        <v>0</v>
      </c>
      <c r="CJ259">
        <f t="shared" si="69"/>
        <v>0</v>
      </c>
    </row>
    <row r="260" spans="2:88" x14ac:dyDescent="0.2">
      <c r="B260" t="s">
        <v>2818</v>
      </c>
      <c r="C260">
        <v>1930</v>
      </c>
      <c r="D260" t="s">
        <v>2819</v>
      </c>
      <c r="F260">
        <f t="shared" si="62"/>
        <v>0</v>
      </c>
      <c r="G260">
        <f t="shared" si="63"/>
        <v>0</v>
      </c>
      <c r="H260">
        <f t="shared" si="64"/>
        <v>0</v>
      </c>
      <c r="I260">
        <f t="shared" si="65"/>
        <v>0</v>
      </c>
      <c r="K260">
        <f t="shared" si="66"/>
        <v>0</v>
      </c>
      <c r="L260">
        <f t="shared" si="67"/>
        <v>0</v>
      </c>
      <c r="P260" t="s">
        <v>3669</v>
      </c>
      <c r="CB260">
        <f>K98</f>
        <v>0</v>
      </c>
      <c r="CC260">
        <f>-E130</f>
        <v>0</v>
      </c>
      <c r="CD260">
        <f>-H130</f>
        <v>0</v>
      </c>
      <c r="CE260">
        <f t="shared" si="68"/>
        <v>0</v>
      </c>
      <c r="CG260">
        <f>L98</f>
        <v>0</v>
      </c>
      <c r="CH260">
        <f>-F130</f>
        <v>0</v>
      </c>
      <c r="CI260">
        <f>-I130</f>
        <v>0</v>
      </c>
      <c r="CJ260">
        <f t="shared" si="69"/>
        <v>0</v>
      </c>
    </row>
    <row r="261" spans="2:88" x14ac:dyDescent="0.2">
      <c r="B261" t="s">
        <v>2821</v>
      </c>
      <c r="C261">
        <v>1940</v>
      </c>
      <c r="D261" t="s">
        <v>2822</v>
      </c>
      <c r="F261">
        <f t="shared" si="62"/>
        <v>0</v>
      </c>
      <c r="G261">
        <f t="shared" si="63"/>
        <v>0</v>
      </c>
      <c r="H261">
        <f t="shared" si="64"/>
        <v>0</v>
      </c>
      <c r="I261">
        <f t="shared" si="65"/>
        <v>0</v>
      </c>
      <c r="K261">
        <f t="shared" si="66"/>
        <v>0</v>
      </c>
      <c r="L261">
        <f t="shared" si="67"/>
        <v>0</v>
      </c>
      <c r="P261" t="s">
        <v>3670</v>
      </c>
      <c r="CB261">
        <f>K112</f>
        <v>0</v>
      </c>
      <c r="CC261">
        <f>-E142</f>
        <v>0</v>
      </c>
      <c r="CD261">
        <f>-H142</f>
        <v>0</v>
      </c>
      <c r="CE261">
        <f t="shared" si="68"/>
        <v>0</v>
      </c>
      <c r="CG261">
        <f>L112</f>
        <v>0</v>
      </c>
      <c r="CH261">
        <f>-F142</f>
        <v>0</v>
      </c>
      <c r="CI261">
        <f>-I142</f>
        <v>0</v>
      </c>
      <c r="CJ261">
        <f t="shared" si="69"/>
        <v>0</v>
      </c>
    </row>
    <row r="262" spans="2:88" x14ac:dyDescent="0.2">
      <c r="B262" t="s">
        <v>2776</v>
      </c>
      <c r="C262">
        <v>1950</v>
      </c>
      <c r="D262" t="s">
        <v>2776</v>
      </c>
      <c r="F262">
        <f t="shared" si="62"/>
        <v>0</v>
      </c>
      <c r="G262">
        <f t="shared" si="63"/>
        <v>0</v>
      </c>
      <c r="H262">
        <f t="shared" si="64"/>
        <v>0</v>
      </c>
      <c r="I262">
        <f t="shared" si="65"/>
        <v>0</v>
      </c>
      <c r="K262">
        <f t="shared" si="66"/>
        <v>0</v>
      </c>
      <c r="L262">
        <f t="shared" si="67"/>
        <v>0</v>
      </c>
      <c r="P262" t="s">
        <v>3671</v>
      </c>
      <c r="CB262">
        <f>K111</f>
        <v>0</v>
      </c>
      <c r="CE262">
        <f t="shared" si="68"/>
        <v>0</v>
      </c>
      <c r="CG262">
        <f>L111</f>
        <v>0</v>
      </c>
      <c r="CJ262">
        <f t="shared" si="69"/>
        <v>0</v>
      </c>
    </row>
    <row r="263" spans="2:88" x14ac:dyDescent="0.2">
      <c r="B263" t="s">
        <v>2825</v>
      </c>
      <c r="C263">
        <v>1960</v>
      </c>
      <c r="D263" t="s">
        <v>352</v>
      </c>
      <c r="F263">
        <f t="shared" si="62"/>
        <v>0</v>
      </c>
      <c r="G263">
        <f t="shared" si="63"/>
        <v>0</v>
      </c>
      <c r="H263">
        <f t="shared" si="64"/>
        <v>0</v>
      </c>
      <c r="I263">
        <f t="shared" si="65"/>
        <v>0</v>
      </c>
      <c r="K263">
        <f t="shared" si="66"/>
        <v>0</v>
      </c>
      <c r="L263">
        <f t="shared" si="67"/>
        <v>0</v>
      </c>
      <c r="P263" t="s">
        <v>3672</v>
      </c>
      <c r="CB263">
        <f>K104</f>
        <v>0</v>
      </c>
      <c r="CC263">
        <f>-E129</f>
        <v>0</v>
      </c>
      <c r="CD263">
        <f>-H129</f>
        <v>0</v>
      </c>
      <c r="CE263">
        <f t="shared" si="68"/>
        <v>0</v>
      </c>
      <c r="CG263">
        <f>L104</f>
        <v>0</v>
      </c>
      <c r="CH263">
        <f>-F129</f>
        <v>0</v>
      </c>
      <c r="CI263">
        <f>-I129</f>
        <v>0</v>
      </c>
      <c r="CJ263">
        <f t="shared" si="69"/>
        <v>0</v>
      </c>
    </row>
    <row r="264" spans="2:88" x14ac:dyDescent="0.2">
      <c r="B264" t="s">
        <v>2827</v>
      </c>
      <c r="C264">
        <v>1970</v>
      </c>
      <c r="D264" t="s">
        <v>352</v>
      </c>
      <c r="F264">
        <f t="shared" si="62"/>
        <v>0</v>
      </c>
      <c r="G264">
        <f t="shared" si="63"/>
        <v>0</v>
      </c>
      <c r="H264">
        <f t="shared" si="64"/>
        <v>0</v>
      </c>
      <c r="I264">
        <f t="shared" si="65"/>
        <v>0</v>
      </c>
      <c r="K264">
        <f t="shared" si="66"/>
        <v>0</v>
      </c>
      <c r="L264">
        <f t="shared" si="67"/>
        <v>0</v>
      </c>
      <c r="P264" t="s">
        <v>3673</v>
      </c>
      <c r="CB264">
        <f>K106+K107</f>
        <v>0</v>
      </c>
      <c r="CC264">
        <f>-E132-E133</f>
        <v>0</v>
      </c>
      <c r="CD264">
        <f>-H132-H133</f>
        <v>0</v>
      </c>
      <c r="CE264">
        <f t="shared" si="68"/>
        <v>0</v>
      </c>
      <c r="CG264">
        <f>L106+L107</f>
        <v>0</v>
      </c>
      <c r="CH264">
        <f>-F132-F133</f>
        <v>0</v>
      </c>
      <c r="CI264">
        <f>-I132-I133</f>
        <v>0</v>
      </c>
      <c r="CJ264">
        <f t="shared" si="69"/>
        <v>0</v>
      </c>
    </row>
    <row r="265" spans="2:88" x14ac:dyDescent="0.2">
      <c r="B265" t="s">
        <v>2652</v>
      </c>
      <c r="C265">
        <v>1980</v>
      </c>
      <c r="D265" t="s">
        <v>352</v>
      </c>
      <c r="F265">
        <f t="shared" si="62"/>
        <v>0</v>
      </c>
      <c r="G265">
        <f t="shared" si="63"/>
        <v>0</v>
      </c>
      <c r="H265">
        <f t="shared" si="64"/>
        <v>0</v>
      </c>
      <c r="I265">
        <f t="shared" si="65"/>
        <v>0</v>
      </c>
      <c r="K265">
        <f t="shared" si="66"/>
        <v>0</v>
      </c>
      <c r="L265">
        <f t="shared" si="67"/>
        <v>0</v>
      </c>
      <c r="P265" t="s">
        <v>3674</v>
      </c>
      <c r="CB265">
        <f>K108</f>
        <v>0</v>
      </c>
      <c r="CC265">
        <f>-E134</f>
        <v>0</v>
      </c>
      <c r="CD265">
        <f>-H134</f>
        <v>0</v>
      </c>
      <c r="CE265">
        <f t="shared" si="68"/>
        <v>0</v>
      </c>
      <c r="CG265">
        <f>L108</f>
        <v>0</v>
      </c>
      <c r="CH265">
        <f>-F134</f>
        <v>0</v>
      </c>
      <c r="CI265">
        <f>-I134</f>
        <v>0</v>
      </c>
      <c r="CJ265">
        <f t="shared" si="69"/>
        <v>0</v>
      </c>
    </row>
    <row r="266" spans="2:88" x14ac:dyDescent="0.2">
      <c r="B266" t="s">
        <v>1243</v>
      </c>
      <c r="C266">
        <v>1990</v>
      </c>
      <c r="D266" t="s">
        <v>352</v>
      </c>
      <c r="F266">
        <f t="shared" si="62"/>
        <v>0</v>
      </c>
      <c r="G266">
        <f t="shared" si="63"/>
        <v>0</v>
      </c>
      <c r="H266">
        <f t="shared" si="64"/>
        <v>0</v>
      </c>
      <c r="I266">
        <f t="shared" si="65"/>
        <v>0</v>
      </c>
      <c r="K266">
        <f t="shared" si="66"/>
        <v>0</v>
      </c>
      <c r="L266">
        <f t="shared" si="67"/>
        <v>0</v>
      </c>
      <c r="P266" t="s">
        <v>3675</v>
      </c>
      <c r="CB266">
        <f>K113</f>
        <v>0</v>
      </c>
      <c r="CC266">
        <f>-E143-E140</f>
        <v>0</v>
      </c>
      <c r="CD266">
        <f>-H143-H140</f>
        <v>0</v>
      </c>
      <c r="CE266">
        <f t="shared" si="68"/>
        <v>0</v>
      </c>
      <c r="CG266">
        <f>L113</f>
        <v>0</v>
      </c>
      <c r="CH266">
        <f>-F143-F140</f>
        <v>0</v>
      </c>
      <c r="CI266">
        <f>-I143-I140</f>
        <v>0</v>
      </c>
      <c r="CJ266">
        <f t="shared" si="69"/>
        <v>0</v>
      </c>
    </row>
    <row r="267" spans="2:88" x14ac:dyDescent="0.2">
      <c r="B267" t="s">
        <v>3676</v>
      </c>
      <c r="C267">
        <v>2000</v>
      </c>
      <c r="F267">
        <f>SUM(F255:F266)</f>
        <v>0</v>
      </c>
      <c r="G267">
        <f>SUM(G255:G266)</f>
        <v>0</v>
      </c>
      <c r="H267">
        <f>SUM(H255:H266)</f>
        <v>0</v>
      </c>
      <c r="I267">
        <f>SUM(I255:I266)</f>
        <v>0</v>
      </c>
      <c r="K267">
        <f>SUM(K255:K266)</f>
        <v>0</v>
      </c>
      <c r="L267">
        <f>SUM(L255:L266)</f>
        <v>0</v>
      </c>
    </row>
    <row r="268" spans="2:88" x14ac:dyDescent="0.2">
      <c r="B268" t="s">
        <v>3677</v>
      </c>
      <c r="C268">
        <v>2010</v>
      </c>
      <c r="F268">
        <f>F234+F242+F252+F267</f>
        <v>0</v>
      </c>
      <c r="G268">
        <f>G234+G242+G252+G267</f>
        <v>0</v>
      </c>
      <c r="H268">
        <f>H234+H242+H252+H267</f>
        <v>0</v>
      </c>
      <c r="I268">
        <f>I234+I242+I252+I267</f>
        <v>0</v>
      </c>
      <c r="K268">
        <f>K234+K242+K252+K267</f>
        <v>0</v>
      </c>
      <c r="L268">
        <f>L234+L242+L252+L267</f>
        <v>0</v>
      </c>
      <c r="P268" t="s">
        <v>3678</v>
      </c>
      <c r="CB268">
        <f>SUM(CB234:CB267)</f>
        <v>0</v>
      </c>
      <c r="CC268">
        <f>SUM(CC234:CC267)</f>
        <v>0</v>
      </c>
      <c r="CD268">
        <f>SUM(CD234:CD267)</f>
        <v>0</v>
      </c>
      <c r="CE268">
        <f>SUM(CE234:CE267)</f>
        <v>0</v>
      </c>
      <c r="CG268">
        <f>SUM(CG234:CG267)</f>
        <v>0</v>
      </c>
      <c r="CH268">
        <f>SUM(CH234:CH267)</f>
        <v>0</v>
      </c>
      <c r="CI268">
        <f>SUM(CI234:CI267)</f>
        <v>0</v>
      </c>
      <c r="CJ268">
        <f>SUM(CJ234:CJ267)</f>
        <v>0</v>
      </c>
    </row>
    <row r="270" spans="2:88" x14ac:dyDescent="0.2">
      <c r="B270" t="s">
        <v>2834</v>
      </c>
      <c r="C270">
        <v>2020</v>
      </c>
      <c r="F270">
        <f>CB270+CG270</f>
        <v>0</v>
      </c>
      <c r="G270">
        <f>CC270+CH270</f>
        <v>0</v>
      </c>
      <c r="H270">
        <f>CD270+CI270</f>
        <v>0</v>
      </c>
      <c r="I270">
        <f>CE270+CJ270</f>
        <v>0</v>
      </c>
      <c r="K270">
        <f>CE270</f>
        <v>0</v>
      </c>
      <c r="L270">
        <f>CJ270</f>
        <v>0</v>
      </c>
      <c r="CG270">
        <f>-CG268</f>
        <v>0</v>
      </c>
      <c r="CH270">
        <f>-CH268</f>
        <v>0</v>
      </c>
      <c r="CI270">
        <f>-CI268</f>
        <v>0</v>
      </c>
      <c r="CJ270">
        <f>SUM(CG270:CI270)</f>
        <v>0</v>
      </c>
    </row>
    <row r="271" spans="2:88" x14ac:dyDescent="0.2">
      <c r="B271" t="s">
        <v>3679</v>
      </c>
      <c r="C271">
        <v>2030</v>
      </c>
      <c r="F271">
        <f>SUM(F268:F270)</f>
        <v>0</v>
      </c>
      <c r="G271">
        <f>SUM(G268:G270)</f>
        <v>0</v>
      </c>
      <c r="H271">
        <f>SUM(H268:H270)</f>
        <v>0</v>
      </c>
      <c r="I271">
        <f>SUM(I268:I270)</f>
        <v>0</v>
      </c>
      <c r="K271">
        <f>SUM(K268:K270)</f>
        <v>0</v>
      </c>
      <c r="L271">
        <f>SUM(L268:L270)</f>
        <v>0</v>
      </c>
      <c r="CB271">
        <f>SUM(CB268:CB270)</f>
        <v>0</v>
      </c>
      <c r="CC271">
        <f>SUM(CC268:CC270)</f>
        <v>0</v>
      </c>
      <c r="CD271">
        <f>SUM(CD268:CD270)</f>
        <v>0</v>
      </c>
      <c r="CE271">
        <f>SUM(CB271:CD271)</f>
        <v>0</v>
      </c>
      <c r="CG271">
        <f>SUM(CG268:CG270)</f>
        <v>0</v>
      </c>
      <c r="CH271">
        <f>SUM(CH268:CH270)</f>
        <v>0</v>
      </c>
      <c r="CI271">
        <f>SUM(CI268:CI270)</f>
        <v>0</v>
      </c>
      <c r="CJ271">
        <f>SUM(CG271:CI271)</f>
        <v>0</v>
      </c>
    </row>
  </sheetData>
  <sheetProtection sheet="1" objects="1" scenarios="1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CG155"/>
  <sheetViews>
    <sheetView zoomScale="70" zoomScaleNormal="70" workbookViewId="0"/>
  </sheetViews>
  <sheetFormatPr defaultRowHeight="12.75" x14ac:dyDescent="0.2"/>
  <sheetData>
    <row r="1" spans="1:85" x14ac:dyDescent="0.2">
      <c r="A1" s="96" t="s">
        <v>3753</v>
      </c>
      <c r="E1" s="1178" t="str">
        <f>HYPERLINK(CHAR(35)&amp;"1415TRU_Index_P13"&amp;"!A1","GoTo Index tab")</f>
        <v>GoTo Index tab</v>
      </c>
      <c r="BA1" t="str">
        <f>RIGHT(A2,2)</f>
        <v>13</v>
      </c>
    </row>
    <row r="2" spans="1:85" x14ac:dyDescent="0.2">
      <c r="A2" t="s">
        <v>3727</v>
      </c>
    </row>
    <row r="3" spans="1:85" x14ac:dyDescent="0.2">
      <c r="A3" t="s">
        <v>3804</v>
      </c>
    </row>
    <row r="4" spans="1:85" x14ac:dyDescent="0.2">
      <c r="CC4" t="s">
        <v>3680</v>
      </c>
      <c r="CD4" t="s">
        <v>3510</v>
      </c>
    </row>
    <row r="5" spans="1:85" x14ac:dyDescent="0.2">
      <c r="B5" t="s">
        <v>3681</v>
      </c>
      <c r="CA5" t="s">
        <v>230</v>
      </c>
      <c r="CB5">
        <f>0</f>
        <v>0</v>
      </c>
      <c r="CC5" t="s">
        <v>2472</v>
      </c>
      <c r="CD5" t="s">
        <v>2472</v>
      </c>
      <c r="CE5" t="s">
        <v>2472</v>
      </c>
      <c r="CF5" t="s">
        <v>2472</v>
      </c>
      <c r="CG5" t="s">
        <v>2472</v>
      </c>
    </row>
    <row r="6" spans="1:85" x14ac:dyDescent="0.2">
      <c r="CA6" t="s">
        <v>231</v>
      </c>
      <c r="CB6" t="s">
        <v>232</v>
      </c>
      <c r="CC6" t="s">
        <v>2476</v>
      </c>
      <c r="CD6" t="s">
        <v>2476</v>
      </c>
      <c r="CE6" t="s">
        <v>2841</v>
      </c>
      <c r="CF6" t="s">
        <v>3682</v>
      </c>
      <c r="CG6" t="s">
        <v>3683</v>
      </c>
    </row>
    <row r="7" spans="1:85" x14ac:dyDescent="0.2">
      <c r="B7" t="s">
        <v>3684</v>
      </c>
      <c r="C7" t="s">
        <v>2837</v>
      </c>
      <c r="D7" t="s">
        <v>3685</v>
      </c>
      <c r="E7" t="s">
        <v>2839</v>
      </c>
      <c r="F7" t="s">
        <v>2840</v>
      </c>
      <c r="G7" t="s">
        <v>340</v>
      </c>
      <c r="H7" t="s">
        <v>3686</v>
      </c>
      <c r="T7" t="s">
        <v>3687</v>
      </c>
      <c r="U7" t="s">
        <v>3688</v>
      </c>
      <c r="CB7">
        <f>SUM(CB8:CB124)</f>
        <v>0</v>
      </c>
      <c r="CC7">
        <f>SUM(CC8:CC124)</f>
        <v>0</v>
      </c>
      <c r="CD7">
        <f>SUM(CD8:CD124)</f>
        <v>0</v>
      </c>
      <c r="CE7">
        <f>SUM(CE8:CE124)</f>
        <v>0</v>
      </c>
      <c r="CF7">
        <f>SUM(CF8:CF124)</f>
        <v>0</v>
      </c>
      <c r="CG7">
        <f>SUM(CG8:CG145)</f>
        <v>0</v>
      </c>
    </row>
    <row r="8" spans="1:85" x14ac:dyDescent="0.2">
      <c r="G8" t="s">
        <v>1941</v>
      </c>
      <c r="H8" t="s">
        <v>3280</v>
      </c>
      <c r="I8" t="s">
        <v>2025</v>
      </c>
      <c r="J8" t="s">
        <v>2026</v>
      </c>
      <c r="K8" t="s">
        <v>2027</v>
      </c>
      <c r="L8" t="s">
        <v>2028</v>
      </c>
      <c r="M8" t="s">
        <v>2029</v>
      </c>
      <c r="N8" t="s">
        <v>2030</v>
      </c>
      <c r="O8" t="s">
        <v>2031</v>
      </c>
      <c r="P8" t="s">
        <v>2032</v>
      </c>
      <c r="Q8" t="s">
        <v>2033</v>
      </c>
      <c r="R8" t="s">
        <v>2034</v>
      </c>
      <c r="S8" t="s">
        <v>2035</v>
      </c>
    </row>
    <row r="9" spans="1:85" x14ac:dyDescent="0.2">
      <c r="C9" t="s">
        <v>2036</v>
      </c>
      <c r="D9" t="s">
        <v>2037</v>
      </c>
      <c r="E9" t="s">
        <v>2038</v>
      </c>
      <c r="F9" t="s">
        <v>2039</v>
      </c>
      <c r="G9" t="s">
        <v>2040</v>
      </c>
      <c r="H9" t="s">
        <v>2041</v>
      </c>
      <c r="I9" t="s">
        <v>2042</v>
      </c>
      <c r="J9" t="s">
        <v>2043</v>
      </c>
      <c r="K9" t="s">
        <v>2044</v>
      </c>
      <c r="L9" t="s">
        <v>2045</v>
      </c>
      <c r="M9" t="s">
        <v>2046</v>
      </c>
      <c r="N9" t="s">
        <v>2047</v>
      </c>
      <c r="O9" t="s">
        <v>2048</v>
      </c>
      <c r="P9" t="s">
        <v>2049</v>
      </c>
      <c r="Q9" t="s">
        <v>2050</v>
      </c>
      <c r="R9" t="s">
        <v>2051</v>
      </c>
      <c r="S9" t="s">
        <v>2052</v>
      </c>
      <c r="T9" t="s">
        <v>2053</v>
      </c>
      <c r="U9" t="s">
        <v>2054</v>
      </c>
    </row>
    <row r="10" spans="1:85" x14ac:dyDescent="0.2">
      <c r="G10" t="s">
        <v>243</v>
      </c>
      <c r="H10" t="s">
        <v>243</v>
      </c>
      <c r="I10" t="s">
        <v>243</v>
      </c>
      <c r="J10" t="s">
        <v>243</v>
      </c>
      <c r="K10" t="s">
        <v>243</v>
      </c>
      <c r="L10" t="s">
        <v>243</v>
      </c>
      <c r="M10" t="s">
        <v>243</v>
      </c>
      <c r="N10" t="s">
        <v>243</v>
      </c>
      <c r="O10" t="s">
        <v>243</v>
      </c>
      <c r="P10" t="s">
        <v>243</v>
      </c>
      <c r="Q10" t="s">
        <v>243</v>
      </c>
      <c r="R10" t="s">
        <v>243</v>
      </c>
      <c r="S10" t="s">
        <v>243</v>
      </c>
      <c r="T10" t="s">
        <v>243</v>
      </c>
      <c r="U10" t="s">
        <v>243</v>
      </c>
    </row>
    <row r="11" spans="1:85" x14ac:dyDescent="0.2">
      <c r="B11" t="s">
        <v>3689</v>
      </c>
    </row>
    <row r="12" spans="1:85" x14ac:dyDescent="0.2">
      <c r="B12" t="s">
        <v>3690</v>
      </c>
    </row>
    <row r="13" spans="1:85" x14ac:dyDescent="0.2">
      <c r="A13">
        <v>1</v>
      </c>
      <c r="G13">
        <f t="shared" ref="G13:G44" si="0">SUM(H13:S13)</f>
        <v>0</v>
      </c>
      <c r="U13">
        <f t="shared" ref="U13:U44" si="1">T13-G13</f>
        <v>0</v>
      </c>
      <c r="BA13">
        <f t="shared" ref="BA13:BA44" ca="1" si="2">IF(OR($BA$1="13",$BA$1="16"),SUM(OFFSET(G13,0,1,1,12)),SUM(OFFSET(G13,0,1,1,$BA$1)))</f>
        <v>0</v>
      </c>
      <c r="BB13">
        <f t="shared" ref="BB13:BB44" ca="1" si="3">IF(OR($BA$1="13",$BA$1="16"),(OFFSET(G13,0,12,1,1)),(OFFSET(G13,0,$BA$1,1,1)))</f>
        <v>0</v>
      </c>
      <c r="CB13">
        <f t="shared" ref="CB13:CB44" si="4">IF(OR(H13&lt;0,I13&lt;0,J13&lt;0,K13&lt;0,L13&lt;0,M13&lt;0,N13&lt;0,O13&lt;0,P13&lt;0,Q13&lt;0,R13&lt;0,S13&lt;0,T13&lt;0),1,0)</f>
        <v>0</v>
      </c>
      <c r="CC13">
        <f t="shared" ref="CC13:CC44" si="5">IF(AND(G13&gt;0,ISBLANK(B13)),1,IF(AND(G13&gt;0,ISBLANK(C13)),1,IF(AND(G13&gt;0,ISBLANK(D13)),1,IF(AND(G13&gt;0,ISBLANK(E13)),1,IF(AND(G13&gt;0,ISBLANK(F13)),1,0)))))</f>
        <v>0</v>
      </c>
      <c r="CD13">
        <f t="shared" ref="CD13:CD44" si="6">IF(AND(T13&gt;0,ISBLANK(B13)),1,IF(AND(T13&gt;0,ISBLANK(C13)),1,IF(AND(T13&gt;0,ISBLANK(D13)),1,IF(AND(T13&gt;0,ISBLANK(E13)),1,IF(AND(T13&gt;0,ISBLANK(F13)),1,0)))))</f>
        <v>0</v>
      </c>
      <c r="CE13">
        <f t="shared" ref="CE13:CE44" si="7">IF(AND((G13+T13)=0,COUNTA(B13:F13)&lt;&gt;0),1,0)</f>
        <v>0</v>
      </c>
      <c r="CF13">
        <f t="shared" ref="CF13:CF44" si="8">IF(AND(C13="UNIDENTIFIED",F13&lt;&gt;"H"),1,0)</f>
        <v>0</v>
      </c>
    </row>
    <row r="14" spans="1:85" x14ac:dyDescent="0.2">
      <c r="A14">
        <v>2</v>
      </c>
      <c r="G14">
        <f t="shared" si="0"/>
        <v>0</v>
      </c>
      <c r="U14">
        <f t="shared" si="1"/>
        <v>0</v>
      </c>
      <c r="BA14">
        <f t="shared" ca="1" si="2"/>
        <v>0</v>
      </c>
      <c r="BB14">
        <f t="shared" ca="1" si="3"/>
        <v>0</v>
      </c>
      <c r="CB14">
        <f t="shared" si="4"/>
        <v>0</v>
      </c>
      <c r="CC14">
        <f t="shared" si="5"/>
        <v>0</v>
      </c>
      <c r="CD14">
        <f t="shared" si="6"/>
        <v>0</v>
      </c>
      <c r="CE14">
        <f t="shared" si="7"/>
        <v>0</v>
      </c>
      <c r="CF14">
        <f t="shared" si="8"/>
        <v>0</v>
      </c>
    </row>
    <row r="15" spans="1:85" x14ac:dyDescent="0.2">
      <c r="A15">
        <v>3</v>
      </c>
      <c r="G15">
        <f t="shared" si="0"/>
        <v>0</v>
      </c>
      <c r="U15">
        <f t="shared" si="1"/>
        <v>0</v>
      </c>
      <c r="BA15">
        <f t="shared" ca="1" si="2"/>
        <v>0</v>
      </c>
      <c r="BB15">
        <f t="shared" ca="1" si="3"/>
        <v>0</v>
      </c>
      <c r="CB15">
        <f t="shared" si="4"/>
        <v>0</v>
      </c>
      <c r="CC15">
        <f t="shared" si="5"/>
        <v>0</v>
      </c>
      <c r="CD15">
        <f t="shared" si="6"/>
        <v>0</v>
      </c>
      <c r="CE15">
        <f t="shared" si="7"/>
        <v>0</v>
      </c>
      <c r="CF15">
        <f t="shared" si="8"/>
        <v>0</v>
      </c>
    </row>
    <row r="16" spans="1:85" x14ac:dyDescent="0.2">
      <c r="A16">
        <v>4</v>
      </c>
      <c r="G16">
        <f t="shared" si="0"/>
        <v>0</v>
      </c>
      <c r="U16">
        <f t="shared" si="1"/>
        <v>0</v>
      </c>
      <c r="BA16">
        <f t="shared" ca="1" si="2"/>
        <v>0</v>
      </c>
      <c r="BB16">
        <f t="shared" ca="1" si="3"/>
        <v>0</v>
      </c>
      <c r="CB16">
        <f t="shared" si="4"/>
        <v>0</v>
      </c>
      <c r="CC16">
        <f t="shared" si="5"/>
        <v>0</v>
      </c>
      <c r="CD16">
        <f t="shared" si="6"/>
        <v>0</v>
      </c>
      <c r="CE16">
        <f t="shared" si="7"/>
        <v>0</v>
      </c>
      <c r="CF16">
        <f t="shared" si="8"/>
        <v>0</v>
      </c>
    </row>
    <row r="17" spans="1:84" x14ac:dyDescent="0.2">
      <c r="A17">
        <v>5</v>
      </c>
      <c r="G17">
        <f t="shared" si="0"/>
        <v>0</v>
      </c>
      <c r="U17">
        <f t="shared" si="1"/>
        <v>0</v>
      </c>
      <c r="BA17">
        <f t="shared" ca="1" si="2"/>
        <v>0</v>
      </c>
      <c r="BB17">
        <f t="shared" ca="1" si="3"/>
        <v>0</v>
      </c>
      <c r="CB17">
        <f t="shared" si="4"/>
        <v>0</v>
      </c>
      <c r="CC17">
        <f t="shared" si="5"/>
        <v>0</v>
      </c>
      <c r="CD17">
        <f t="shared" si="6"/>
        <v>0</v>
      </c>
      <c r="CE17">
        <f t="shared" si="7"/>
        <v>0</v>
      </c>
      <c r="CF17">
        <f t="shared" si="8"/>
        <v>0</v>
      </c>
    </row>
    <row r="18" spans="1:84" x14ac:dyDescent="0.2">
      <c r="A18">
        <v>6</v>
      </c>
      <c r="G18">
        <f t="shared" si="0"/>
        <v>0</v>
      </c>
      <c r="U18">
        <f t="shared" si="1"/>
        <v>0</v>
      </c>
      <c r="BA18">
        <f t="shared" ca="1" si="2"/>
        <v>0</v>
      </c>
      <c r="BB18">
        <f t="shared" ca="1" si="3"/>
        <v>0</v>
      </c>
      <c r="CB18">
        <f t="shared" si="4"/>
        <v>0</v>
      </c>
      <c r="CC18">
        <f t="shared" si="5"/>
        <v>0</v>
      </c>
      <c r="CD18">
        <f t="shared" si="6"/>
        <v>0</v>
      </c>
      <c r="CE18">
        <f t="shared" si="7"/>
        <v>0</v>
      </c>
      <c r="CF18">
        <f t="shared" si="8"/>
        <v>0</v>
      </c>
    </row>
    <row r="19" spans="1:84" x14ac:dyDescent="0.2">
      <c r="A19">
        <v>7</v>
      </c>
      <c r="G19">
        <f t="shared" si="0"/>
        <v>0</v>
      </c>
      <c r="U19">
        <f t="shared" si="1"/>
        <v>0</v>
      </c>
      <c r="BA19">
        <f t="shared" ca="1" si="2"/>
        <v>0</v>
      </c>
      <c r="BB19">
        <f t="shared" ca="1" si="3"/>
        <v>0</v>
      </c>
      <c r="CB19">
        <f t="shared" si="4"/>
        <v>0</v>
      </c>
      <c r="CC19">
        <f t="shared" si="5"/>
        <v>0</v>
      </c>
      <c r="CD19">
        <f t="shared" si="6"/>
        <v>0</v>
      </c>
      <c r="CE19">
        <f t="shared" si="7"/>
        <v>0</v>
      </c>
      <c r="CF19">
        <f t="shared" si="8"/>
        <v>0</v>
      </c>
    </row>
    <row r="20" spans="1:84" x14ac:dyDescent="0.2">
      <c r="A20">
        <v>8</v>
      </c>
      <c r="G20">
        <f t="shared" si="0"/>
        <v>0</v>
      </c>
      <c r="U20">
        <f t="shared" si="1"/>
        <v>0</v>
      </c>
      <c r="BA20">
        <f t="shared" ca="1" si="2"/>
        <v>0</v>
      </c>
      <c r="BB20">
        <f t="shared" ca="1" si="3"/>
        <v>0</v>
      </c>
      <c r="CB20">
        <f t="shared" si="4"/>
        <v>0</v>
      </c>
      <c r="CC20">
        <f t="shared" si="5"/>
        <v>0</v>
      </c>
      <c r="CD20">
        <f t="shared" si="6"/>
        <v>0</v>
      </c>
      <c r="CE20">
        <f t="shared" si="7"/>
        <v>0</v>
      </c>
      <c r="CF20">
        <f t="shared" si="8"/>
        <v>0</v>
      </c>
    </row>
    <row r="21" spans="1:84" x14ac:dyDescent="0.2">
      <c r="A21">
        <v>9</v>
      </c>
      <c r="G21">
        <f t="shared" si="0"/>
        <v>0</v>
      </c>
      <c r="U21">
        <f t="shared" si="1"/>
        <v>0</v>
      </c>
      <c r="BA21">
        <f t="shared" ca="1" si="2"/>
        <v>0</v>
      </c>
      <c r="BB21">
        <f t="shared" ca="1" si="3"/>
        <v>0</v>
      </c>
      <c r="CB21">
        <f t="shared" si="4"/>
        <v>0</v>
      </c>
      <c r="CC21">
        <f t="shared" si="5"/>
        <v>0</v>
      </c>
      <c r="CD21">
        <f t="shared" si="6"/>
        <v>0</v>
      </c>
      <c r="CE21">
        <f t="shared" si="7"/>
        <v>0</v>
      </c>
      <c r="CF21">
        <f t="shared" si="8"/>
        <v>0</v>
      </c>
    </row>
    <row r="22" spans="1:84" x14ac:dyDescent="0.2">
      <c r="A22">
        <v>10</v>
      </c>
      <c r="G22">
        <f t="shared" si="0"/>
        <v>0</v>
      </c>
      <c r="U22">
        <f t="shared" si="1"/>
        <v>0</v>
      </c>
      <c r="BA22">
        <f t="shared" ca="1" si="2"/>
        <v>0</v>
      </c>
      <c r="BB22">
        <f t="shared" ca="1" si="3"/>
        <v>0</v>
      </c>
      <c r="CB22">
        <f t="shared" si="4"/>
        <v>0</v>
      </c>
      <c r="CC22">
        <f t="shared" si="5"/>
        <v>0</v>
      </c>
      <c r="CD22">
        <f t="shared" si="6"/>
        <v>0</v>
      </c>
      <c r="CE22">
        <f t="shared" si="7"/>
        <v>0</v>
      </c>
      <c r="CF22">
        <f t="shared" si="8"/>
        <v>0</v>
      </c>
    </row>
    <row r="23" spans="1:84" x14ac:dyDescent="0.2">
      <c r="A23">
        <v>11</v>
      </c>
      <c r="G23">
        <f t="shared" si="0"/>
        <v>0</v>
      </c>
      <c r="U23">
        <f t="shared" si="1"/>
        <v>0</v>
      </c>
      <c r="BA23">
        <f t="shared" ca="1" si="2"/>
        <v>0</v>
      </c>
      <c r="BB23">
        <f t="shared" ca="1" si="3"/>
        <v>0</v>
      </c>
      <c r="CB23">
        <f t="shared" si="4"/>
        <v>0</v>
      </c>
      <c r="CC23">
        <f t="shared" si="5"/>
        <v>0</v>
      </c>
      <c r="CD23">
        <f t="shared" si="6"/>
        <v>0</v>
      </c>
      <c r="CE23">
        <f t="shared" si="7"/>
        <v>0</v>
      </c>
      <c r="CF23">
        <f t="shared" si="8"/>
        <v>0</v>
      </c>
    </row>
    <row r="24" spans="1:84" x14ac:dyDescent="0.2">
      <c r="A24">
        <v>12</v>
      </c>
      <c r="G24">
        <f t="shared" si="0"/>
        <v>0</v>
      </c>
      <c r="U24">
        <f t="shared" si="1"/>
        <v>0</v>
      </c>
      <c r="BA24">
        <f t="shared" ca="1" si="2"/>
        <v>0</v>
      </c>
      <c r="BB24">
        <f t="shared" ca="1" si="3"/>
        <v>0</v>
      </c>
      <c r="CB24">
        <f t="shared" si="4"/>
        <v>0</v>
      </c>
      <c r="CC24">
        <f t="shared" si="5"/>
        <v>0</v>
      </c>
      <c r="CD24">
        <f t="shared" si="6"/>
        <v>0</v>
      </c>
      <c r="CE24">
        <f t="shared" si="7"/>
        <v>0</v>
      </c>
      <c r="CF24">
        <f t="shared" si="8"/>
        <v>0</v>
      </c>
    </row>
    <row r="25" spans="1:84" x14ac:dyDescent="0.2">
      <c r="A25">
        <v>13</v>
      </c>
      <c r="G25">
        <f t="shared" si="0"/>
        <v>0</v>
      </c>
      <c r="U25">
        <f t="shared" si="1"/>
        <v>0</v>
      </c>
      <c r="BA25">
        <f t="shared" ca="1" si="2"/>
        <v>0</v>
      </c>
      <c r="BB25">
        <f t="shared" ca="1" si="3"/>
        <v>0</v>
      </c>
      <c r="CB25">
        <f t="shared" si="4"/>
        <v>0</v>
      </c>
      <c r="CC25">
        <f t="shared" si="5"/>
        <v>0</v>
      </c>
      <c r="CD25">
        <f t="shared" si="6"/>
        <v>0</v>
      </c>
      <c r="CE25">
        <f t="shared" si="7"/>
        <v>0</v>
      </c>
      <c r="CF25">
        <f t="shared" si="8"/>
        <v>0</v>
      </c>
    </row>
    <row r="26" spans="1:84" x14ac:dyDescent="0.2">
      <c r="A26">
        <v>14</v>
      </c>
      <c r="G26">
        <f t="shared" si="0"/>
        <v>0</v>
      </c>
      <c r="U26">
        <f t="shared" si="1"/>
        <v>0</v>
      </c>
      <c r="BA26">
        <f t="shared" ca="1" si="2"/>
        <v>0</v>
      </c>
      <c r="BB26">
        <f t="shared" ca="1" si="3"/>
        <v>0</v>
      </c>
      <c r="CB26">
        <f t="shared" si="4"/>
        <v>0</v>
      </c>
      <c r="CC26">
        <f t="shared" si="5"/>
        <v>0</v>
      </c>
      <c r="CD26">
        <f t="shared" si="6"/>
        <v>0</v>
      </c>
      <c r="CE26">
        <f t="shared" si="7"/>
        <v>0</v>
      </c>
      <c r="CF26">
        <f t="shared" si="8"/>
        <v>0</v>
      </c>
    </row>
    <row r="27" spans="1:84" x14ac:dyDescent="0.2">
      <c r="A27">
        <v>15</v>
      </c>
      <c r="G27">
        <f t="shared" si="0"/>
        <v>0</v>
      </c>
      <c r="U27">
        <f t="shared" si="1"/>
        <v>0</v>
      </c>
      <c r="BA27">
        <f t="shared" ca="1" si="2"/>
        <v>0</v>
      </c>
      <c r="BB27">
        <f t="shared" ca="1" si="3"/>
        <v>0</v>
      </c>
      <c r="CB27">
        <f t="shared" si="4"/>
        <v>0</v>
      </c>
      <c r="CC27">
        <f t="shared" si="5"/>
        <v>0</v>
      </c>
      <c r="CD27">
        <f t="shared" si="6"/>
        <v>0</v>
      </c>
      <c r="CE27">
        <f t="shared" si="7"/>
        <v>0</v>
      </c>
      <c r="CF27">
        <f t="shared" si="8"/>
        <v>0</v>
      </c>
    </row>
    <row r="28" spans="1:84" x14ac:dyDescent="0.2">
      <c r="A28">
        <v>16</v>
      </c>
      <c r="G28">
        <f t="shared" si="0"/>
        <v>0</v>
      </c>
      <c r="U28">
        <f t="shared" si="1"/>
        <v>0</v>
      </c>
      <c r="BA28">
        <f t="shared" ca="1" si="2"/>
        <v>0</v>
      </c>
      <c r="BB28">
        <f t="shared" ca="1" si="3"/>
        <v>0</v>
      </c>
      <c r="CB28">
        <f t="shared" si="4"/>
        <v>0</v>
      </c>
      <c r="CC28">
        <f t="shared" si="5"/>
        <v>0</v>
      </c>
      <c r="CD28">
        <f t="shared" si="6"/>
        <v>0</v>
      </c>
      <c r="CE28">
        <f t="shared" si="7"/>
        <v>0</v>
      </c>
      <c r="CF28">
        <f t="shared" si="8"/>
        <v>0</v>
      </c>
    </row>
    <row r="29" spans="1:84" x14ac:dyDescent="0.2">
      <c r="A29">
        <v>17</v>
      </c>
      <c r="G29">
        <f t="shared" si="0"/>
        <v>0</v>
      </c>
      <c r="U29">
        <f t="shared" si="1"/>
        <v>0</v>
      </c>
      <c r="BA29">
        <f t="shared" ca="1" si="2"/>
        <v>0</v>
      </c>
      <c r="BB29">
        <f t="shared" ca="1" si="3"/>
        <v>0</v>
      </c>
      <c r="CB29">
        <f t="shared" si="4"/>
        <v>0</v>
      </c>
      <c r="CC29">
        <f t="shared" si="5"/>
        <v>0</v>
      </c>
      <c r="CD29">
        <f t="shared" si="6"/>
        <v>0</v>
      </c>
      <c r="CE29">
        <f t="shared" si="7"/>
        <v>0</v>
      </c>
      <c r="CF29">
        <f t="shared" si="8"/>
        <v>0</v>
      </c>
    </row>
    <row r="30" spans="1:84" x14ac:dyDescent="0.2">
      <c r="A30">
        <v>18</v>
      </c>
      <c r="G30">
        <f t="shared" si="0"/>
        <v>0</v>
      </c>
      <c r="U30">
        <f t="shared" si="1"/>
        <v>0</v>
      </c>
      <c r="BA30">
        <f t="shared" ca="1" si="2"/>
        <v>0</v>
      </c>
      <c r="BB30">
        <f t="shared" ca="1" si="3"/>
        <v>0</v>
      </c>
      <c r="CB30">
        <f t="shared" si="4"/>
        <v>0</v>
      </c>
      <c r="CC30">
        <f t="shared" si="5"/>
        <v>0</v>
      </c>
      <c r="CD30">
        <f t="shared" si="6"/>
        <v>0</v>
      </c>
      <c r="CE30">
        <f t="shared" si="7"/>
        <v>0</v>
      </c>
      <c r="CF30">
        <f t="shared" si="8"/>
        <v>0</v>
      </c>
    </row>
    <row r="31" spans="1:84" x14ac:dyDescent="0.2">
      <c r="A31">
        <v>19</v>
      </c>
      <c r="G31">
        <f t="shared" si="0"/>
        <v>0</v>
      </c>
      <c r="U31">
        <f t="shared" si="1"/>
        <v>0</v>
      </c>
      <c r="BA31">
        <f t="shared" ca="1" si="2"/>
        <v>0</v>
      </c>
      <c r="BB31">
        <f t="shared" ca="1" si="3"/>
        <v>0</v>
      </c>
      <c r="CB31">
        <f t="shared" si="4"/>
        <v>0</v>
      </c>
      <c r="CC31">
        <f t="shared" si="5"/>
        <v>0</v>
      </c>
      <c r="CD31">
        <f t="shared" si="6"/>
        <v>0</v>
      </c>
      <c r="CE31">
        <f t="shared" si="7"/>
        <v>0</v>
      </c>
      <c r="CF31">
        <f t="shared" si="8"/>
        <v>0</v>
      </c>
    </row>
    <row r="32" spans="1:84" x14ac:dyDescent="0.2">
      <c r="A32">
        <v>20</v>
      </c>
      <c r="G32">
        <f t="shared" si="0"/>
        <v>0</v>
      </c>
      <c r="U32">
        <f t="shared" si="1"/>
        <v>0</v>
      </c>
      <c r="BA32">
        <f t="shared" ca="1" si="2"/>
        <v>0</v>
      </c>
      <c r="BB32">
        <f t="shared" ca="1" si="3"/>
        <v>0</v>
      </c>
      <c r="CB32">
        <f t="shared" si="4"/>
        <v>0</v>
      </c>
      <c r="CC32">
        <f t="shared" si="5"/>
        <v>0</v>
      </c>
      <c r="CD32">
        <f t="shared" si="6"/>
        <v>0</v>
      </c>
      <c r="CE32">
        <f t="shared" si="7"/>
        <v>0</v>
      </c>
      <c r="CF32">
        <f t="shared" si="8"/>
        <v>0</v>
      </c>
    </row>
    <row r="33" spans="1:84" x14ac:dyDescent="0.2">
      <c r="A33">
        <v>21</v>
      </c>
      <c r="G33">
        <f t="shared" si="0"/>
        <v>0</v>
      </c>
      <c r="U33">
        <f t="shared" si="1"/>
        <v>0</v>
      </c>
      <c r="BA33">
        <f t="shared" ca="1" si="2"/>
        <v>0</v>
      </c>
      <c r="BB33">
        <f t="shared" ca="1" si="3"/>
        <v>0</v>
      </c>
      <c r="CB33">
        <f t="shared" si="4"/>
        <v>0</v>
      </c>
      <c r="CC33">
        <f t="shared" si="5"/>
        <v>0</v>
      </c>
      <c r="CD33">
        <f t="shared" si="6"/>
        <v>0</v>
      </c>
      <c r="CE33">
        <f t="shared" si="7"/>
        <v>0</v>
      </c>
      <c r="CF33">
        <f t="shared" si="8"/>
        <v>0</v>
      </c>
    </row>
    <row r="34" spans="1:84" x14ac:dyDescent="0.2">
      <c r="A34">
        <v>22</v>
      </c>
      <c r="G34">
        <f t="shared" si="0"/>
        <v>0</v>
      </c>
      <c r="U34">
        <f t="shared" si="1"/>
        <v>0</v>
      </c>
      <c r="BA34">
        <f t="shared" ca="1" si="2"/>
        <v>0</v>
      </c>
      <c r="BB34">
        <f t="shared" ca="1" si="3"/>
        <v>0</v>
      </c>
      <c r="CB34">
        <f t="shared" si="4"/>
        <v>0</v>
      </c>
      <c r="CC34">
        <f t="shared" si="5"/>
        <v>0</v>
      </c>
      <c r="CD34">
        <f t="shared" si="6"/>
        <v>0</v>
      </c>
      <c r="CE34">
        <f t="shared" si="7"/>
        <v>0</v>
      </c>
      <c r="CF34">
        <f t="shared" si="8"/>
        <v>0</v>
      </c>
    </row>
    <row r="35" spans="1:84" x14ac:dyDescent="0.2">
      <c r="A35">
        <v>23</v>
      </c>
      <c r="G35">
        <f t="shared" si="0"/>
        <v>0</v>
      </c>
      <c r="U35">
        <f t="shared" si="1"/>
        <v>0</v>
      </c>
      <c r="BA35">
        <f t="shared" ca="1" si="2"/>
        <v>0</v>
      </c>
      <c r="BB35">
        <f t="shared" ca="1" si="3"/>
        <v>0</v>
      </c>
      <c r="CB35">
        <f t="shared" si="4"/>
        <v>0</v>
      </c>
      <c r="CC35">
        <f t="shared" si="5"/>
        <v>0</v>
      </c>
      <c r="CD35">
        <f t="shared" si="6"/>
        <v>0</v>
      </c>
      <c r="CE35">
        <f t="shared" si="7"/>
        <v>0</v>
      </c>
      <c r="CF35">
        <f t="shared" si="8"/>
        <v>0</v>
      </c>
    </row>
    <row r="36" spans="1:84" x14ac:dyDescent="0.2">
      <c r="A36">
        <v>24</v>
      </c>
      <c r="G36">
        <f t="shared" si="0"/>
        <v>0</v>
      </c>
      <c r="U36">
        <f t="shared" si="1"/>
        <v>0</v>
      </c>
      <c r="BA36">
        <f t="shared" ca="1" si="2"/>
        <v>0</v>
      </c>
      <c r="BB36">
        <f t="shared" ca="1" si="3"/>
        <v>0</v>
      </c>
      <c r="CB36">
        <f t="shared" si="4"/>
        <v>0</v>
      </c>
      <c r="CC36">
        <f t="shared" si="5"/>
        <v>0</v>
      </c>
      <c r="CD36">
        <f t="shared" si="6"/>
        <v>0</v>
      </c>
      <c r="CE36">
        <f t="shared" si="7"/>
        <v>0</v>
      </c>
      <c r="CF36">
        <f t="shared" si="8"/>
        <v>0</v>
      </c>
    </row>
    <row r="37" spans="1:84" x14ac:dyDescent="0.2">
      <c r="A37">
        <v>25</v>
      </c>
      <c r="G37">
        <f t="shared" si="0"/>
        <v>0</v>
      </c>
      <c r="U37">
        <f t="shared" si="1"/>
        <v>0</v>
      </c>
      <c r="BA37">
        <f t="shared" ca="1" si="2"/>
        <v>0</v>
      </c>
      <c r="BB37">
        <f t="shared" ca="1" si="3"/>
        <v>0</v>
      </c>
      <c r="CB37">
        <f t="shared" si="4"/>
        <v>0</v>
      </c>
      <c r="CC37">
        <f t="shared" si="5"/>
        <v>0</v>
      </c>
      <c r="CD37">
        <f t="shared" si="6"/>
        <v>0</v>
      </c>
      <c r="CE37">
        <f t="shared" si="7"/>
        <v>0</v>
      </c>
      <c r="CF37">
        <f t="shared" si="8"/>
        <v>0</v>
      </c>
    </row>
    <row r="38" spans="1:84" x14ac:dyDescent="0.2">
      <c r="A38">
        <v>26</v>
      </c>
      <c r="G38">
        <f t="shared" si="0"/>
        <v>0</v>
      </c>
      <c r="U38">
        <f t="shared" si="1"/>
        <v>0</v>
      </c>
      <c r="BA38">
        <f t="shared" ca="1" si="2"/>
        <v>0</v>
      </c>
      <c r="BB38">
        <f t="shared" ca="1" si="3"/>
        <v>0</v>
      </c>
      <c r="CB38">
        <f t="shared" si="4"/>
        <v>0</v>
      </c>
      <c r="CC38">
        <f t="shared" si="5"/>
        <v>0</v>
      </c>
      <c r="CD38">
        <f t="shared" si="6"/>
        <v>0</v>
      </c>
      <c r="CE38">
        <f t="shared" si="7"/>
        <v>0</v>
      </c>
      <c r="CF38">
        <f t="shared" si="8"/>
        <v>0</v>
      </c>
    </row>
    <row r="39" spans="1:84" x14ac:dyDescent="0.2">
      <c r="A39">
        <v>27</v>
      </c>
      <c r="G39">
        <f t="shared" si="0"/>
        <v>0</v>
      </c>
      <c r="U39">
        <f t="shared" si="1"/>
        <v>0</v>
      </c>
      <c r="BA39">
        <f t="shared" ca="1" si="2"/>
        <v>0</v>
      </c>
      <c r="BB39">
        <f t="shared" ca="1" si="3"/>
        <v>0</v>
      </c>
      <c r="CB39">
        <f t="shared" si="4"/>
        <v>0</v>
      </c>
      <c r="CC39">
        <f t="shared" si="5"/>
        <v>0</v>
      </c>
      <c r="CD39">
        <f t="shared" si="6"/>
        <v>0</v>
      </c>
      <c r="CE39">
        <f t="shared" si="7"/>
        <v>0</v>
      </c>
      <c r="CF39">
        <f t="shared" si="8"/>
        <v>0</v>
      </c>
    </row>
    <row r="40" spans="1:84" x14ac:dyDescent="0.2">
      <c r="A40">
        <v>28</v>
      </c>
      <c r="G40">
        <f t="shared" si="0"/>
        <v>0</v>
      </c>
      <c r="U40">
        <f t="shared" si="1"/>
        <v>0</v>
      </c>
      <c r="BA40">
        <f t="shared" ca="1" si="2"/>
        <v>0</v>
      </c>
      <c r="BB40">
        <f t="shared" ca="1" si="3"/>
        <v>0</v>
      </c>
      <c r="CB40">
        <f t="shared" si="4"/>
        <v>0</v>
      </c>
      <c r="CC40">
        <f t="shared" si="5"/>
        <v>0</v>
      </c>
      <c r="CD40">
        <f t="shared" si="6"/>
        <v>0</v>
      </c>
      <c r="CE40">
        <f t="shared" si="7"/>
        <v>0</v>
      </c>
      <c r="CF40">
        <f t="shared" si="8"/>
        <v>0</v>
      </c>
    </row>
    <row r="41" spans="1:84" x14ac:dyDescent="0.2">
      <c r="A41">
        <v>29</v>
      </c>
      <c r="G41">
        <f t="shared" si="0"/>
        <v>0</v>
      </c>
      <c r="U41">
        <f t="shared" si="1"/>
        <v>0</v>
      </c>
      <c r="BA41">
        <f t="shared" ca="1" si="2"/>
        <v>0</v>
      </c>
      <c r="BB41">
        <f t="shared" ca="1" si="3"/>
        <v>0</v>
      </c>
      <c r="CB41">
        <f t="shared" si="4"/>
        <v>0</v>
      </c>
      <c r="CC41">
        <f t="shared" si="5"/>
        <v>0</v>
      </c>
      <c r="CD41">
        <f t="shared" si="6"/>
        <v>0</v>
      </c>
      <c r="CE41">
        <f t="shared" si="7"/>
        <v>0</v>
      </c>
      <c r="CF41">
        <f t="shared" si="8"/>
        <v>0</v>
      </c>
    </row>
    <row r="42" spans="1:84" x14ac:dyDescent="0.2">
      <c r="A42">
        <v>30</v>
      </c>
      <c r="G42">
        <f t="shared" si="0"/>
        <v>0</v>
      </c>
      <c r="U42">
        <f t="shared" si="1"/>
        <v>0</v>
      </c>
      <c r="BA42">
        <f t="shared" ca="1" si="2"/>
        <v>0</v>
      </c>
      <c r="BB42">
        <f t="shared" ca="1" si="3"/>
        <v>0</v>
      </c>
      <c r="CB42">
        <f t="shared" si="4"/>
        <v>0</v>
      </c>
      <c r="CC42">
        <f t="shared" si="5"/>
        <v>0</v>
      </c>
      <c r="CD42">
        <f t="shared" si="6"/>
        <v>0</v>
      </c>
      <c r="CE42">
        <f t="shared" si="7"/>
        <v>0</v>
      </c>
      <c r="CF42">
        <f t="shared" si="8"/>
        <v>0</v>
      </c>
    </row>
    <row r="43" spans="1:84" x14ac:dyDescent="0.2">
      <c r="A43">
        <v>31</v>
      </c>
      <c r="G43">
        <f t="shared" si="0"/>
        <v>0</v>
      </c>
      <c r="U43">
        <f t="shared" si="1"/>
        <v>0</v>
      </c>
      <c r="BA43">
        <f t="shared" ca="1" si="2"/>
        <v>0</v>
      </c>
      <c r="BB43">
        <f t="shared" ca="1" si="3"/>
        <v>0</v>
      </c>
      <c r="CB43">
        <f t="shared" si="4"/>
        <v>0</v>
      </c>
      <c r="CC43">
        <f t="shared" si="5"/>
        <v>0</v>
      </c>
      <c r="CD43">
        <f t="shared" si="6"/>
        <v>0</v>
      </c>
      <c r="CE43">
        <f t="shared" si="7"/>
        <v>0</v>
      </c>
      <c r="CF43">
        <f t="shared" si="8"/>
        <v>0</v>
      </c>
    </row>
    <row r="44" spans="1:84" x14ac:dyDescent="0.2">
      <c r="A44">
        <v>32</v>
      </c>
      <c r="G44">
        <f t="shared" si="0"/>
        <v>0</v>
      </c>
      <c r="U44">
        <f t="shared" si="1"/>
        <v>0</v>
      </c>
      <c r="BA44">
        <f t="shared" ca="1" si="2"/>
        <v>0</v>
      </c>
      <c r="BB44">
        <f t="shared" ca="1" si="3"/>
        <v>0</v>
      </c>
      <c r="CB44">
        <f t="shared" si="4"/>
        <v>0</v>
      </c>
      <c r="CC44">
        <f t="shared" si="5"/>
        <v>0</v>
      </c>
      <c r="CD44">
        <f t="shared" si="6"/>
        <v>0</v>
      </c>
      <c r="CE44">
        <f t="shared" si="7"/>
        <v>0</v>
      </c>
      <c r="CF44">
        <f t="shared" si="8"/>
        <v>0</v>
      </c>
    </row>
    <row r="45" spans="1:84" x14ac:dyDescent="0.2">
      <c r="A45">
        <v>33</v>
      </c>
      <c r="G45">
        <f t="shared" ref="G45:G66" si="9">SUM(H45:S45)</f>
        <v>0</v>
      </c>
      <c r="U45">
        <f t="shared" ref="U45:U66" si="10">T45-G45</f>
        <v>0</v>
      </c>
      <c r="BA45">
        <f t="shared" ref="BA45:BA67" ca="1" si="11">IF(OR($BA$1="13",$BA$1="16"),SUM(OFFSET(G45,0,1,1,12)),SUM(OFFSET(G45,0,1,1,$BA$1)))</f>
        <v>0</v>
      </c>
      <c r="BB45">
        <f t="shared" ref="BB45:BB67" ca="1" si="12">IF(OR($BA$1="13",$BA$1="16"),(OFFSET(G45,0,12,1,1)),(OFFSET(G45,0,$BA$1,1,1)))</f>
        <v>0</v>
      </c>
      <c r="CB45">
        <f t="shared" ref="CB45:CB66" si="13">IF(OR(H45&lt;0,I45&lt;0,J45&lt;0,K45&lt;0,L45&lt;0,M45&lt;0,N45&lt;0,O45&lt;0,P45&lt;0,Q45&lt;0,R45&lt;0,S45&lt;0,T45&lt;0),1,0)</f>
        <v>0</v>
      </c>
      <c r="CC45">
        <f t="shared" ref="CC45:CC66" si="14">IF(AND(G45&gt;0,ISBLANK(B45)),1,IF(AND(G45&gt;0,ISBLANK(C45)),1,IF(AND(G45&gt;0,ISBLANK(D45)),1,IF(AND(G45&gt;0,ISBLANK(E45)),1,IF(AND(G45&gt;0,ISBLANK(F45)),1,0)))))</f>
        <v>0</v>
      </c>
      <c r="CD45">
        <f t="shared" ref="CD45:CD66" si="15">IF(AND(T45&gt;0,ISBLANK(B45)),1,IF(AND(T45&gt;0,ISBLANK(C45)),1,IF(AND(T45&gt;0,ISBLANK(D45)),1,IF(AND(T45&gt;0,ISBLANK(E45)),1,IF(AND(T45&gt;0,ISBLANK(F45)),1,0)))))</f>
        <v>0</v>
      </c>
      <c r="CE45">
        <f t="shared" ref="CE45:CE66" si="16">IF(AND((G45+T45)=0,COUNTA(B45:F45)&lt;&gt;0),1,0)</f>
        <v>0</v>
      </c>
      <c r="CF45">
        <f t="shared" ref="CF45:CF66" si="17">IF(AND(C45="UNIDENTIFIED",F45&lt;&gt;"H"),1,0)</f>
        <v>0</v>
      </c>
    </row>
    <row r="46" spans="1:84" x14ac:dyDescent="0.2">
      <c r="A46">
        <v>34</v>
      </c>
      <c r="G46">
        <f t="shared" si="9"/>
        <v>0</v>
      </c>
      <c r="U46">
        <f t="shared" si="10"/>
        <v>0</v>
      </c>
      <c r="BA46">
        <f t="shared" ca="1" si="11"/>
        <v>0</v>
      </c>
      <c r="BB46">
        <f t="shared" ca="1" si="12"/>
        <v>0</v>
      </c>
      <c r="CB46">
        <f t="shared" si="13"/>
        <v>0</v>
      </c>
      <c r="CC46">
        <f t="shared" si="14"/>
        <v>0</v>
      </c>
      <c r="CD46">
        <f t="shared" si="15"/>
        <v>0</v>
      </c>
      <c r="CE46">
        <f t="shared" si="16"/>
        <v>0</v>
      </c>
      <c r="CF46">
        <f t="shared" si="17"/>
        <v>0</v>
      </c>
    </row>
    <row r="47" spans="1:84" x14ac:dyDescent="0.2">
      <c r="A47">
        <v>35</v>
      </c>
      <c r="G47">
        <f t="shared" si="9"/>
        <v>0</v>
      </c>
      <c r="U47">
        <f t="shared" si="10"/>
        <v>0</v>
      </c>
      <c r="BA47">
        <f t="shared" ca="1" si="11"/>
        <v>0</v>
      </c>
      <c r="BB47">
        <f t="shared" ca="1" si="12"/>
        <v>0</v>
      </c>
      <c r="CB47">
        <f t="shared" si="13"/>
        <v>0</v>
      </c>
      <c r="CC47">
        <f t="shared" si="14"/>
        <v>0</v>
      </c>
      <c r="CD47">
        <f t="shared" si="15"/>
        <v>0</v>
      </c>
      <c r="CE47">
        <f t="shared" si="16"/>
        <v>0</v>
      </c>
      <c r="CF47">
        <f t="shared" si="17"/>
        <v>0</v>
      </c>
    </row>
    <row r="48" spans="1:84" x14ac:dyDescent="0.2">
      <c r="A48">
        <v>36</v>
      </c>
      <c r="G48">
        <f t="shared" si="9"/>
        <v>0</v>
      </c>
      <c r="U48">
        <f t="shared" si="10"/>
        <v>0</v>
      </c>
      <c r="BA48">
        <f t="shared" ca="1" si="11"/>
        <v>0</v>
      </c>
      <c r="BB48">
        <f t="shared" ca="1" si="12"/>
        <v>0</v>
      </c>
      <c r="CB48">
        <f t="shared" si="13"/>
        <v>0</v>
      </c>
      <c r="CC48">
        <f t="shared" si="14"/>
        <v>0</v>
      </c>
      <c r="CD48">
        <f t="shared" si="15"/>
        <v>0</v>
      </c>
      <c r="CE48">
        <f t="shared" si="16"/>
        <v>0</v>
      </c>
      <c r="CF48">
        <f t="shared" si="17"/>
        <v>0</v>
      </c>
    </row>
    <row r="49" spans="1:84" x14ac:dyDescent="0.2">
      <c r="A49">
        <v>37</v>
      </c>
      <c r="G49">
        <f t="shared" si="9"/>
        <v>0</v>
      </c>
      <c r="U49">
        <f t="shared" si="10"/>
        <v>0</v>
      </c>
      <c r="BA49">
        <f t="shared" ca="1" si="11"/>
        <v>0</v>
      </c>
      <c r="BB49">
        <f t="shared" ca="1" si="12"/>
        <v>0</v>
      </c>
      <c r="CB49">
        <f t="shared" si="13"/>
        <v>0</v>
      </c>
      <c r="CC49">
        <f t="shared" si="14"/>
        <v>0</v>
      </c>
      <c r="CD49">
        <f t="shared" si="15"/>
        <v>0</v>
      </c>
      <c r="CE49">
        <f t="shared" si="16"/>
        <v>0</v>
      </c>
      <c r="CF49">
        <f t="shared" si="17"/>
        <v>0</v>
      </c>
    </row>
    <row r="50" spans="1:84" x14ac:dyDescent="0.2">
      <c r="A50">
        <v>38</v>
      </c>
      <c r="G50">
        <f t="shared" si="9"/>
        <v>0</v>
      </c>
      <c r="U50">
        <f t="shared" si="10"/>
        <v>0</v>
      </c>
      <c r="BA50">
        <f t="shared" ca="1" si="11"/>
        <v>0</v>
      </c>
      <c r="BB50">
        <f t="shared" ca="1" si="12"/>
        <v>0</v>
      </c>
      <c r="CB50">
        <f t="shared" si="13"/>
        <v>0</v>
      </c>
      <c r="CC50">
        <f t="shared" si="14"/>
        <v>0</v>
      </c>
      <c r="CD50">
        <f t="shared" si="15"/>
        <v>0</v>
      </c>
      <c r="CE50">
        <f t="shared" si="16"/>
        <v>0</v>
      </c>
      <c r="CF50">
        <f t="shared" si="17"/>
        <v>0</v>
      </c>
    </row>
    <row r="51" spans="1:84" x14ac:dyDescent="0.2">
      <c r="A51">
        <v>39</v>
      </c>
      <c r="G51">
        <f t="shared" si="9"/>
        <v>0</v>
      </c>
      <c r="U51">
        <f t="shared" si="10"/>
        <v>0</v>
      </c>
      <c r="BA51">
        <f t="shared" ca="1" si="11"/>
        <v>0</v>
      </c>
      <c r="BB51">
        <f t="shared" ca="1" si="12"/>
        <v>0</v>
      </c>
      <c r="CB51">
        <f t="shared" si="13"/>
        <v>0</v>
      </c>
      <c r="CC51">
        <f t="shared" si="14"/>
        <v>0</v>
      </c>
      <c r="CD51">
        <f t="shared" si="15"/>
        <v>0</v>
      </c>
      <c r="CE51">
        <f t="shared" si="16"/>
        <v>0</v>
      </c>
      <c r="CF51">
        <f t="shared" si="17"/>
        <v>0</v>
      </c>
    </row>
    <row r="52" spans="1:84" x14ac:dyDescent="0.2">
      <c r="A52">
        <v>40</v>
      </c>
      <c r="G52">
        <f t="shared" si="9"/>
        <v>0</v>
      </c>
      <c r="U52">
        <f t="shared" si="10"/>
        <v>0</v>
      </c>
      <c r="BA52">
        <f t="shared" ca="1" si="11"/>
        <v>0</v>
      </c>
      <c r="BB52">
        <f t="shared" ca="1" si="12"/>
        <v>0</v>
      </c>
      <c r="CB52">
        <f t="shared" si="13"/>
        <v>0</v>
      </c>
      <c r="CC52">
        <f t="shared" si="14"/>
        <v>0</v>
      </c>
      <c r="CD52">
        <f t="shared" si="15"/>
        <v>0</v>
      </c>
      <c r="CE52">
        <f t="shared" si="16"/>
        <v>0</v>
      </c>
      <c r="CF52">
        <f t="shared" si="17"/>
        <v>0</v>
      </c>
    </row>
    <row r="53" spans="1:84" x14ac:dyDescent="0.2">
      <c r="A53">
        <v>41</v>
      </c>
      <c r="G53">
        <f t="shared" si="9"/>
        <v>0</v>
      </c>
      <c r="U53">
        <f t="shared" si="10"/>
        <v>0</v>
      </c>
      <c r="BA53">
        <f t="shared" ca="1" si="11"/>
        <v>0</v>
      </c>
      <c r="BB53">
        <f t="shared" ca="1" si="12"/>
        <v>0</v>
      </c>
      <c r="CB53">
        <f t="shared" si="13"/>
        <v>0</v>
      </c>
      <c r="CC53">
        <f t="shared" si="14"/>
        <v>0</v>
      </c>
      <c r="CD53">
        <f t="shared" si="15"/>
        <v>0</v>
      </c>
      <c r="CE53">
        <f t="shared" si="16"/>
        <v>0</v>
      </c>
      <c r="CF53">
        <f t="shared" si="17"/>
        <v>0</v>
      </c>
    </row>
    <row r="54" spans="1:84" x14ac:dyDescent="0.2">
      <c r="A54">
        <v>42</v>
      </c>
      <c r="G54">
        <f t="shared" si="9"/>
        <v>0</v>
      </c>
      <c r="U54">
        <f t="shared" si="10"/>
        <v>0</v>
      </c>
      <c r="BA54">
        <f t="shared" ca="1" si="11"/>
        <v>0</v>
      </c>
      <c r="BB54">
        <f t="shared" ca="1" si="12"/>
        <v>0</v>
      </c>
      <c r="CB54">
        <f t="shared" si="13"/>
        <v>0</v>
      </c>
      <c r="CC54">
        <f t="shared" si="14"/>
        <v>0</v>
      </c>
      <c r="CD54">
        <f t="shared" si="15"/>
        <v>0</v>
      </c>
      <c r="CE54">
        <f t="shared" si="16"/>
        <v>0</v>
      </c>
      <c r="CF54">
        <f t="shared" si="17"/>
        <v>0</v>
      </c>
    </row>
    <row r="55" spans="1:84" x14ac:dyDescent="0.2">
      <c r="A55">
        <v>43</v>
      </c>
      <c r="G55">
        <f t="shared" si="9"/>
        <v>0</v>
      </c>
      <c r="U55">
        <f t="shared" si="10"/>
        <v>0</v>
      </c>
      <c r="BA55">
        <f t="shared" ca="1" si="11"/>
        <v>0</v>
      </c>
      <c r="BB55">
        <f t="shared" ca="1" si="12"/>
        <v>0</v>
      </c>
      <c r="CB55">
        <f t="shared" si="13"/>
        <v>0</v>
      </c>
      <c r="CC55">
        <f t="shared" si="14"/>
        <v>0</v>
      </c>
      <c r="CD55">
        <f t="shared" si="15"/>
        <v>0</v>
      </c>
      <c r="CE55">
        <f t="shared" si="16"/>
        <v>0</v>
      </c>
      <c r="CF55">
        <f t="shared" si="17"/>
        <v>0</v>
      </c>
    </row>
    <row r="56" spans="1:84" x14ac:dyDescent="0.2">
      <c r="A56">
        <v>44</v>
      </c>
      <c r="G56">
        <f t="shared" si="9"/>
        <v>0</v>
      </c>
      <c r="U56">
        <f t="shared" si="10"/>
        <v>0</v>
      </c>
      <c r="BA56">
        <f t="shared" ca="1" si="11"/>
        <v>0</v>
      </c>
      <c r="BB56">
        <f t="shared" ca="1" si="12"/>
        <v>0</v>
      </c>
      <c r="CB56">
        <f t="shared" si="13"/>
        <v>0</v>
      </c>
      <c r="CC56">
        <f t="shared" si="14"/>
        <v>0</v>
      </c>
      <c r="CD56">
        <f t="shared" si="15"/>
        <v>0</v>
      </c>
      <c r="CE56">
        <f t="shared" si="16"/>
        <v>0</v>
      </c>
      <c r="CF56">
        <f t="shared" si="17"/>
        <v>0</v>
      </c>
    </row>
    <row r="57" spans="1:84" x14ac:dyDescent="0.2">
      <c r="A57">
        <v>45</v>
      </c>
      <c r="G57">
        <f t="shared" si="9"/>
        <v>0</v>
      </c>
      <c r="U57">
        <f t="shared" si="10"/>
        <v>0</v>
      </c>
      <c r="BA57">
        <f t="shared" ca="1" si="11"/>
        <v>0</v>
      </c>
      <c r="BB57">
        <f t="shared" ca="1" si="12"/>
        <v>0</v>
      </c>
      <c r="CB57">
        <f t="shared" si="13"/>
        <v>0</v>
      </c>
      <c r="CC57">
        <f t="shared" si="14"/>
        <v>0</v>
      </c>
      <c r="CD57">
        <f t="shared" si="15"/>
        <v>0</v>
      </c>
      <c r="CE57">
        <f t="shared" si="16"/>
        <v>0</v>
      </c>
      <c r="CF57">
        <f t="shared" si="17"/>
        <v>0</v>
      </c>
    </row>
    <row r="58" spans="1:84" x14ac:dyDescent="0.2">
      <c r="A58">
        <v>46</v>
      </c>
      <c r="G58">
        <f t="shared" si="9"/>
        <v>0</v>
      </c>
      <c r="U58">
        <f t="shared" si="10"/>
        <v>0</v>
      </c>
      <c r="BA58">
        <f t="shared" ca="1" si="11"/>
        <v>0</v>
      </c>
      <c r="BB58">
        <f t="shared" ca="1" si="12"/>
        <v>0</v>
      </c>
      <c r="CB58">
        <f t="shared" si="13"/>
        <v>0</v>
      </c>
      <c r="CC58">
        <f t="shared" si="14"/>
        <v>0</v>
      </c>
      <c r="CD58">
        <f t="shared" si="15"/>
        <v>0</v>
      </c>
      <c r="CE58">
        <f t="shared" si="16"/>
        <v>0</v>
      </c>
      <c r="CF58">
        <f t="shared" si="17"/>
        <v>0</v>
      </c>
    </row>
    <row r="59" spans="1:84" x14ac:dyDescent="0.2">
      <c r="A59">
        <v>47</v>
      </c>
      <c r="G59">
        <f t="shared" si="9"/>
        <v>0</v>
      </c>
      <c r="U59">
        <f t="shared" si="10"/>
        <v>0</v>
      </c>
      <c r="BA59">
        <f t="shared" ca="1" si="11"/>
        <v>0</v>
      </c>
      <c r="BB59">
        <f t="shared" ca="1" si="12"/>
        <v>0</v>
      </c>
      <c r="CB59">
        <f t="shared" si="13"/>
        <v>0</v>
      </c>
      <c r="CC59">
        <f t="shared" si="14"/>
        <v>0</v>
      </c>
      <c r="CD59">
        <f t="shared" si="15"/>
        <v>0</v>
      </c>
      <c r="CE59">
        <f t="shared" si="16"/>
        <v>0</v>
      </c>
      <c r="CF59">
        <f t="shared" si="17"/>
        <v>0</v>
      </c>
    </row>
    <row r="60" spans="1:84" x14ac:dyDescent="0.2">
      <c r="A60">
        <v>48</v>
      </c>
      <c r="G60">
        <f t="shared" si="9"/>
        <v>0</v>
      </c>
      <c r="U60">
        <f t="shared" si="10"/>
        <v>0</v>
      </c>
      <c r="BA60">
        <f t="shared" ca="1" si="11"/>
        <v>0</v>
      </c>
      <c r="BB60">
        <f t="shared" ca="1" si="12"/>
        <v>0</v>
      </c>
      <c r="CB60">
        <f t="shared" si="13"/>
        <v>0</v>
      </c>
      <c r="CC60">
        <f t="shared" si="14"/>
        <v>0</v>
      </c>
      <c r="CD60">
        <f t="shared" si="15"/>
        <v>0</v>
      </c>
      <c r="CE60">
        <f t="shared" si="16"/>
        <v>0</v>
      </c>
      <c r="CF60">
        <f t="shared" si="17"/>
        <v>0</v>
      </c>
    </row>
    <row r="61" spans="1:84" x14ac:dyDescent="0.2">
      <c r="A61">
        <v>49</v>
      </c>
      <c r="G61">
        <f t="shared" si="9"/>
        <v>0</v>
      </c>
      <c r="U61">
        <f t="shared" si="10"/>
        <v>0</v>
      </c>
      <c r="BA61">
        <f t="shared" ca="1" si="11"/>
        <v>0</v>
      </c>
      <c r="BB61">
        <f t="shared" ca="1" si="12"/>
        <v>0</v>
      </c>
      <c r="CB61">
        <f t="shared" si="13"/>
        <v>0</v>
      </c>
      <c r="CC61">
        <f t="shared" si="14"/>
        <v>0</v>
      </c>
      <c r="CD61">
        <f t="shared" si="15"/>
        <v>0</v>
      </c>
      <c r="CE61">
        <f t="shared" si="16"/>
        <v>0</v>
      </c>
      <c r="CF61">
        <f t="shared" si="17"/>
        <v>0</v>
      </c>
    </row>
    <row r="62" spans="1:84" x14ac:dyDescent="0.2">
      <c r="A62">
        <v>50</v>
      </c>
      <c r="G62">
        <f t="shared" si="9"/>
        <v>0</v>
      </c>
      <c r="U62">
        <f t="shared" si="10"/>
        <v>0</v>
      </c>
      <c r="BA62">
        <f t="shared" ca="1" si="11"/>
        <v>0</v>
      </c>
      <c r="BB62">
        <f t="shared" ca="1" si="12"/>
        <v>0</v>
      </c>
      <c r="CB62">
        <f t="shared" si="13"/>
        <v>0</v>
      </c>
      <c r="CC62">
        <f t="shared" si="14"/>
        <v>0</v>
      </c>
      <c r="CD62">
        <f t="shared" si="15"/>
        <v>0</v>
      </c>
      <c r="CE62">
        <f t="shared" si="16"/>
        <v>0</v>
      </c>
      <c r="CF62">
        <f t="shared" si="17"/>
        <v>0</v>
      </c>
    </row>
    <row r="63" spans="1:84" x14ac:dyDescent="0.2">
      <c r="A63">
        <v>51</v>
      </c>
      <c r="G63">
        <f t="shared" si="9"/>
        <v>0</v>
      </c>
      <c r="U63">
        <f t="shared" si="10"/>
        <v>0</v>
      </c>
      <c r="BA63">
        <f t="shared" ca="1" si="11"/>
        <v>0</v>
      </c>
      <c r="BB63">
        <f t="shared" ca="1" si="12"/>
        <v>0</v>
      </c>
      <c r="CB63">
        <f t="shared" si="13"/>
        <v>0</v>
      </c>
      <c r="CC63">
        <f t="shared" si="14"/>
        <v>0</v>
      </c>
      <c r="CD63">
        <f t="shared" si="15"/>
        <v>0</v>
      </c>
      <c r="CE63">
        <f t="shared" si="16"/>
        <v>0</v>
      </c>
      <c r="CF63">
        <f t="shared" si="17"/>
        <v>0</v>
      </c>
    </row>
    <row r="64" spans="1:84" x14ac:dyDescent="0.2">
      <c r="A64">
        <v>52</v>
      </c>
      <c r="G64">
        <f t="shared" si="9"/>
        <v>0</v>
      </c>
      <c r="U64">
        <f t="shared" si="10"/>
        <v>0</v>
      </c>
      <c r="BA64">
        <f t="shared" ca="1" si="11"/>
        <v>0</v>
      </c>
      <c r="BB64">
        <f t="shared" ca="1" si="12"/>
        <v>0</v>
      </c>
      <c r="CB64">
        <f t="shared" si="13"/>
        <v>0</v>
      </c>
      <c r="CC64">
        <f t="shared" si="14"/>
        <v>0</v>
      </c>
      <c r="CD64">
        <f t="shared" si="15"/>
        <v>0</v>
      </c>
      <c r="CE64">
        <f t="shared" si="16"/>
        <v>0</v>
      </c>
      <c r="CF64">
        <f t="shared" si="17"/>
        <v>0</v>
      </c>
    </row>
    <row r="65" spans="1:84" x14ac:dyDescent="0.2">
      <c r="A65">
        <v>53</v>
      </c>
      <c r="G65">
        <f t="shared" si="9"/>
        <v>0</v>
      </c>
      <c r="U65">
        <f t="shared" si="10"/>
        <v>0</v>
      </c>
      <c r="BA65">
        <f t="shared" ca="1" si="11"/>
        <v>0</v>
      </c>
      <c r="BB65">
        <f t="shared" ca="1" si="12"/>
        <v>0</v>
      </c>
      <c r="CB65">
        <f t="shared" si="13"/>
        <v>0</v>
      </c>
      <c r="CC65">
        <f t="shared" si="14"/>
        <v>0</v>
      </c>
      <c r="CD65">
        <f t="shared" si="15"/>
        <v>0</v>
      </c>
      <c r="CE65">
        <f t="shared" si="16"/>
        <v>0</v>
      </c>
      <c r="CF65">
        <f t="shared" si="17"/>
        <v>0</v>
      </c>
    </row>
    <row r="66" spans="1:84" x14ac:dyDescent="0.2">
      <c r="A66">
        <v>54</v>
      </c>
      <c r="G66">
        <f t="shared" si="9"/>
        <v>0</v>
      </c>
      <c r="U66">
        <f t="shared" si="10"/>
        <v>0</v>
      </c>
      <c r="BA66">
        <f t="shared" ca="1" si="11"/>
        <v>0</v>
      </c>
      <c r="BB66">
        <f t="shared" ca="1" si="12"/>
        <v>0</v>
      </c>
      <c r="CB66">
        <f t="shared" si="13"/>
        <v>0</v>
      </c>
      <c r="CC66">
        <f t="shared" si="14"/>
        <v>0</v>
      </c>
      <c r="CD66">
        <f t="shared" si="15"/>
        <v>0</v>
      </c>
      <c r="CE66">
        <f t="shared" si="16"/>
        <v>0</v>
      </c>
      <c r="CF66">
        <f t="shared" si="17"/>
        <v>0</v>
      </c>
    </row>
    <row r="67" spans="1:84" x14ac:dyDescent="0.2">
      <c r="A67">
        <v>55</v>
      </c>
      <c r="B67" t="s">
        <v>3691</v>
      </c>
      <c r="G67">
        <f t="shared" ref="G67:U67" si="18">SUM(G13:G66)</f>
        <v>0</v>
      </c>
      <c r="H67">
        <f t="shared" si="18"/>
        <v>0</v>
      </c>
      <c r="I67">
        <f t="shared" si="18"/>
        <v>0</v>
      </c>
      <c r="J67">
        <f t="shared" si="18"/>
        <v>0</v>
      </c>
      <c r="K67">
        <f t="shared" si="18"/>
        <v>0</v>
      </c>
      <c r="L67">
        <f t="shared" si="18"/>
        <v>0</v>
      </c>
      <c r="M67">
        <f t="shared" si="18"/>
        <v>0</v>
      </c>
      <c r="N67">
        <f t="shared" si="18"/>
        <v>0</v>
      </c>
      <c r="O67">
        <f t="shared" si="18"/>
        <v>0</v>
      </c>
      <c r="P67">
        <f t="shared" si="18"/>
        <v>0</v>
      </c>
      <c r="Q67">
        <f t="shared" si="18"/>
        <v>0</v>
      </c>
      <c r="R67">
        <f t="shared" si="18"/>
        <v>0</v>
      </c>
      <c r="S67">
        <f t="shared" si="18"/>
        <v>0</v>
      </c>
      <c r="T67">
        <f t="shared" si="18"/>
        <v>0</v>
      </c>
      <c r="U67">
        <f t="shared" si="18"/>
        <v>0</v>
      </c>
      <c r="BA67">
        <f t="shared" ca="1" si="11"/>
        <v>0</v>
      </c>
      <c r="BB67">
        <f t="shared" ca="1" si="12"/>
        <v>0</v>
      </c>
    </row>
    <row r="68" spans="1:84" x14ac:dyDescent="0.2">
      <c r="B68" t="s">
        <v>3692</v>
      </c>
      <c r="C68" t="s">
        <v>2837</v>
      </c>
      <c r="D68" t="s">
        <v>3685</v>
      </c>
      <c r="E68" t="s">
        <v>2839</v>
      </c>
      <c r="F68" t="s">
        <v>2840</v>
      </c>
      <c r="T68" t="s">
        <v>3693</v>
      </c>
    </row>
    <row r="69" spans="1:84" x14ac:dyDescent="0.2">
      <c r="A69">
        <v>56</v>
      </c>
      <c r="CB69">
        <f t="shared" ref="CB69:CB100" si="19">IF(OR(T69&lt;0),1,0)</f>
        <v>0</v>
      </c>
      <c r="CC69">
        <f t="shared" ref="CC69:CC100" si="20">IF(AND(T69&gt;0,ISBLANK(B69)),1,IF(AND(T69&gt;0,ISBLANK(C69)),1,IF(AND(T69&gt;0,ISBLANK(D69)),1,IF(AND(T69&gt;0,ISBLANK(E69)),1,IF(AND(T69&gt;0,ISBLANK(F69)),1,0)))))</f>
        <v>0</v>
      </c>
      <c r="CE69">
        <f t="shared" ref="CE69:CE100" si="21">IF(AND((G69+T69)=0,COUNTA(B69:F69)&lt;&gt;0),1,0)</f>
        <v>0</v>
      </c>
      <c r="CF69">
        <f t="shared" ref="CF69:CF100" si="22">IF(AND(C69="UNIDENTIFIED",F69&lt;&gt;"H"),1,0)</f>
        <v>0</v>
      </c>
    </row>
    <row r="70" spans="1:84" x14ac:dyDescent="0.2">
      <c r="A70">
        <v>57</v>
      </c>
      <c r="CB70">
        <f t="shared" si="19"/>
        <v>0</v>
      </c>
      <c r="CC70">
        <f t="shared" si="20"/>
        <v>0</v>
      </c>
      <c r="CE70">
        <f t="shared" si="21"/>
        <v>0</v>
      </c>
      <c r="CF70">
        <f t="shared" si="22"/>
        <v>0</v>
      </c>
    </row>
    <row r="71" spans="1:84" x14ac:dyDescent="0.2">
      <c r="A71">
        <v>58</v>
      </c>
      <c r="CB71">
        <f t="shared" si="19"/>
        <v>0</v>
      </c>
      <c r="CC71">
        <f t="shared" si="20"/>
        <v>0</v>
      </c>
      <c r="CE71">
        <f t="shared" si="21"/>
        <v>0</v>
      </c>
      <c r="CF71">
        <f t="shared" si="22"/>
        <v>0</v>
      </c>
    </row>
    <row r="72" spans="1:84" x14ac:dyDescent="0.2">
      <c r="A72">
        <v>59</v>
      </c>
      <c r="CB72">
        <f t="shared" si="19"/>
        <v>0</v>
      </c>
      <c r="CC72">
        <f t="shared" si="20"/>
        <v>0</v>
      </c>
      <c r="CE72">
        <f t="shared" si="21"/>
        <v>0</v>
      </c>
      <c r="CF72">
        <f t="shared" si="22"/>
        <v>0</v>
      </c>
    </row>
    <row r="73" spans="1:84" x14ac:dyDescent="0.2">
      <c r="A73">
        <v>60</v>
      </c>
      <c r="CB73">
        <f t="shared" si="19"/>
        <v>0</v>
      </c>
      <c r="CC73">
        <f t="shared" si="20"/>
        <v>0</v>
      </c>
      <c r="CE73">
        <f t="shared" si="21"/>
        <v>0</v>
      </c>
      <c r="CF73">
        <f t="shared" si="22"/>
        <v>0</v>
      </c>
    </row>
    <row r="74" spans="1:84" x14ac:dyDescent="0.2">
      <c r="A74">
        <v>61</v>
      </c>
      <c r="CB74">
        <f t="shared" si="19"/>
        <v>0</v>
      </c>
      <c r="CC74">
        <f t="shared" si="20"/>
        <v>0</v>
      </c>
      <c r="CE74">
        <f t="shared" si="21"/>
        <v>0</v>
      </c>
      <c r="CF74">
        <f t="shared" si="22"/>
        <v>0</v>
      </c>
    </row>
    <row r="75" spans="1:84" x14ac:dyDescent="0.2">
      <c r="A75">
        <v>62</v>
      </c>
      <c r="CB75">
        <f t="shared" si="19"/>
        <v>0</v>
      </c>
      <c r="CC75">
        <f t="shared" si="20"/>
        <v>0</v>
      </c>
      <c r="CE75">
        <f t="shared" si="21"/>
        <v>0</v>
      </c>
      <c r="CF75">
        <f t="shared" si="22"/>
        <v>0</v>
      </c>
    </row>
    <row r="76" spans="1:84" x14ac:dyDescent="0.2">
      <c r="A76">
        <v>63</v>
      </c>
      <c r="CB76">
        <f t="shared" si="19"/>
        <v>0</v>
      </c>
      <c r="CC76">
        <f t="shared" si="20"/>
        <v>0</v>
      </c>
      <c r="CE76">
        <f t="shared" si="21"/>
        <v>0</v>
      </c>
      <c r="CF76">
        <f t="shared" si="22"/>
        <v>0</v>
      </c>
    </row>
    <row r="77" spans="1:84" x14ac:dyDescent="0.2">
      <c r="A77">
        <v>64</v>
      </c>
      <c r="CB77">
        <f t="shared" si="19"/>
        <v>0</v>
      </c>
      <c r="CC77">
        <f t="shared" si="20"/>
        <v>0</v>
      </c>
      <c r="CE77">
        <f t="shared" si="21"/>
        <v>0</v>
      </c>
      <c r="CF77">
        <f t="shared" si="22"/>
        <v>0</v>
      </c>
    </row>
    <row r="78" spans="1:84" x14ac:dyDescent="0.2">
      <c r="A78">
        <v>65</v>
      </c>
      <c r="CB78">
        <f t="shared" si="19"/>
        <v>0</v>
      </c>
      <c r="CC78">
        <f t="shared" si="20"/>
        <v>0</v>
      </c>
      <c r="CE78">
        <f t="shared" si="21"/>
        <v>0</v>
      </c>
      <c r="CF78">
        <f t="shared" si="22"/>
        <v>0</v>
      </c>
    </row>
    <row r="79" spans="1:84" x14ac:dyDescent="0.2">
      <c r="A79">
        <v>66</v>
      </c>
      <c r="CB79">
        <f t="shared" si="19"/>
        <v>0</v>
      </c>
      <c r="CC79">
        <f t="shared" si="20"/>
        <v>0</v>
      </c>
      <c r="CE79">
        <f t="shared" si="21"/>
        <v>0</v>
      </c>
      <c r="CF79">
        <f t="shared" si="22"/>
        <v>0</v>
      </c>
    </row>
    <row r="80" spans="1:84" x14ac:dyDescent="0.2">
      <c r="A80">
        <v>67</v>
      </c>
      <c r="CB80">
        <f t="shared" si="19"/>
        <v>0</v>
      </c>
      <c r="CC80">
        <f t="shared" si="20"/>
        <v>0</v>
      </c>
      <c r="CE80">
        <f t="shared" si="21"/>
        <v>0</v>
      </c>
      <c r="CF80">
        <f t="shared" si="22"/>
        <v>0</v>
      </c>
    </row>
    <row r="81" spans="1:84" x14ac:dyDescent="0.2">
      <c r="A81">
        <v>68</v>
      </c>
      <c r="CB81">
        <f t="shared" si="19"/>
        <v>0</v>
      </c>
      <c r="CC81">
        <f t="shared" si="20"/>
        <v>0</v>
      </c>
      <c r="CE81">
        <f t="shared" si="21"/>
        <v>0</v>
      </c>
      <c r="CF81">
        <f t="shared" si="22"/>
        <v>0</v>
      </c>
    </row>
    <row r="82" spans="1:84" x14ac:dyDescent="0.2">
      <c r="A82">
        <v>69</v>
      </c>
      <c r="CB82">
        <f t="shared" si="19"/>
        <v>0</v>
      </c>
      <c r="CC82">
        <f t="shared" si="20"/>
        <v>0</v>
      </c>
      <c r="CE82">
        <f t="shared" si="21"/>
        <v>0</v>
      </c>
      <c r="CF82">
        <f t="shared" si="22"/>
        <v>0</v>
      </c>
    </row>
    <row r="83" spans="1:84" x14ac:dyDescent="0.2">
      <c r="A83">
        <v>70</v>
      </c>
      <c r="CB83">
        <f t="shared" si="19"/>
        <v>0</v>
      </c>
      <c r="CC83">
        <f t="shared" si="20"/>
        <v>0</v>
      </c>
      <c r="CE83">
        <f t="shared" si="21"/>
        <v>0</v>
      </c>
      <c r="CF83">
        <f t="shared" si="22"/>
        <v>0</v>
      </c>
    </row>
    <row r="84" spans="1:84" x14ac:dyDescent="0.2">
      <c r="A84">
        <v>71</v>
      </c>
      <c r="CB84">
        <f t="shared" si="19"/>
        <v>0</v>
      </c>
      <c r="CC84">
        <f t="shared" si="20"/>
        <v>0</v>
      </c>
      <c r="CE84">
        <f t="shared" si="21"/>
        <v>0</v>
      </c>
      <c r="CF84">
        <f t="shared" si="22"/>
        <v>0</v>
      </c>
    </row>
    <row r="85" spans="1:84" x14ac:dyDescent="0.2">
      <c r="A85">
        <v>72</v>
      </c>
      <c r="CB85">
        <f t="shared" si="19"/>
        <v>0</v>
      </c>
      <c r="CC85">
        <f t="shared" si="20"/>
        <v>0</v>
      </c>
      <c r="CE85">
        <f t="shared" si="21"/>
        <v>0</v>
      </c>
      <c r="CF85">
        <f t="shared" si="22"/>
        <v>0</v>
      </c>
    </row>
    <row r="86" spans="1:84" x14ac:dyDescent="0.2">
      <c r="A86">
        <v>73</v>
      </c>
      <c r="CB86">
        <f t="shared" si="19"/>
        <v>0</v>
      </c>
      <c r="CC86">
        <f t="shared" si="20"/>
        <v>0</v>
      </c>
      <c r="CE86">
        <f t="shared" si="21"/>
        <v>0</v>
      </c>
      <c r="CF86">
        <f t="shared" si="22"/>
        <v>0</v>
      </c>
    </row>
    <row r="87" spans="1:84" x14ac:dyDescent="0.2">
      <c r="A87">
        <v>74</v>
      </c>
      <c r="CB87">
        <f t="shared" si="19"/>
        <v>0</v>
      </c>
      <c r="CC87">
        <f t="shared" si="20"/>
        <v>0</v>
      </c>
      <c r="CE87">
        <f t="shared" si="21"/>
        <v>0</v>
      </c>
      <c r="CF87">
        <f t="shared" si="22"/>
        <v>0</v>
      </c>
    </row>
    <row r="88" spans="1:84" x14ac:dyDescent="0.2">
      <c r="A88">
        <v>75</v>
      </c>
      <c r="CB88">
        <f t="shared" si="19"/>
        <v>0</v>
      </c>
      <c r="CC88">
        <f t="shared" si="20"/>
        <v>0</v>
      </c>
      <c r="CE88">
        <f t="shared" si="21"/>
        <v>0</v>
      </c>
      <c r="CF88">
        <f t="shared" si="22"/>
        <v>0</v>
      </c>
    </row>
    <row r="89" spans="1:84" x14ac:dyDescent="0.2">
      <c r="A89">
        <v>76</v>
      </c>
      <c r="CB89">
        <f t="shared" si="19"/>
        <v>0</v>
      </c>
      <c r="CC89">
        <f t="shared" si="20"/>
        <v>0</v>
      </c>
      <c r="CE89">
        <f t="shared" si="21"/>
        <v>0</v>
      </c>
      <c r="CF89">
        <f t="shared" si="22"/>
        <v>0</v>
      </c>
    </row>
    <row r="90" spans="1:84" x14ac:dyDescent="0.2">
      <c r="A90">
        <v>77</v>
      </c>
      <c r="CB90">
        <f t="shared" si="19"/>
        <v>0</v>
      </c>
      <c r="CC90">
        <f t="shared" si="20"/>
        <v>0</v>
      </c>
      <c r="CE90">
        <f t="shared" si="21"/>
        <v>0</v>
      </c>
      <c r="CF90">
        <f t="shared" si="22"/>
        <v>0</v>
      </c>
    </row>
    <row r="91" spans="1:84" x14ac:dyDescent="0.2">
      <c r="A91">
        <v>78</v>
      </c>
      <c r="CB91">
        <f t="shared" si="19"/>
        <v>0</v>
      </c>
      <c r="CC91">
        <f t="shared" si="20"/>
        <v>0</v>
      </c>
      <c r="CE91">
        <f t="shared" si="21"/>
        <v>0</v>
      </c>
      <c r="CF91">
        <f t="shared" si="22"/>
        <v>0</v>
      </c>
    </row>
    <row r="92" spans="1:84" x14ac:dyDescent="0.2">
      <c r="A92">
        <v>79</v>
      </c>
      <c r="CB92">
        <f t="shared" si="19"/>
        <v>0</v>
      </c>
      <c r="CC92">
        <f t="shared" si="20"/>
        <v>0</v>
      </c>
      <c r="CE92">
        <f t="shared" si="21"/>
        <v>0</v>
      </c>
      <c r="CF92">
        <f t="shared" si="22"/>
        <v>0</v>
      </c>
    </row>
    <row r="93" spans="1:84" x14ac:dyDescent="0.2">
      <c r="A93">
        <v>80</v>
      </c>
      <c r="CB93">
        <f t="shared" si="19"/>
        <v>0</v>
      </c>
      <c r="CC93">
        <f t="shared" si="20"/>
        <v>0</v>
      </c>
      <c r="CE93">
        <f t="shared" si="21"/>
        <v>0</v>
      </c>
      <c r="CF93">
        <f t="shared" si="22"/>
        <v>0</v>
      </c>
    </row>
    <row r="94" spans="1:84" x14ac:dyDescent="0.2">
      <c r="A94">
        <v>81</v>
      </c>
      <c r="CB94">
        <f t="shared" si="19"/>
        <v>0</v>
      </c>
      <c r="CC94">
        <f t="shared" si="20"/>
        <v>0</v>
      </c>
      <c r="CE94">
        <f t="shared" si="21"/>
        <v>0</v>
      </c>
      <c r="CF94">
        <f t="shared" si="22"/>
        <v>0</v>
      </c>
    </row>
    <row r="95" spans="1:84" x14ac:dyDescent="0.2">
      <c r="A95">
        <v>82</v>
      </c>
      <c r="CB95">
        <f t="shared" si="19"/>
        <v>0</v>
      </c>
      <c r="CC95">
        <f t="shared" si="20"/>
        <v>0</v>
      </c>
      <c r="CE95">
        <f t="shared" si="21"/>
        <v>0</v>
      </c>
      <c r="CF95">
        <f t="shared" si="22"/>
        <v>0</v>
      </c>
    </row>
    <row r="96" spans="1:84" x14ac:dyDescent="0.2">
      <c r="A96">
        <v>83</v>
      </c>
      <c r="CB96">
        <f t="shared" si="19"/>
        <v>0</v>
      </c>
      <c r="CC96">
        <f t="shared" si="20"/>
        <v>0</v>
      </c>
      <c r="CE96">
        <f t="shared" si="21"/>
        <v>0</v>
      </c>
      <c r="CF96">
        <f t="shared" si="22"/>
        <v>0</v>
      </c>
    </row>
    <row r="97" spans="1:84" x14ac:dyDescent="0.2">
      <c r="A97">
        <v>84</v>
      </c>
      <c r="CB97">
        <f t="shared" si="19"/>
        <v>0</v>
      </c>
      <c r="CC97">
        <f t="shared" si="20"/>
        <v>0</v>
      </c>
      <c r="CE97">
        <f t="shared" si="21"/>
        <v>0</v>
      </c>
      <c r="CF97">
        <f t="shared" si="22"/>
        <v>0</v>
      </c>
    </row>
    <row r="98" spans="1:84" x14ac:dyDescent="0.2">
      <c r="A98">
        <v>85</v>
      </c>
      <c r="CB98">
        <f t="shared" si="19"/>
        <v>0</v>
      </c>
      <c r="CC98">
        <f t="shared" si="20"/>
        <v>0</v>
      </c>
      <c r="CE98">
        <f t="shared" si="21"/>
        <v>0</v>
      </c>
      <c r="CF98">
        <f t="shared" si="22"/>
        <v>0</v>
      </c>
    </row>
    <row r="99" spans="1:84" x14ac:dyDescent="0.2">
      <c r="A99">
        <v>86</v>
      </c>
      <c r="CB99">
        <f t="shared" si="19"/>
        <v>0</v>
      </c>
      <c r="CC99">
        <f t="shared" si="20"/>
        <v>0</v>
      </c>
      <c r="CE99">
        <f t="shared" si="21"/>
        <v>0</v>
      </c>
      <c r="CF99">
        <f t="shared" si="22"/>
        <v>0</v>
      </c>
    </row>
    <row r="100" spans="1:84" x14ac:dyDescent="0.2">
      <c r="A100">
        <v>87</v>
      </c>
      <c r="CB100">
        <f t="shared" si="19"/>
        <v>0</v>
      </c>
      <c r="CC100">
        <f t="shared" si="20"/>
        <v>0</v>
      </c>
      <c r="CE100">
        <f t="shared" si="21"/>
        <v>0</v>
      </c>
      <c r="CF100">
        <f t="shared" si="22"/>
        <v>0</v>
      </c>
    </row>
    <row r="101" spans="1:84" x14ac:dyDescent="0.2">
      <c r="A101">
        <v>88</v>
      </c>
      <c r="CB101">
        <f t="shared" ref="CB101:CB122" si="23">IF(OR(T101&lt;0),1,0)</f>
        <v>0</v>
      </c>
      <c r="CC101">
        <f t="shared" ref="CC101:CC122" si="24">IF(AND(T101&gt;0,ISBLANK(B101)),1,IF(AND(T101&gt;0,ISBLANK(C101)),1,IF(AND(T101&gt;0,ISBLANK(D101)),1,IF(AND(T101&gt;0,ISBLANK(E101)),1,IF(AND(T101&gt;0,ISBLANK(F101)),1,0)))))</f>
        <v>0</v>
      </c>
      <c r="CE101">
        <f t="shared" ref="CE101:CE122" si="25">IF(AND((G101+T101)=0,COUNTA(B101:F101)&lt;&gt;0),1,0)</f>
        <v>0</v>
      </c>
      <c r="CF101">
        <f t="shared" ref="CF101:CF122" si="26">IF(AND(C101="UNIDENTIFIED",F101&lt;&gt;"H"),1,0)</f>
        <v>0</v>
      </c>
    </row>
    <row r="102" spans="1:84" x14ac:dyDescent="0.2">
      <c r="A102">
        <v>89</v>
      </c>
      <c r="CB102">
        <f t="shared" si="23"/>
        <v>0</v>
      </c>
      <c r="CC102">
        <f t="shared" si="24"/>
        <v>0</v>
      </c>
      <c r="CE102">
        <f t="shared" si="25"/>
        <v>0</v>
      </c>
      <c r="CF102">
        <f t="shared" si="26"/>
        <v>0</v>
      </c>
    </row>
    <row r="103" spans="1:84" x14ac:dyDescent="0.2">
      <c r="A103">
        <v>90</v>
      </c>
      <c r="CB103">
        <f t="shared" si="23"/>
        <v>0</v>
      </c>
      <c r="CC103">
        <f t="shared" si="24"/>
        <v>0</v>
      </c>
      <c r="CE103">
        <f t="shared" si="25"/>
        <v>0</v>
      </c>
      <c r="CF103">
        <f t="shared" si="26"/>
        <v>0</v>
      </c>
    </row>
    <row r="104" spans="1:84" x14ac:dyDescent="0.2">
      <c r="A104">
        <v>91</v>
      </c>
      <c r="CB104">
        <f t="shared" si="23"/>
        <v>0</v>
      </c>
      <c r="CC104">
        <f t="shared" si="24"/>
        <v>0</v>
      </c>
      <c r="CE104">
        <f t="shared" si="25"/>
        <v>0</v>
      </c>
      <c r="CF104">
        <f t="shared" si="26"/>
        <v>0</v>
      </c>
    </row>
    <row r="105" spans="1:84" x14ac:dyDescent="0.2">
      <c r="A105">
        <v>92</v>
      </c>
      <c r="CB105">
        <f t="shared" si="23"/>
        <v>0</v>
      </c>
      <c r="CC105">
        <f t="shared" si="24"/>
        <v>0</v>
      </c>
      <c r="CE105">
        <f t="shared" si="25"/>
        <v>0</v>
      </c>
      <c r="CF105">
        <f t="shared" si="26"/>
        <v>0</v>
      </c>
    </row>
    <row r="106" spans="1:84" x14ac:dyDescent="0.2">
      <c r="A106">
        <v>93</v>
      </c>
      <c r="CB106">
        <f t="shared" si="23"/>
        <v>0</v>
      </c>
      <c r="CC106">
        <f t="shared" si="24"/>
        <v>0</v>
      </c>
      <c r="CE106">
        <f t="shared" si="25"/>
        <v>0</v>
      </c>
      <c r="CF106">
        <f t="shared" si="26"/>
        <v>0</v>
      </c>
    </row>
    <row r="107" spans="1:84" x14ac:dyDescent="0.2">
      <c r="A107">
        <v>94</v>
      </c>
      <c r="CB107">
        <f t="shared" si="23"/>
        <v>0</v>
      </c>
      <c r="CC107">
        <f t="shared" si="24"/>
        <v>0</v>
      </c>
      <c r="CE107">
        <f t="shared" si="25"/>
        <v>0</v>
      </c>
      <c r="CF107">
        <f t="shared" si="26"/>
        <v>0</v>
      </c>
    </row>
    <row r="108" spans="1:84" x14ac:dyDescent="0.2">
      <c r="A108">
        <v>95</v>
      </c>
      <c r="CB108">
        <f t="shared" si="23"/>
        <v>0</v>
      </c>
      <c r="CC108">
        <f t="shared" si="24"/>
        <v>0</v>
      </c>
      <c r="CE108">
        <f t="shared" si="25"/>
        <v>0</v>
      </c>
      <c r="CF108">
        <f t="shared" si="26"/>
        <v>0</v>
      </c>
    </row>
    <row r="109" spans="1:84" x14ac:dyDescent="0.2">
      <c r="A109">
        <v>96</v>
      </c>
      <c r="CB109">
        <f t="shared" si="23"/>
        <v>0</v>
      </c>
      <c r="CC109">
        <f t="shared" si="24"/>
        <v>0</v>
      </c>
      <c r="CE109">
        <f t="shared" si="25"/>
        <v>0</v>
      </c>
      <c r="CF109">
        <f t="shared" si="26"/>
        <v>0</v>
      </c>
    </row>
    <row r="110" spans="1:84" x14ac:dyDescent="0.2">
      <c r="A110">
        <v>97</v>
      </c>
      <c r="CB110">
        <f t="shared" si="23"/>
        <v>0</v>
      </c>
      <c r="CC110">
        <f t="shared" si="24"/>
        <v>0</v>
      </c>
      <c r="CE110">
        <f t="shared" si="25"/>
        <v>0</v>
      </c>
      <c r="CF110">
        <f t="shared" si="26"/>
        <v>0</v>
      </c>
    </row>
    <row r="111" spans="1:84" x14ac:dyDescent="0.2">
      <c r="A111">
        <v>98</v>
      </c>
      <c r="CB111">
        <f t="shared" si="23"/>
        <v>0</v>
      </c>
      <c r="CC111">
        <f t="shared" si="24"/>
        <v>0</v>
      </c>
      <c r="CE111">
        <f t="shared" si="25"/>
        <v>0</v>
      </c>
      <c r="CF111">
        <f t="shared" si="26"/>
        <v>0</v>
      </c>
    </row>
    <row r="112" spans="1:84" x14ac:dyDescent="0.2">
      <c r="A112">
        <v>99</v>
      </c>
      <c r="CB112">
        <f t="shared" si="23"/>
        <v>0</v>
      </c>
      <c r="CC112">
        <f t="shared" si="24"/>
        <v>0</v>
      </c>
      <c r="CE112">
        <f t="shared" si="25"/>
        <v>0</v>
      </c>
      <c r="CF112">
        <f t="shared" si="26"/>
        <v>0</v>
      </c>
    </row>
    <row r="113" spans="1:84" x14ac:dyDescent="0.2">
      <c r="A113">
        <v>100</v>
      </c>
      <c r="CB113">
        <f t="shared" si="23"/>
        <v>0</v>
      </c>
      <c r="CC113">
        <f t="shared" si="24"/>
        <v>0</v>
      </c>
      <c r="CE113">
        <f t="shared" si="25"/>
        <v>0</v>
      </c>
      <c r="CF113">
        <f t="shared" si="26"/>
        <v>0</v>
      </c>
    </row>
    <row r="114" spans="1:84" x14ac:dyDescent="0.2">
      <c r="A114">
        <v>101</v>
      </c>
      <c r="CB114">
        <f t="shared" si="23"/>
        <v>0</v>
      </c>
      <c r="CC114">
        <f t="shared" si="24"/>
        <v>0</v>
      </c>
      <c r="CE114">
        <f t="shared" si="25"/>
        <v>0</v>
      </c>
      <c r="CF114">
        <f t="shared" si="26"/>
        <v>0</v>
      </c>
    </row>
    <row r="115" spans="1:84" x14ac:dyDescent="0.2">
      <c r="A115">
        <v>102</v>
      </c>
      <c r="CB115">
        <f t="shared" si="23"/>
        <v>0</v>
      </c>
      <c r="CC115">
        <f t="shared" si="24"/>
        <v>0</v>
      </c>
      <c r="CE115">
        <f t="shared" si="25"/>
        <v>0</v>
      </c>
      <c r="CF115">
        <f t="shared" si="26"/>
        <v>0</v>
      </c>
    </row>
    <row r="116" spans="1:84" x14ac:dyDescent="0.2">
      <c r="A116">
        <v>103</v>
      </c>
      <c r="CB116">
        <f t="shared" si="23"/>
        <v>0</v>
      </c>
      <c r="CC116">
        <f t="shared" si="24"/>
        <v>0</v>
      </c>
      <c r="CE116">
        <f t="shared" si="25"/>
        <v>0</v>
      </c>
      <c r="CF116">
        <f t="shared" si="26"/>
        <v>0</v>
      </c>
    </row>
    <row r="117" spans="1:84" x14ac:dyDescent="0.2">
      <c r="A117">
        <v>104</v>
      </c>
      <c r="CB117">
        <f t="shared" si="23"/>
        <v>0</v>
      </c>
      <c r="CC117">
        <f t="shared" si="24"/>
        <v>0</v>
      </c>
      <c r="CE117">
        <f t="shared" si="25"/>
        <v>0</v>
      </c>
      <c r="CF117">
        <f t="shared" si="26"/>
        <v>0</v>
      </c>
    </row>
    <row r="118" spans="1:84" x14ac:dyDescent="0.2">
      <c r="A118">
        <v>105</v>
      </c>
      <c r="CB118">
        <f t="shared" si="23"/>
        <v>0</v>
      </c>
      <c r="CC118">
        <f t="shared" si="24"/>
        <v>0</v>
      </c>
      <c r="CE118">
        <f t="shared" si="25"/>
        <v>0</v>
      </c>
      <c r="CF118">
        <f t="shared" si="26"/>
        <v>0</v>
      </c>
    </row>
    <row r="119" spans="1:84" x14ac:dyDescent="0.2">
      <c r="A119">
        <v>106</v>
      </c>
      <c r="CB119">
        <f t="shared" si="23"/>
        <v>0</v>
      </c>
      <c r="CC119">
        <f t="shared" si="24"/>
        <v>0</v>
      </c>
      <c r="CE119">
        <f t="shared" si="25"/>
        <v>0</v>
      </c>
      <c r="CF119">
        <f t="shared" si="26"/>
        <v>0</v>
      </c>
    </row>
    <row r="120" spans="1:84" x14ac:dyDescent="0.2">
      <c r="A120">
        <v>107</v>
      </c>
      <c r="CB120">
        <f t="shared" si="23"/>
        <v>0</v>
      </c>
      <c r="CC120">
        <f t="shared" si="24"/>
        <v>0</v>
      </c>
      <c r="CE120">
        <f t="shared" si="25"/>
        <v>0</v>
      </c>
      <c r="CF120">
        <f t="shared" si="26"/>
        <v>0</v>
      </c>
    </row>
    <row r="121" spans="1:84" x14ac:dyDescent="0.2">
      <c r="A121">
        <v>108</v>
      </c>
      <c r="CB121">
        <f t="shared" si="23"/>
        <v>0</v>
      </c>
      <c r="CC121">
        <f t="shared" si="24"/>
        <v>0</v>
      </c>
      <c r="CE121">
        <f t="shared" si="25"/>
        <v>0</v>
      </c>
      <c r="CF121">
        <f t="shared" si="26"/>
        <v>0</v>
      </c>
    </row>
    <row r="122" spans="1:84" x14ac:dyDescent="0.2">
      <c r="A122">
        <v>109</v>
      </c>
      <c r="CB122">
        <f t="shared" si="23"/>
        <v>0</v>
      </c>
      <c r="CC122">
        <f t="shared" si="24"/>
        <v>0</v>
      </c>
      <c r="CE122">
        <f t="shared" si="25"/>
        <v>0</v>
      </c>
      <c r="CF122">
        <f t="shared" si="26"/>
        <v>0</v>
      </c>
    </row>
    <row r="123" spans="1:84" x14ac:dyDescent="0.2">
      <c r="A123">
        <v>110</v>
      </c>
      <c r="B123" t="s">
        <v>3694</v>
      </c>
      <c r="T123">
        <f>SUM(T69:T122)</f>
        <v>0</v>
      </c>
    </row>
    <row r="124" spans="1:84" x14ac:dyDescent="0.2">
      <c r="A124">
        <v>111</v>
      </c>
      <c r="B124" t="s">
        <v>3695</v>
      </c>
      <c r="G124">
        <f t="shared" ref="G124:S124" si="27">G67</f>
        <v>0</v>
      </c>
      <c r="H124">
        <f t="shared" si="27"/>
        <v>0</v>
      </c>
      <c r="I124">
        <f t="shared" si="27"/>
        <v>0</v>
      </c>
      <c r="J124">
        <f t="shared" si="27"/>
        <v>0</v>
      </c>
      <c r="K124">
        <f t="shared" si="27"/>
        <v>0</v>
      </c>
      <c r="L124">
        <f t="shared" si="27"/>
        <v>0</v>
      </c>
      <c r="M124">
        <f t="shared" si="27"/>
        <v>0</v>
      </c>
      <c r="N124">
        <f t="shared" si="27"/>
        <v>0</v>
      </c>
      <c r="O124">
        <f t="shared" si="27"/>
        <v>0</v>
      </c>
      <c r="P124">
        <f t="shared" si="27"/>
        <v>0</v>
      </c>
      <c r="Q124">
        <f t="shared" si="27"/>
        <v>0</v>
      </c>
      <c r="R124">
        <f t="shared" si="27"/>
        <v>0</v>
      </c>
      <c r="S124">
        <f t="shared" si="27"/>
        <v>0</v>
      </c>
      <c r="T124">
        <f>T67+T123</f>
        <v>0</v>
      </c>
      <c r="U124">
        <f>U67+U123</f>
        <v>0</v>
      </c>
    </row>
    <row r="126" spans="1:84" x14ac:dyDescent="0.2">
      <c r="N126" t="s">
        <v>3688</v>
      </c>
    </row>
    <row r="127" spans="1:84" x14ac:dyDescent="0.2">
      <c r="C127" t="s">
        <v>238</v>
      </c>
      <c r="D127" t="s">
        <v>2856</v>
      </c>
      <c r="E127" t="s">
        <v>2843</v>
      </c>
      <c r="F127" t="s">
        <v>2844</v>
      </c>
      <c r="G127" t="s">
        <v>2845</v>
      </c>
      <c r="H127" t="s">
        <v>2846</v>
      </c>
      <c r="I127" t="s">
        <v>2764</v>
      </c>
      <c r="J127" t="s">
        <v>2765</v>
      </c>
      <c r="K127" t="s">
        <v>2847</v>
      </c>
      <c r="L127" t="s">
        <v>2848</v>
      </c>
      <c r="M127" t="s">
        <v>2849</v>
      </c>
      <c r="N127" t="s">
        <v>340</v>
      </c>
      <c r="O127" t="s">
        <v>2764</v>
      </c>
      <c r="P127" t="s">
        <v>2765</v>
      </c>
      <c r="Q127" t="s">
        <v>2847</v>
      </c>
      <c r="R127" t="s">
        <v>2848</v>
      </c>
      <c r="S127" t="s">
        <v>2849</v>
      </c>
    </row>
    <row r="128" spans="1:84" x14ac:dyDescent="0.2">
      <c r="B128" t="s">
        <v>2855</v>
      </c>
      <c r="C128" t="s">
        <v>242</v>
      </c>
      <c r="D128" t="s">
        <v>2037</v>
      </c>
      <c r="E128" t="s">
        <v>2038</v>
      </c>
      <c r="F128" t="s">
        <v>2039</v>
      </c>
      <c r="G128" t="s">
        <v>2040</v>
      </c>
      <c r="H128" t="s">
        <v>2041</v>
      </c>
      <c r="I128" t="s">
        <v>2042</v>
      </c>
      <c r="J128" t="s">
        <v>2043</v>
      </c>
      <c r="K128" t="s">
        <v>2044</v>
      </c>
      <c r="L128" t="s">
        <v>2045</v>
      </c>
      <c r="M128" t="s">
        <v>2046</v>
      </c>
      <c r="N128" t="s">
        <v>2047</v>
      </c>
      <c r="O128" t="s">
        <v>2048</v>
      </c>
      <c r="P128" t="s">
        <v>2049</v>
      </c>
      <c r="Q128" t="s">
        <v>2050</v>
      </c>
      <c r="R128" t="s">
        <v>2051</v>
      </c>
      <c r="S128" t="s">
        <v>2052</v>
      </c>
    </row>
    <row r="129" spans="2:85" x14ac:dyDescent="0.2">
      <c r="D129" t="s">
        <v>243</v>
      </c>
      <c r="E129" t="s">
        <v>243</v>
      </c>
      <c r="F129" t="s">
        <v>243</v>
      </c>
      <c r="G129" t="s">
        <v>243</v>
      </c>
      <c r="H129" t="s">
        <v>243</v>
      </c>
      <c r="I129" t="s">
        <v>243</v>
      </c>
      <c r="J129" t="s">
        <v>243</v>
      </c>
      <c r="K129" t="s">
        <v>243</v>
      </c>
      <c r="L129" t="s">
        <v>243</v>
      </c>
      <c r="M129" t="s">
        <v>243</v>
      </c>
      <c r="N129" t="s">
        <v>243</v>
      </c>
      <c r="O129" t="s">
        <v>243</v>
      </c>
      <c r="P129" t="s">
        <v>243</v>
      </c>
      <c r="Q129" t="s">
        <v>243</v>
      </c>
      <c r="R129" t="s">
        <v>243</v>
      </c>
      <c r="S129" t="s">
        <v>243</v>
      </c>
    </row>
    <row r="130" spans="2:85" x14ac:dyDescent="0.2">
      <c r="B130" t="s">
        <v>2857</v>
      </c>
    </row>
    <row r="131" spans="2:85" x14ac:dyDescent="0.2">
      <c r="B131" t="s">
        <v>2850</v>
      </c>
      <c r="C131">
        <v>130</v>
      </c>
      <c r="D131">
        <f t="shared" ref="D131:D137" si="28">SUM(I131:J131)</f>
        <v>0</v>
      </c>
      <c r="E131">
        <f>0</f>
        <v>0</v>
      </c>
      <c r="F131">
        <f>0</f>
        <v>0</v>
      </c>
      <c r="G131">
        <f>0</f>
        <v>0</v>
      </c>
      <c r="H131">
        <f>0</f>
        <v>0</v>
      </c>
      <c r="I131">
        <f>0</f>
        <v>0</v>
      </c>
      <c r="J131">
        <f>0</f>
        <v>0</v>
      </c>
      <c r="K131">
        <f>0</f>
        <v>0</v>
      </c>
      <c r="L131">
        <f>0</f>
        <v>0</v>
      </c>
      <c r="M131">
        <f>0</f>
        <v>0</v>
      </c>
      <c r="N131">
        <f t="shared" ref="N131:N138" si="29">SUM(O131:P131)</f>
        <v>0</v>
      </c>
      <c r="O131">
        <f>0</f>
        <v>0</v>
      </c>
      <c r="P131">
        <f>0</f>
        <v>0</v>
      </c>
      <c r="Q131">
        <f>0</f>
        <v>0</v>
      </c>
      <c r="R131">
        <f>0</f>
        <v>0</v>
      </c>
      <c r="S131">
        <f>0</f>
        <v>0</v>
      </c>
    </row>
    <row r="132" spans="2:85" x14ac:dyDescent="0.2">
      <c r="B132" t="s">
        <v>2851</v>
      </c>
      <c r="C132">
        <v>140</v>
      </c>
      <c r="D132">
        <f t="shared" si="28"/>
        <v>0</v>
      </c>
      <c r="E132">
        <f>0</f>
        <v>0</v>
      </c>
      <c r="F132">
        <f>0</f>
        <v>0</v>
      </c>
      <c r="G132">
        <f>0</f>
        <v>0</v>
      </c>
      <c r="H132">
        <f>0</f>
        <v>0</v>
      </c>
      <c r="I132">
        <f>0</f>
        <v>0</v>
      </c>
      <c r="J132">
        <f>0</f>
        <v>0</v>
      </c>
      <c r="K132">
        <f>0</f>
        <v>0</v>
      </c>
      <c r="L132">
        <f>0</f>
        <v>0</v>
      </c>
      <c r="M132">
        <f>0</f>
        <v>0</v>
      </c>
      <c r="N132">
        <f t="shared" si="29"/>
        <v>0</v>
      </c>
      <c r="O132">
        <f>0</f>
        <v>0</v>
      </c>
      <c r="P132">
        <f>0</f>
        <v>0</v>
      </c>
      <c r="Q132">
        <f>0</f>
        <v>0</v>
      </c>
      <c r="R132">
        <f>0</f>
        <v>0</v>
      </c>
      <c r="S132">
        <f>0</f>
        <v>0</v>
      </c>
    </row>
    <row r="133" spans="2:85" x14ac:dyDescent="0.2">
      <c r="B133" t="s">
        <v>2852</v>
      </c>
      <c r="C133">
        <v>150</v>
      </c>
      <c r="D133">
        <f t="shared" si="28"/>
        <v>0</v>
      </c>
      <c r="E133">
        <f>0</f>
        <v>0</v>
      </c>
      <c r="F133">
        <f>0</f>
        <v>0</v>
      </c>
      <c r="G133">
        <f>0</f>
        <v>0</v>
      </c>
      <c r="H133">
        <f>0</f>
        <v>0</v>
      </c>
      <c r="I133">
        <f>0</f>
        <v>0</v>
      </c>
      <c r="J133">
        <f>0</f>
        <v>0</v>
      </c>
      <c r="K133">
        <f>0</f>
        <v>0</v>
      </c>
      <c r="L133">
        <f>0</f>
        <v>0</v>
      </c>
      <c r="M133">
        <f>0</f>
        <v>0</v>
      </c>
      <c r="N133">
        <f t="shared" si="29"/>
        <v>0</v>
      </c>
      <c r="O133">
        <f>0</f>
        <v>0</v>
      </c>
      <c r="P133">
        <f>0</f>
        <v>0</v>
      </c>
      <c r="Q133">
        <f>0</f>
        <v>0</v>
      </c>
      <c r="R133">
        <f>0</f>
        <v>0</v>
      </c>
      <c r="S133">
        <f>0</f>
        <v>0</v>
      </c>
    </row>
    <row r="134" spans="2:85" x14ac:dyDescent="0.2">
      <c r="B134" t="s">
        <v>2858</v>
      </c>
      <c r="C134">
        <v>160</v>
      </c>
      <c r="D134">
        <f t="shared" si="28"/>
        <v>0</v>
      </c>
      <c r="E134">
        <f>0</f>
        <v>0</v>
      </c>
      <c r="F134">
        <f>0</f>
        <v>0</v>
      </c>
      <c r="G134">
        <f>0</f>
        <v>0</v>
      </c>
      <c r="H134">
        <f>0</f>
        <v>0</v>
      </c>
      <c r="I134">
        <f>0</f>
        <v>0</v>
      </c>
      <c r="J134">
        <f>0</f>
        <v>0</v>
      </c>
      <c r="K134">
        <f>0</f>
        <v>0</v>
      </c>
      <c r="L134">
        <f>0</f>
        <v>0</v>
      </c>
      <c r="M134">
        <f>0</f>
        <v>0</v>
      </c>
      <c r="N134">
        <f t="shared" si="29"/>
        <v>0</v>
      </c>
      <c r="O134">
        <f>0</f>
        <v>0</v>
      </c>
      <c r="P134">
        <f>0</f>
        <v>0</v>
      </c>
      <c r="Q134">
        <f>0</f>
        <v>0</v>
      </c>
      <c r="R134">
        <f>0</f>
        <v>0</v>
      </c>
      <c r="S134">
        <f>0</f>
        <v>0</v>
      </c>
    </row>
    <row r="135" spans="2:85" x14ac:dyDescent="0.2">
      <c r="B135" t="s">
        <v>2859</v>
      </c>
      <c r="C135">
        <v>170</v>
      </c>
      <c r="D135">
        <f t="shared" si="28"/>
        <v>0</v>
      </c>
      <c r="E135">
        <f>0</f>
        <v>0</v>
      </c>
      <c r="F135">
        <f>0</f>
        <v>0</v>
      </c>
      <c r="G135">
        <f>0</f>
        <v>0</v>
      </c>
      <c r="H135">
        <f>0</f>
        <v>0</v>
      </c>
      <c r="I135">
        <f>0</f>
        <v>0</v>
      </c>
      <c r="J135">
        <f>0</f>
        <v>0</v>
      </c>
      <c r="K135">
        <f>0</f>
        <v>0</v>
      </c>
      <c r="L135">
        <f>0</f>
        <v>0</v>
      </c>
      <c r="M135">
        <f>0</f>
        <v>0</v>
      </c>
      <c r="N135">
        <f t="shared" si="29"/>
        <v>0</v>
      </c>
      <c r="O135">
        <f>0</f>
        <v>0</v>
      </c>
      <c r="P135">
        <f>0</f>
        <v>0</v>
      </c>
      <c r="Q135">
        <f>0</f>
        <v>0</v>
      </c>
      <c r="R135">
        <f>0</f>
        <v>0</v>
      </c>
      <c r="S135">
        <f>0</f>
        <v>0</v>
      </c>
    </row>
    <row r="136" spans="2:85" x14ac:dyDescent="0.2">
      <c r="B136" t="s">
        <v>2860</v>
      </c>
      <c r="C136">
        <v>180</v>
      </c>
      <c r="D136">
        <f t="shared" si="28"/>
        <v>0</v>
      </c>
      <c r="E136">
        <f>0</f>
        <v>0</v>
      </c>
      <c r="F136">
        <f>0</f>
        <v>0</v>
      </c>
      <c r="G136">
        <f>0</f>
        <v>0</v>
      </c>
      <c r="H136">
        <f>0</f>
        <v>0</v>
      </c>
      <c r="I136">
        <f>0</f>
        <v>0</v>
      </c>
      <c r="J136">
        <f>0</f>
        <v>0</v>
      </c>
      <c r="K136">
        <f>0</f>
        <v>0</v>
      </c>
      <c r="L136">
        <f>0</f>
        <v>0</v>
      </c>
      <c r="M136">
        <f>0</f>
        <v>0</v>
      </c>
      <c r="N136">
        <f t="shared" si="29"/>
        <v>0</v>
      </c>
      <c r="O136">
        <f>0</f>
        <v>0</v>
      </c>
      <c r="P136">
        <f>0</f>
        <v>0</v>
      </c>
      <c r="Q136">
        <f>0</f>
        <v>0</v>
      </c>
      <c r="R136">
        <f>0</f>
        <v>0</v>
      </c>
      <c r="S136">
        <f>0</f>
        <v>0</v>
      </c>
    </row>
    <row r="137" spans="2:85" x14ac:dyDescent="0.2">
      <c r="B137" t="s">
        <v>655</v>
      </c>
      <c r="C137">
        <v>190</v>
      </c>
      <c r="D137">
        <f t="shared" si="28"/>
        <v>0</v>
      </c>
      <c r="E137">
        <f>0</f>
        <v>0</v>
      </c>
      <c r="F137">
        <f>0</f>
        <v>0</v>
      </c>
      <c r="G137">
        <f>0</f>
        <v>0</v>
      </c>
      <c r="H137">
        <f>0</f>
        <v>0</v>
      </c>
      <c r="I137">
        <f>0</f>
        <v>0</v>
      </c>
      <c r="J137">
        <f>0</f>
        <v>0</v>
      </c>
      <c r="K137">
        <f>0</f>
        <v>0</v>
      </c>
      <c r="L137">
        <f>0</f>
        <v>0</v>
      </c>
      <c r="M137">
        <f>0</f>
        <v>0</v>
      </c>
      <c r="N137">
        <f t="shared" si="29"/>
        <v>0</v>
      </c>
      <c r="O137">
        <f>0</f>
        <v>0</v>
      </c>
      <c r="P137">
        <f>0</f>
        <v>0</v>
      </c>
      <c r="Q137">
        <f>0</f>
        <v>0</v>
      </c>
      <c r="R137">
        <f>0</f>
        <v>0</v>
      </c>
      <c r="S137">
        <f>0</f>
        <v>0</v>
      </c>
    </row>
    <row r="138" spans="2:85" x14ac:dyDescent="0.2">
      <c r="B138" t="s">
        <v>2853</v>
      </c>
      <c r="C138">
        <v>200</v>
      </c>
      <c r="D138">
        <f t="shared" ref="D138:M138" si="30">SUM(D131:D137)</f>
        <v>0</v>
      </c>
      <c r="E138">
        <f t="shared" si="30"/>
        <v>0</v>
      </c>
      <c r="F138">
        <f t="shared" si="30"/>
        <v>0</v>
      </c>
      <c r="G138">
        <f t="shared" si="30"/>
        <v>0</v>
      </c>
      <c r="H138">
        <f t="shared" si="30"/>
        <v>0</v>
      </c>
      <c r="I138">
        <f t="shared" si="30"/>
        <v>0</v>
      </c>
      <c r="J138">
        <f t="shared" si="30"/>
        <v>0</v>
      </c>
      <c r="K138">
        <f t="shared" si="30"/>
        <v>0</v>
      </c>
      <c r="L138">
        <f t="shared" si="30"/>
        <v>0</v>
      </c>
      <c r="M138">
        <f t="shared" si="30"/>
        <v>0</v>
      </c>
      <c r="N138">
        <f t="shared" si="29"/>
        <v>0</v>
      </c>
      <c r="O138">
        <f>SUM(O131:O137)</f>
        <v>0</v>
      </c>
      <c r="P138">
        <f>SUM(P131:P137)</f>
        <v>0</v>
      </c>
      <c r="Q138">
        <f>SUM(Q131:Q137)</f>
        <v>0</v>
      </c>
      <c r="R138">
        <f>SUM(R131:R137)</f>
        <v>0</v>
      </c>
      <c r="S138">
        <f>SUM(S131:S137)</f>
        <v>0</v>
      </c>
    </row>
    <row r="139" spans="2:85" x14ac:dyDescent="0.2">
      <c r="B139" t="s">
        <v>2861</v>
      </c>
      <c r="C139">
        <v>210</v>
      </c>
      <c r="E139" t="e">
        <f t="shared" ref="E139:M139" si="31">E138/$D$138*100</f>
        <v>#DIV/0!</v>
      </c>
      <c r="F139" t="e">
        <f t="shared" si="31"/>
        <v>#DIV/0!</v>
      </c>
      <c r="G139" t="e">
        <f t="shared" si="31"/>
        <v>#DIV/0!</v>
      </c>
      <c r="H139" t="e">
        <f t="shared" si="31"/>
        <v>#DIV/0!</v>
      </c>
      <c r="I139" t="e">
        <f t="shared" si="31"/>
        <v>#DIV/0!</v>
      </c>
      <c r="J139" t="e">
        <f t="shared" si="31"/>
        <v>#DIV/0!</v>
      </c>
      <c r="K139" t="e">
        <f t="shared" si="31"/>
        <v>#DIV/0!</v>
      </c>
      <c r="L139" t="e">
        <f t="shared" si="31"/>
        <v>#DIV/0!</v>
      </c>
      <c r="M139" t="e">
        <f t="shared" si="31"/>
        <v>#DIV/0!</v>
      </c>
      <c r="O139" t="e">
        <f>O138/$N$138*100</f>
        <v>#DIV/0!</v>
      </c>
      <c r="P139" t="e">
        <f>P138/$N$138*100</f>
        <v>#DIV/0!</v>
      </c>
      <c r="Q139" t="e">
        <f>Q138/$N$138*100</f>
        <v>#DIV/0!</v>
      </c>
      <c r="R139" t="e">
        <f>R138/$N$138*100</f>
        <v>#DIV/0!</v>
      </c>
      <c r="S139" t="e">
        <f>S138/$N$138*100</f>
        <v>#DIV/0!</v>
      </c>
    </row>
    <row r="143" spans="2:85" x14ac:dyDescent="0.2">
      <c r="C143" t="s">
        <v>238</v>
      </c>
      <c r="D143" t="s">
        <v>3696</v>
      </c>
      <c r="E143" t="s">
        <v>2843</v>
      </c>
      <c r="F143" t="s">
        <v>2844</v>
      </c>
      <c r="G143" t="s">
        <v>2845</v>
      </c>
      <c r="H143" t="s">
        <v>2846</v>
      </c>
      <c r="I143" t="s">
        <v>2764</v>
      </c>
      <c r="J143" t="s">
        <v>2765</v>
      </c>
      <c r="K143" t="s">
        <v>2847</v>
      </c>
      <c r="L143" t="s">
        <v>2848</v>
      </c>
      <c r="M143" t="s">
        <v>2849</v>
      </c>
    </row>
    <row r="144" spans="2:85" x14ac:dyDescent="0.2">
      <c r="B144" t="s">
        <v>3697</v>
      </c>
      <c r="C144" t="s">
        <v>242</v>
      </c>
      <c r="D144" t="s">
        <v>2037</v>
      </c>
      <c r="E144" t="s">
        <v>2038</v>
      </c>
      <c r="F144" t="s">
        <v>2039</v>
      </c>
      <c r="G144" t="s">
        <v>2040</v>
      </c>
      <c r="H144" t="s">
        <v>2041</v>
      </c>
      <c r="I144" t="s">
        <v>2042</v>
      </c>
      <c r="J144" t="s">
        <v>2043</v>
      </c>
      <c r="K144" t="s">
        <v>2044</v>
      </c>
      <c r="L144" t="s">
        <v>2045</v>
      </c>
      <c r="M144" t="s">
        <v>2046</v>
      </c>
      <c r="CF144" t="s">
        <v>3698</v>
      </c>
      <c r="CG144">
        <f>IF($G$67&lt;&gt;$D$138,1,0)</f>
        <v>0</v>
      </c>
    </row>
    <row r="145" spans="2:85" x14ac:dyDescent="0.2">
      <c r="D145" t="s">
        <v>243</v>
      </c>
      <c r="E145" t="s">
        <v>243</v>
      </c>
      <c r="F145" t="s">
        <v>243</v>
      </c>
      <c r="G145" t="s">
        <v>243</v>
      </c>
      <c r="H145" t="s">
        <v>243</v>
      </c>
      <c r="I145" t="s">
        <v>243</v>
      </c>
      <c r="J145" t="s">
        <v>243</v>
      </c>
      <c r="K145" t="s">
        <v>243</v>
      </c>
      <c r="L145" t="s">
        <v>243</v>
      </c>
      <c r="M145" t="s">
        <v>243</v>
      </c>
      <c r="CF145" t="s">
        <v>3699</v>
      </c>
      <c r="CG145">
        <f>IF($T$123&lt;&gt;$D$154,1,0)</f>
        <v>0</v>
      </c>
    </row>
    <row r="146" spans="2:85" x14ac:dyDescent="0.2">
      <c r="B146" t="s">
        <v>2857</v>
      </c>
    </row>
    <row r="147" spans="2:85" x14ac:dyDescent="0.2">
      <c r="B147" t="s">
        <v>2850</v>
      </c>
      <c r="C147">
        <v>220</v>
      </c>
      <c r="D147">
        <f t="shared" ref="D147:D153" si="32">SUM(I147:J147)</f>
        <v>0</v>
      </c>
      <c r="E147">
        <f>0</f>
        <v>0</v>
      </c>
      <c r="F147">
        <f>0</f>
        <v>0</v>
      </c>
      <c r="G147">
        <f>0</f>
        <v>0</v>
      </c>
      <c r="H147">
        <f>0</f>
        <v>0</v>
      </c>
      <c r="I147">
        <f>0</f>
        <v>0</v>
      </c>
      <c r="J147">
        <f>0</f>
        <v>0</v>
      </c>
      <c r="K147">
        <f>0</f>
        <v>0</v>
      </c>
      <c r="L147">
        <f>0</f>
        <v>0</v>
      </c>
      <c r="M147">
        <f>0</f>
        <v>0</v>
      </c>
    </row>
    <row r="148" spans="2:85" x14ac:dyDescent="0.2">
      <c r="B148" t="s">
        <v>2851</v>
      </c>
      <c r="C148">
        <v>230</v>
      </c>
      <c r="D148">
        <f t="shared" si="32"/>
        <v>0</v>
      </c>
      <c r="E148">
        <f>0</f>
        <v>0</v>
      </c>
      <c r="F148">
        <f>0</f>
        <v>0</v>
      </c>
      <c r="G148">
        <f>0</f>
        <v>0</v>
      </c>
      <c r="H148">
        <f>0</f>
        <v>0</v>
      </c>
      <c r="I148">
        <f>0</f>
        <v>0</v>
      </c>
      <c r="J148">
        <f>0</f>
        <v>0</v>
      </c>
      <c r="K148">
        <f>0</f>
        <v>0</v>
      </c>
      <c r="L148">
        <f>0</f>
        <v>0</v>
      </c>
      <c r="M148">
        <f>0</f>
        <v>0</v>
      </c>
    </row>
    <row r="149" spans="2:85" x14ac:dyDescent="0.2">
      <c r="B149" t="s">
        <v>2852</v>
      </c>
      <c r="C149">
        <v>240</v>
      </c>
      <c r="D149">
        <f t="shared" si="32"/>
        <v>0</v>
      </c>
      <c r="E149">
        <f>0</f>
        <v>0</v>
      </c>
      <c r="F149">
        <f>0</f>
        <v>0</v>
      </c>
      <c r="G149">
        <f>0</f>
        <v>0</v>
      </c>
      <c r="H149">
        <f>0</f>
        <v>0</v>
      </c>
      <c r="I149">
        <f>0</f>
        <v>0</v>
      </c>
      <c r="J149">
        <f>0</f>
        <v>0</v>
      </c>
      <c r="K149">
        <f>0</f>
        <v>0</v>
      </c>
      <c r="L149">
        <f>0</f>
        <v>0</v>
      </c>
      <c r="M149">
        <f>0</f>
        <v>0</v>
      </c>
    </row>
    <row r="150" spans="2:85" x14ac:dyDescent="0.2">
      <c r="B150" t="s">
        <v>2858</v>
      </c>
      <c r="C150">
        <v>250</v>
      </c>
      <c r="D150">
        <f t="shared" si="32"/>
        <v>0</v>
      </c>
      <c r="E150">
        <f>0</f>
        <v>0</v>
      </c>
      <c r="F150">
        <f>0</f>
        <v>0</v>
      </c>
      <c r="G150">
        <f>0</f>
        <v>0</v>
      </c>
      <c r="H150">
        <f>0</f>
        <v>0</v>
      </c>
      <c r="I150">
        <f>0</f>
        <v>0</v>
      </c>
      <c r="J150">
        <f>0</f>
        <v>0</v>
      </c>
      <c r="K150">
        <f>0</f>
        <v>0</v>
      </c>
      <c r="L150">
        <f>0</f>
        <v>0</v>
      </c>
      <c r="M150">
        <f>0</f>
        <v>0</v>
      </c>
    </row>
    <row r="151" spans="2:85" x14ac:dyDescent="0.2">
      <c r="B151" t="s">
        <v>2859</v>
      </c>
      <c r="C151">
        <v>260</v>
      </c>
      <c r="D151">
        <f t="shared" si="32"/>
        <v>0</v>
      </c>
      <c r="E151">
        <f>0</f>
        <v>0</v>
      </c>
      <c r="F151">
        <f>0</f>
        <v>0</v>
      </c>
      <c r="G151">
        <f>0</f>
        <v>0</v>
      </c>
      <c r="H151">
        <f>0</f>
        <v>0</v>
      </c>
      <c r="I151">
        <f>0</f>
        <v>0</v>
      </c>
      <c r="J151">
        <f>0</f>
        <v>0</v>
      </c>
      <c r="K151">
        <f>0</f>
        <v>0</v>
      </c>
      <c r="L151">
        <f>0</f>
        <v>0</v>
      </c>
      <c r="M151">
        <f>0</f>
        <v>0</v>
      </c>
    </row>
    <row r="152" spans="2:85" x14ac:dyDescent="0.2">
      <c r="B152" t="s">
        <v>2860</v>
      </c>
      <c r="C152">
        <v>270</v>
      </c>
      <c r="D152">
        <f t="shared" si="32"/>
        <v>0</v>
      </c>
      <c r="E152">
        <f>0</f>
        <v>0</v>
      </c>
      <c r="F152">
        <f>0</f>
        <v>0</v>
      </c>
      <c r="G152">
        <f>0</f>
        <v>0</v>
      </c>
      <c r="H152">
        <f>0</f>
        <v>0</v>
      </c>
      <c r="I152">
        <f>0</f>
        <v>0</v>
      </c>
      <c r="J152">
        <f>0</f>
        <v>0</v>
      </c>
      <c r="K152">
        <f>0</f>
        <v>0</v>
      </c>
      <c r="L152">
        <f>0</f>
        <v>0</v>
      </c>
      <c r="M152">
        <f>0</f>
        <v>0</v>
      </c>
    </row>
    <row r="153" spans="2:85" x14ac:dyDescent="0.2">
      <c r="B153" t="s">
        <v>655</v>
      </c>
      <c r="C153">
        <v>280</v>
      </c>
      <c r="D153">
        <f t="shared" si="32"/>
        <v>0</v>
      </c>
      <c r="E153">
        <f>0</f>
        <v>0</v>
      </c>
      <c r="F153">
        <f>0</f>
        <v>0</v>
      </c>
      <c r="G153">
        <f>0</f>
        <v>0</v>
      </c>
      <c r="H153">
        <f>0</f>
        <v>0</v>
      </c>
      <c r="I153">
        <f>0</f>
        <v>0</v>
      </c>
      <c r="J153">
        <f>0</f>
        <v>0</v>
      </c>
      <c r="K153">
        <f>0</f>
        <v>0</v>
      </c>
      <c r="L153">
        <f>0</f>
        <v>0</v>
      </c>
      <c r="M153">
        <f>0</f>
        <v>0</v>
      </c>
    </row>
    <row r="154" spans="2:85" x14ac:dyDescent="0.2">
      <c r="B154" t="s">
        <v>2853</v>
      </c>
      <c r="C154">
        <v>290</v>
      </c>
      <c r="D154">
        <f t="shared" ref="D154:M154" si="33">SUM(D147:D153)</f>
        <v>0</v>
      </c>
      <c r="E154">
        <f t="shared" si="33"/>
        <v>0</v>
      </c>
      <c r="F154">
        <f t="shared" si="33"/>
        <v>0</v>
      </c>
      <c r="G154">
        <f t="shared" si="33"/>
        <v>0</v>
      </c>
      <c r="H154">
        <f t="shared" si="33"/>
        <v>0</v>
      </c>
      <c r="I154">
        <f t="shared" si="33"/>
        <v>0</v>
      </c>
      <c r="J154">
        <f t="shared" si="33"/>
        <v>0</v>
      </c>
      <c r="K154">
        <f t="shared" si="33"/>
        <v>0</v>
      </c>
      <c r="L154">
        <f t="shared" si="33"/>
        <v>0</v>
      </c>
      <c r="M154">
        <f t="shared" si="33"/>
        <v>0</v>
      </c>
    </row>
    <row r="155" spans="2:85" x14ac:dyDescent="0.2">
      <c r="B155" t="s">
        <v>2861</v>
      </c>
      <c r="C155">
        <v>300</v>
      </c>
      <c r="E155" t="e">
        <f t="shared" ref="E155:M155" si="34">E154/$D$154*100</f>
        <v>#DIV/0!</v>
      </c>
      <c r="F155" t="e">
        <f t="shared" si="34"/>
        <v>#DIV/0!</v>
      </c>
      <c r="G155" t="e">
        <f t="shared" si="34"/>
        <v>#DIV/0!</v>
      </c>
      <c r="H155" t="e">
        <f t="shared" si="34"/>
        <v>#DIV/0!</v>
      </c>
      <c r="I155" t="e">
        <f t="shared" si="34"/>
        <v>#DIV/0!</v>
      </c>
      <c r="J155" t="e">
        <f t="shared" si="34"/>
        <v>#DIV/0!</v>
      </c>
      <c r="K155" t="e">
        <f t="shared" si="34"/>
        <v>#DIV/0!</v>
      </c>
      <c r="L155" t="e">
        <f t="shared" si="34"/>
        <v>#DIV/0!</v>
      </c>
      <c r="M155" t="e">
        <f t="shared" si="34"/>
        <v>#DIV/0!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B189"/>
  <sheetViews>
    <sheetView zoomScale="70" zoomScaleNormal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84" sqref="A84:XFD144"/>
    </sheetView>
  </sheetViews>
  <sheetFormatPr defaultRowHeight="12.75" x14ac:dyDescent="0.2"/>
  <cols>
    <col min="1" max="1" width="4.5703125" customWidth="1"/>
    <col min="2" max="2" width="57.7109375" customWidth="1"/>
    <col min="3" max="4" width="10.140625" customWidth="1"/>
    <col min="5" max="6" width="15" customWidth="1"/>
    <col min="7" max="7" width="5.140625" customWidth="1"/>
    <col min="8" max="8" width="4.5703125" customWidth="1"/>
    <col min="9" max="51" width="3.28515625" hidden="1" customWidth="1"/>
    <col min="52" max="53" width="3.85546875" hidden="1" customWidth="1"/>
    <col min="54" max="54" width="4.42578125" customWidth="1"/>
  </cols>
  <sheetData>
    <row r="1" spans="1:54" ht="15.75" x14ac:dyDescent="0.25">
      <c r="A1" s="1147" t="s">
        <v>3726</v>
      </c>
      <c r="B1" s="1146" t="str">
        <f>OrgName</f>
        <v>ZZZ NHS TRUST</v>
      </c>
      <c r="C1" s="1123"/>
      <c r="D1" s="1123"/>
      <c r="E1" s="1177" t="str">
        <f>HYPERLINK(CHAR(35)&amp;"1415TRU_Index_P13"&amp;"!A1","GoTo Index tab")</f>
        <v>GoTo Index tab</v>
      </c>
    </row>
    <row r="2" spans="1:54" x14ac:dyDescent="0.2">
      <c r="A2" s="1147" t="s">
        <v>3727</v>
      </c>
      <c r="B2" s="1144" t="str">
        <f>"Org Code: " &amp; Orgcode</f>
        <v>Org Code: ZZZ</v>
      </c>
      <c r="C2" s="1120"/>
      <c r="D2" s="1120"/>
      <c r="E2" s="1135"/>
    </row>
    <row r="3" spans="1:54" x14ac:dyDescent="0.2">
      <c r="A3" s="1147" t="s">
        <v>3732</v>
      </c>
      <c r="B3" s="1145" t="s">
        <v>3725</v>
      </c>
      <c r="C3" s="1126"/>
      <c r="D3" s="1126"/>
      <c r="E3" s="1136"/>
    </row>
    <row r="4" spans="1:54" x14ac:dyDescent="0.2">
      <c r="A4" s="101"/>
      <c r="B4" s="103" t="s">
        <v>431</v>
      </c>
      <c r="C4" s="101"/>
      <c r="D4" s="101"/>
    </row>
    <row r="5" spans="1:54" x14ac:dyDescent="0.2">
      <c r="A5" s="101"/>
      <c r="B5" s="103" t="s">
        <v>66</v>
      </c>
      <c r="C5" s="101"/>
      <c r="D5" s="101"/>
    </row>
    <row r="6" spans="1:54" ht="13.5" thickBot="1" x14ac:dyDescent="0.25">
      <c r="A6" s="101"/>
      <c r="B6" s="101"/>
      <c r="C6" s="101"/>
      <c r="D6" s="101"/>
    </row>
    <row r="7" spans="1:54" ht="13.5" thickTop="1" x14ac:dyDescent="0.2">
      <c r="A7" s="101"/>
      <c r="B7" s="467"/>
      <c r="C7" s="468"/>
      <c r="D7" s="468" t="s">
        <v>25</v>
      </c>
      <c r="E7" s="353" t="s">
        <v>235</v>
      </c>
      <c r="F7" s="293" t="s">
        <v>236</v>
      </c>
      <c r="H7" s="466"/>
      <c r="BA7" s="469"/>
      <c r="BB7" s="469"/>
    </row>
    <row r="8" spans="1:54" x14ac:dyDescent="0.2">
      <c r="A8" s="101"/>
      <c r="B8" s="470" t="s">
        <v>433</v>
      </c>
      <c r="C8" s="471" t="s">
        <v>238</v>
      </c>
      <c r="D8" s="471"/>
      <c r="E8" s="201" t="s">
        <v>239</v>
      </c>
      <c r="F8" s="202" t="s">
        <v>240</v>
      </c>
      <c r="H8" s="466"/>
      <c r="BA8" s="469"/>
      <c r="BB8" s="469"/>
    </row>
    <row r="9" spans="1:54" ht="13.5" thickBot="1" x14ac:dyDescent="0.25">
      <c r="A9" s="101"/>
      <c r="B9" s="470"/>
      <c r="C9" s="472" t="s">
        <v>242</v>
      </c>
      <c r="D9" s="472"/>
      <c r="E9" s="278" t="s">
        <v>243</v>
      </c>
      <c r="F9" s="202" t="s">
        <v>243</v>
      </c>
      <c r="H9" s="466"/>
      <c r="BA9" s="469"/>
      <c r="BB9" s="469"/>
    </row>
    <row r="10" spans="1:54" ht="21.95" customHeight="1" x14ac:dyDescent="0.2">
      <c r="B10" s="475" t="s">
        <v>434</v>
      </c>
      <c r="C10" s="476"/>
      <c r="D10" s="476"/>
      <c r="E10" s="317"/>
      <c r="F10" s="318"/>
    </row>
    <row r="11" spans="1:54" ht="21.95" customHeight="1" x14ac:dyDescent="0.2">
      <c r="B11" s="479" t="s">
        <v>435</v>
      </c>
      <c r="C11" s="477">
        <v>100</v>
      </c>
      <c r="D11" s="478" t="s">
        <v>251</v>
      </c>
      <c r="E11" s="306">
        <f>'1415TRU01_CNE_P13'!E14</f>
        <v>0</v>
      </c>
      <c r="F11" s="565"/>
    </row>
    <row r="12" spans="1:54" ht="21.95" customHeight="1" x14ac:dyDescent="0.2">
      <c r="B12" s="484" t="s">
        <v>436</v>
      </c>
      <c r="C12" s="481">
        <v>110</v>
      </c>
      <c r="D12" s="482" t="s">
        <v>248</v>
      </c>
      <c r="E12" s="459">
        <f>('1415TRU06_EXP_P13'!E35+'1415TRU06_EXP_P13'!E38)</f>
        <v>0</v>
      </c>
      <c r="F12" s="566"/>
    </row>
    <row r="13" spans="1:54" ht="21.95" customHeight="1" x14ac:dyDescent="0.2">
      <c r="B13" s="484" t="s">
        <v>399</v>
      </c>
      <c r="C13" s="481">
        <v>120</v>
      </c>
      <c r="D13" s="482" t="s">
        <v>251</v>
      </c>
      <c r="E13" s="459">
        <f>('1415TRU14_IMP_P13'!E103+'1415TRU14_IMP_P13'!E104)</f>
        <v>0</v>
      </c>
      <c r="F13" s="566"/>
    </row>
    <row r="14" spans="1:54" ht="21.95" customHeight="1" x14ac:dyDescent="0.2">
      <c r="B14" s="484" t="s">
        <v>437</v>
      </c>
      <c r="C14" s="481">
        <v>130</v>
      </c>
      <c r="D14" s="482" t="s">
        <v>251</v>
      </c>
      <c r="E14" s="459">
        <f>'1415TRU11_IGF_P13'!E42</f>
        <v>0</v>
      </c>
      <c r="F14" s="566"/>
    </row>
    <row r="15" spans="1:54" ht="21.95" customHeight="1" x14ac:dyDescent="0.2">
      <c r="B15" s="484" t="s">
        <v>438</v>
      </c>
      <c r="C15" s="481">
        <v>140</v>
      </c>
      <c r="D15" s="482" t="s">
        <v>245</v>
      </c>
      <c r="E15" s="459">
        <f>('1415TRU05_REV_P13'!E34*-1)</f>
        <v>0</v>
      </c>
      <c r="F15" s="566"/>
    </row>
    <row r="16" spans="1:54" ht="27" customHeight="1" x14ac:dyDescent="0.2">
      <c r="B16" s="915" t="s">
        <v>439</v>
      </c>
      <c r="C16" s="481">
        <v>150</v>
      </c>
      <c r="D16" s="482" t="s">
        <v>245</v>
      </c>
      <c r="E16" s="391"/>
      <c r="F16" s="566"/>
    </row>
    <row r="17" spans="2:6" ht="21.95" customHeight="1" x14ac:dyDescent="0.2">
      <c r="B17" s="484" t="s">
        <v>440</v>
      </c>
      <c r="C17" s="481">
        <v>160</v>
      </c>
      <c r="D17" s="482" t="s">
        <v>245</v>
      </c>
      <c r="E17" s="391"/>
      <c r="F17" s="566"/>
    </row>
    <row r="18" spans="2:6" ht="21.95" customHeight="1" x14ac:dyDescent="0.2">
      <c r="B18" s="484" t="s">
        <v>441</v>
      </c>
      <c r="C18" s="481">
        <v>170</v>
      </c>
      <c r="D18" s="482" t="s">
        <v>251</v>
      </c>
      <c r="E18" s="1191">
        <v>0</v>
      </c>
      <c r="F18" s="566"/>
    </row>
    <row r="19" spans="2:6" ht="21.95" customHeight="1" x14ac:dyDescent="0.2">
      <c r="B19" s="484" t="s">
        <v>442</v>
      </c>
      <c r="C19" s="481">
        <v>180</v>
      </c>
      <c r="D19" s="482" t="s">
        <v>251</v>
      </c>
      <c r="E19" s="391"/>
      <c r="F19" s="566"/>
    </row>
    <row r="20" spans="2:6" ht="21.95" customHeight="1" x14ac:dyDescent="0.2">
      <c r="B20" s="484" t="s">
        <v>443</v>
      </c>
      <c r="C20" s="481">
        <v>190</v>
      </c>
      <c r="D20" s="482" t="s">
        <v>251</v>
      </c>
      <c r="E20" s="443">
        <f>E101</f>
        <v>0</v>
      </c>
      <c r="F20" s="566"/>
    </row>
    <row r="21" spans="2:6" ht="21.95" customHeight="1" x14ac:dyDescent="0.2">
      <c r="B21" s="484" t="s">
        <v>444</v>
      </c>
      <c r="C21" s="481">
        <v>200</v>
      </c>
      <c r="D21" s="482" t="s">
        <v>251</v>
      </c>
      <c r="E21" s="443">
        <f>E109</f>
        <v>0</v>
      </c>
      <c r="F21" s="566"/>
    </row>
    <row r="22" spans="2:6" ht="21.95" customHeight="1" x14ac:dyDescent="0.2">
      <c r="B22" s="484" t="s">
        <v>445</v>
      </c>
      <c r="C22" s="481">
        <v>210</v>
      </c>
      <c r="D22" s="482" t="s">
        <v>251</v>
      </c>
      <c r="E22" s="443">
        <f>E116</f>
        <v>0</v>
      </c>
      <c r="F22" s="566"/>
    </row>
    <row r="23" spans="2:6" ht="21.95" customHeight="1" x14ac:dyDescent="0.2">
      <c r="B23" s="484" t="s">
        <v>446</v>
      </c>
      <c r="C23" s="481">
        <v>220</v>
      </c>
      <c r="D23" s="482" t="s">
        <v>251</v>
      </c>
      <c r="E23" s="443">
        <f>E124</f>
        <v>0</v>
      </c>
      <c r="F23" s="566"/>
    </row>
    <row r="24" spans="2:6" ht="21.95" customHeight="1" x14ac:dyDescent="0.2">
      <c r="B24" s="484" t="s">
        <v>447</v>
      </c>
      <c r="C24" s="481">
        <v>230</v>
      </c>
      <c r="D24" s="482" t="s">
        <v>251</v>
      </c>
      <c r="E24" s="443">
        <f>E131</f>
        <v>0</v>
      </c>
      <c r="F24" s="566"/>
    </row>
    <row r="25" spans="2:6" ht="21.95" customHeight="1" x14ac:dyDescent="0.2">
      <c r="B25" s="484" t="s">
        <v>448</v>
      </c>
      <c r="C25" s="481">
        <v>240</v>
      </c>
      <c r="D25" s="482" t="s">
        <v>245</v>
      </c>
      <c r="E25" s="459">
        <f>'1415TRU19_PRV_P13'!E20</f>
        <v>0</v>
      </c>
      <c r="F25" s="566"/>
    </row>
    <row r="26" spans="2:6" ht="21.95" customHeight="1" x14ac:dyDescent="0.2">
      <c r="B26" s="484" t="s">
        <v>449</v>
      </c>
      <c r="C26" s="481">
        <v>250</v>
      </c>
      <c r="D26" s="482" t="s">
        <v>251</v>
      </c>
      <c r="E26" s="443">
        <f>E137</f>
        <v>0</v>
      </c>
      <c r="F26" s="566"/>
    </row>
    <row r="27" spans="2:6" ht="30" customHeight="1" x14ac:dyDescent="0.2">
      <c r="B27" s="944" t="s">
        <v>450</v>
      </c>
      <c r="C27" s="481">
        <v>260</v>
      </c>
      <c r="D27" s="482" t="s">
        <v>251</v>
      </c>
      <c r="E27" s="448">
        <f>SUM(E11:E26)</f>
        <v>0</v>
      </c>
      <c r="F27" s="457">
        <f>SUM(F11:F26)</f>
        <v>0</v>
      </c>
    </row>
    <row r="28" spans="2:6" ht="21.95" customHeight="1" x14ac:dyDescent="0.2">
      <c r="B28" s="486" t="s">
        <v>451</v>
      </c>
      <c r="C28" s="488"/>
      <c r="D28" s="490"/>
      <c r="E28" s="258"/>
      <c r="F28" s="492"/>
    </row>
    <row r="29" spans="2:6" ht="21.95" customHeight="1" x14ac:dyDescent="0.2">
      <c r="B29" s="479" t="s">
        <v>452</v>
      </c>
      <c r="C29" s="477">
        <v>270</v>
      </c>
      <c r="D29" s="478" t="s">
        <v>248</v>
      </c>
      <c r="E29" s="493"/>
      <c r="F29" s="565"/>
    </row>
    <row r="30" spans="2:6" ht="21.95" customHeight="1" x14ac:dyDescent="0.2">
      <c r="B30" s="484" t="s">
        <v>453</v>
      </c>
      <c r="C30" s="481">
        <v>280</v>
      </c>
      <c r="D30" s="482" t="s">
        <v>245</v>
      </c>
      <c r="E30" s="459">
        <f>('1415TRU24_CFN_P13'!E10*-1)</f>
        <v>0</v>
      </c>
      <c r="F30" s="566"/>
    </row>
    <row r="31" spans="2:6" ht="21.95" customHeight="1" x14ac:dyDescent="0.2">
      <c r="B31" s="484" t="s">
        <v>454</v>
      </c>
      <c r="C31" s="481">
        <v>290</v>
      </c>
      <c r="D31" s="482" t="s">
        <v>245</v>
      </c>
      <c r="E31" s="459">
        <f>('1415TRU24_CFN_P13'!E11*-1)</f>
        <v>0</v>
      </c>
      <c r="F31" s="566"/>
    </row>
    <row r="32" spans="2:6" ht="21.95" customHeight="1" x14ac:dyDescent="0.2">
      <c r="B32" s="484" t="s">
        <v>455</v>
      </c>
      <c r="C32" s="481">
        <v>300</v>
      </c>
      <c r="D32" s="482" t="s">
        <v>245</v>
      </c>
      <c r="E32" s="391"/>
      <c r="F32" s="566"/>
    </row>
    <row r="33" spans="2:6" ht="21.95" customHeight="1" x14ac:dyDescent="0.2">
      <c r="B33" s="484" t="s">
        <v>456</v>
      </c>
      <c r="C33" s="481">
        <v>310</v>
      </c>
      <c r="D33" s="482" t="s">
        <v>245</v>
      </c>
      <c r="E33" s="391"/>
      <c r="F33" s="566"/>
    </row>
    <row r="34" spans="2:6" ht="21.95" customHeight="1" x14ac:dyDescent="0.2">
      <c r="B34" s="484" t="s">
        <v>457</v>
      </c>
      <c r="C34" s="481">
        <v>320</v>
      </c>
      <c r="D34" s="482" t="s">
        <v>245</v>
      </c>
      <c r="E34" s="391"/>
      <c r="F34" s="566"/>
    </row>
    <row r="35" spans="2:6" ht="21.95" customHeight="1" x14ac:dyDescent="0.2">
      <c r="B35" s="484" t="s">
        <v>458</v>
      </c>
      <c r="C35" s="481">
        <v>330</v>
      </c>
      <c r="D35" s="482" t="s">
        <v>248</v>
      </c>
      <c r="E35" s="391"/>
      <c r="F35" s="566"/>
    </row>
    <row r="36" spans="2:6" ht="27" customHeight="1" x14ac:dyDescent="0.2">
      <c r="B36" s="915" t="s">
        <v>459</v>
      </c>
      <c r="C36" s="481">
        <v>340</v>
      </c>
      <c r="D36" s="482" t="s">
        <v>248</v>
      </c>
      <c r="E36" s="391"/>
      <c r="F36" s="566"/>
    </row>
    <row r="37" spans="2:6" ht="21.95" customHeight="1" x14ac:dyDescent="0.2">
      <c r="B37" s="484" t="s">
        <v>460</v>
      </c>
      <c r="C37" s="481">
        <v>350</v>
      </c>
      <c r="D37" s="482" t="s">
        <v>248</v>
      </c>
      <c r="E37" s="391"/>
      <c r="F37" s="566"/>
    </row>
    <row r="38" spans="2:6" ht="21.95" customHeight="1" x14ac:dyDescent="0.2">
      <c r="B38" s="484" t="s">
        <v>461</v>
      </c>
      <c r="C38" s="481">
        <v>360</v>
      </c>
      <c r="D38" s="482" t="s">
        <v>248</v>
      </c>
      <c r="E38" s="391"/>
      <c r="F38" s="566"/>
    </row>
    <row r="39" spans="2:6" ht="21.95" customHeight="1" x14ac:dyDescent="0.2">
      <c r="B39" s="484" t="s">
        <v>462</v>
      </c>
      <c r="C39" s="481">
        <v>370</v>
      </c>
      <c r="D39" s="482" t="s">
        <v>248</v>
      </c>
      <c r="E39" s="391"/>
      <c r="F39" s="566"/>
    </row>
    <row r="40" spans="2:6" ht="21.95" customHeight="1" x14ac:dyDescent="0.2">
      <c r="B40" s="484" t="s">
        <v>463</v>
      </c>
      <c r="C40" s="481">
        <v>380</v>
      </c>
      <c r="D40" s="482" t="s">
        <v>245</v>
      </c>
      <c r="E40" s="391"/>
      <c r="F40" s="566"/>
    </row>
    <row r="41" spans="2:6" ht="21.95" customHeight="1" x14ac:dyDescent="0.2">
      <c r="B41" s="484" t="s">
        <v>464</v>
      </c>
      <c r="C41" s="481">
        <v>390</v>
      </c>
      <c r="D41" s="482" t="s">
        <v>248</v>
      </c>
      <c r="E41" s="391"/>
      <c r="F41" s="566"/>
    </row>
    <row r="42" spans="2:6" ht="21.95" customHeight="1" x14ac:dyDescent="0.2">
      <c r="B42" s="484" t="s">
        <v>165</v>
      </c>
      <c r="C42" s="481">
        <v>400</v>
      </c>
      <c r="D42" s="482" t="s">
        <v>248</v>
      </c>
      <c r="E42" s="391"/>
      <c r="F42" s="566"/>
    </row>
    <row r="43" spans="2:6" ht="30" customHeight="1" x14ac:dyDescent="0.2">
      <c r="B43" s="944" t="s">
        <v>466</v>
      </c>
      <c r="C43" s="481">
        <v>410</v>
      </c>
      <c r="D43" s="482" t="s">
        <v>251</v>
      </c>
      <c r="E43" s="448">
        <f>SUM(E29:E42)</f>
        <v>0</v>
      </c>
      <c r="F43" s="457">
        <f>SUM(F29:F42)</f>
        <v>0</v>
      </c>
    </row>
    <row r="44" spans="2:6" ht="30" customHeight="1" x14ac:dyDescent="0.2">
      <c r="B44" s="944" t="s">
        <v>467</v>
      </c>
      <c r="C44" s="481">
        <v>420</v>
      </c>
      <c r="D44" s="482" t="s">
        <v>251</v>
      </c>
      <c r="E44" s="448">
        <f>E27+E43</f>
        <v>0</v>
      </c>
      <c r="F44" s="457">
        <f>F27+F43</f>
        <v>0</v>
      </c>
    </row>
    <row r="45" spans="2:6" ht="21.95" customHeight="1" x14ac:dyDescent="0.2">
      <c r="B45" s="486" t="s">
        <v>468</v>
      </c>
      <c r="C45" s="488"/>
      <c r="D45" s="490"/>
      <c r="E45" s="258"/>
      <c r="F45" s="492"/>
    </row>
    <row r="46" spans="2:6" ht="21.95" customHeight="1" x14ac:dyDescent="0.2">
      <c r="B46" s="479" t="s">
        <v>469</v>
      </c>
      <c r="C46" s="477">
        <v>430</v>
      </c>
      <c r="D46" s="478" t="s">
        <v>248</v>
      </c>
      <c r="E46" s="567">
        <f>'1415TRU03_STE_P13'!E37</f>
        <v>0</v>
      </c>
      <c r="F46" s="565"/>
    </row>
    <row r="47" spans="2:6" ht="21.95" customHeight="1" x14ac:dyDescent="0.2">
      <c r="B47" s="484" t="s">
        <v>470</v>
      </c>
      <c r="C47" s="481">
        <v>440</v>
      </c>
      <c r="D47" s="482" t="s">
        <v>245</v>
      </c>
      <c r="E47" s="459">
        <f>'1415TRU03_STE_P13'!E39</f>
        <v>0</v>
      </c>
      <c r="F47" s="566"/>
    </row>
    <row r="48" spans="2:6" ht="21.95" customHeight="1" x14ac:dyDescent="0.2">
      <c r="B48" s="484" t="s">
        <v>471</v>
      </c>
      <c r="C48" s="481">
        <v>450</v>
      </c>
      <c r="D48" s="482" t="s">
        <v>248</v>
      </c>
      <c r="E48" s="1191">
        <v>0</v>
      </c>
      <c r="F48" s="566"/>
    </row>
    <row r="49" spans="1:52" ht="27" customHeight="1" x14ac:dyDescent="0.2">
      <c r="B49" s="915" t="s">
        <v>472</v>
      </c>
      <c r="C49" s="481">
        <v>460</v>
      </c>
      <c r="D49" s="482" t="s">
        <v>248</v>
      </c>
      <c r="E49" s="1191">
        <v>0</v>
      </c>
      <c r="F49" s="566"/>
    </row>
    <row r="50" spans="1:52" ht="21.95" customHeight="1" x14ac:dyDescent="0.2">
      <c r="B50" s="484" t="s">
        <v>473</v>
      </c>
      <c r="C50" s="481">
        <v>470</v>
      </c>
      <c r="D50" s="482" t="s">
        <v>248</v>
      </c>
      <c r="E50" s="391"/>
      <c r="F50" s="566"/>
    </row>
    <row r="51" spans="1:52" ht="27" customHeight="1" x14ac:dyDescent="0.2">
      <c r="B51" s="915" t="s">
        <v>474</v>
      </c>
      <c r="C51" s="481">
        <v>480</v>
      </c>
      <c r="D51" s="482" t="s">
        <v>245</v>
      </c>
      <c r="E51" s="1191">
        <v>0</v>
      </c>
      <c r="F51" s="566"/>
    </row>
    <row r="52" spans="1:52" ht="27" customHeight="1" x14ac:dyDescent="0.2">
      <c r="B52" s="915" t="s">
        <v>475</v>
      </c>
      <c r="C52" s="481">
        <v>490</v>
      </c>
      <c r="D52" s="482" t="s">
        <v>245</v>
      </c>
      <c r="E52" s="1191">
        <v>0</v>
      </c>
      <c r="F52" s="566"/>
    </row>
    <row r="53" spans="1:52" ht="21.95" customHeight="1" x14ac:dyDescent="0.2">
      <c r="B53" s="480" t="s">
        <v>476</v>
      </c>
      <c r="C53" s="481">
        <v>500</v>
      </c>
      <c r="D53" s="482" t="s">
        <v>245</v>
      </c>
      <c r="E53" s="391"/>
      <c r="F53" s="568"/>
      <c r="AZ53" s="99"/>
    </row>
    <row r="54" spans="1:52" hidden="1" x14ac:dyDescent="0.2">
      <c r="A54" s="105"/>
      <c r="B54" s="108" t="s">
        <v>477</v>
      </c>
      <c r="C54" s="172">
        <v>510</v>
      </c>
      <c r="D54" s="247" t="s">
        <v>248</v>
      </c>
      <c r="E54" s="108"/>
      <c r="F54" s="108"/>
    </row>
    <row r="55" spans="1:52" ht="27" customHeight="1" x14ac:dyDescent="0.2">
      <c r="B55" s="1101" t="s">
        <v>478</v>
      </c>
      <c r="C55" s="477">
        <v>520</v>
      </c>
      <c r="D55" s="478" t="s">
        <v>251</v>
      </c>
      <c r="E55" s="493"/>
      <c r="F55" s="565"/>
    </row>
    <row r="56" spans="1:52" ht="27" customHeight="1" x14ac:dyDescent="0.2">
      <c r="B56" s="1102" t="s">
        <v>479</v>
      </c>
      <c r="C56" s="481">
        <v>530</v>
      </c>
      <c r="D56" s="482" t="s">
        <v>245</v>
      </c>
      <c r="E56" s="391"/>
      <c r="F56" s="568"/>
    </row>
    <row r="57" spans="1:52" hidden="1" x14ac:dyDescent="0.2">
      <c r="A57" s="423"/>
      <c r="B57" s="108" t="s">
        <v>480</v>
      </c>
      <c r="C57" s="172">
        <v>540</v>
      </c>
      <c r="D57" s="247" t="s">
        <v>248</v>
      </c>
      <c r="E57" s="108"/>
      <c r="F57" s="108"/>
    </row>
    <row r="58" spans="1:52" hidden="1" x14ac:dyDescent="0.2">
      <c r="A58" s="423"/>
      <c r="B58" s="108" t="s">
        <v>481</v>
      </c>
      <c r="C58" s="172">
        <v>550</v>
      </c>
      <c r="D58" s="247" t="s">
        <v>245</v>
      </c>
      <c r="E58" s="108"/>
      <c r="F58" s="108"/>
    </row>
    <row r="59" spans="1:52" ht="27" customHeight="1" x14ac:dyDescent="0.2">
      <c r="B59" s="1103" t="s">
        <v>482</v>
      </c>
      <c r="C59" s="477">
        <v>560</v>
      </c>
      <c r="D59" s="478" t="s">
        <v>248</v>
      </c>
      <c r="E59" s="567">
        <f>'1415TRU24_CFN_P13'!E70</f>
        <v>0</v>
      </c>
      <c r="F59" s="569"/>
      <c r="H59" s="100"/>
      <c r="I59" s="100"/>
    </row>
    <row r="60" spans="1:52" hidden="1" x14ac:dyDescent="0.2">
      <c r="A60" s="423"/>
      <c r="B60" s="108" t="s">
        <v>483</v>
      </c>
      <c r="C60" s="172">
        <v>570</v>
      </c>
      <c r="D60" s="247" t="s">
        <v>251</v>
      </c>
      <c r="E60" s="108"/>
      <c r="F60" s="108"/>
    </row>
    <row r="61" spans="1:52" ht="30" customHeight="1" x14ac:dyDescent="0.2">
      <c r="B61" s="1018" t="s">
        <v>484</v>
      </c>
      <c r="C61" s="477">
        <v>580</v>
      </c>
      <c r="D61" s="478" t="s">
        <v>251</v>
      </c>
      <c r="E61" s="496">
        <f>SUM(E46:E60)</f>
        <v>0</v>
      </c>
      <c r="F61" s="456">
        <f>SUM(F46:F60)</f>
        <v>0</v>
      </c>
    </row>
    <row r="62" spans="1:52" ht="30" customHeight="1" x14ac:dyDescent="0.2">
      <c r="B62" s="944" t="s">
        <v>485</v>
      </c>
      <c r="C62" s="481">
        <v>590</v>
      </c>
      <c r="D62" s="482" t="s">
        <v>251</v>
      </c>
      <c r="E62" s="448">
        <f>SUM(E61+E43+E27)</f>
        <v>0</v>
      </c>
      <c r="F62" s="457">
        <f>SUM(F61+F43+F27)</f>
        <v>0</v>
      </c>
    </row>
    <row r="63" spans="1:52" ht="30" customHeight="1" x14ac:dyDescent="0.2">
      <c r="B63" s="944" t="s">
        <v>486</v>
      </c>
      <c r="C63" s="481">
        <v>600</v>
      </c>
      <c r="D63" s="482" t="s">
        <v>251</v>
      </c>
      <c r="E63" s="443">
        <f>F67</f>
        <v>0</v>
      </c>
      <c r="F63" s="457">
        <f>'1314TRU04_CF_P16'!E63</f>
        <v>0</v>
      </c>
    </row>
    <row r="64" spans="1:52" ht="21.95" customHeight="1" x14ac:dyDescent="0.2">
      <c r="B64" s="484" t="s">
        <v>487</v>
      </c>
      <c r="C64" s="481">
        <v>610</v>
      </c>
      <c r="D64" s="482" t="s">
        <v>251</v>
      </c>
      <c r="E64" s="443">
        <f>E65-E63</f>
        <v>0</v>
      </c>
      <c r="F64" s="566"/>
    </row>
    <row r="65" spans="1:6" ht="30" customHeight="1" x14ac:dyDescent="0.2">
      <c r="B65" s="944" t="s">
        <v>488</v>
      </c>
      <c r="C65" s="481">
        <v>620</v>
      </c>
      <c r="D65" s="482" t="s">
        <v>251</v>
      </c>
      <c r="E65" s="460">
        <f>'1415TRU16_AST_P13'!F140</f>
        <v>0</v>
      </c>
      <c r="F65" s="457">
        <f>'1415TRU16_AST_P13'!G140</f>
        <v>0</v>
      </c>
    </row>
    <row r="66" spans="1:6" ht="27" customHeight="1" x14ac:dyDescent="0.2">
      <c r="B66" s="915" t="s">
        <v>489</v>
      </c>
      <c r="C66" s="487">
        <v>630</v>
      </c>
      <c r="D66" s="489" t="s">
        <v>251</v>
      </c>
      <c r="E66" s="501"/>
      <c r="F66" s="566"/>
    </row>
    <row r="67" spans="1:6" ht="30" customHeight="1" thickBot="1" x14ac:dyDescent="0.25">
      <c r="B67" s="1104" t="s">
        <v>490</v>
      </c>
      <c r="C67" s="499">
        <v>640</v>
      </c>
      <c r="D67" s="500" t="s">
        <v>251</v>
      </c>
      <c r="E67" s="502">
        <f>E62+SUM(E65:E66)</f>
        <v>0</v>
      </c>
      <c r="F67" s="570">
        <f>F62+SUM(F65:F66)</f>
        <v>0</v>
      </c>
    </row>
    <row r="68" spans="1:6" ht="13.5" thickTop="1" x14ac:dyDescent="0.2">
      <c r="B68" s="101"/>
      <c r="C68" s="173"/>
      <c r="D68" s="504"/>
    </row>
    <row r="69" spans="1:6" x14ac:dyDescent="0.2">
      <c r="B69" s="101"/>
      <c r="C69" s="173"/>
      <c r="D69" s="504"/>
    </row>
    <row r="70" spans="1:6" hidden="1" x14ac:dyDescent="0.2">
      <c r="A70" s="423"/>
      <c r="B70" s="108"/>
      <c r="C70" s="97"/>
      <c r="D70" s="108"/>
    </row>
    <row r="71" spans="1:6" hidden="1" x14ac:dyDescent="0.2">
      <c r="A71" s="423"/>
      <c r="B71" s="97"/>
      <c r="C71" s="97"/>
      <c r="D71" s="172" t="s">
        <v>25</v>
      </c>
    </row>
    <row r="72" spans="1:6" hidden="1" x14ac:dyDescent="0.2">
      <c r="A72" s="423"/>
      <c r="B72" s="97" t="s">
        <v>491</v>
      </c>
      <c r="C72" s="172" t="s">
        <v>238</v>
      </c>
      <c r="D72" s="97"/>
    </row>
    <row r="73" spans="1:6" hidden="1" x14ac:dyDescent="0.2">
      <c r="A73" s="423"/>
      <c r="B73" s="97"/>
      <c r="C73" s="172" t="s">
        <v>242</v>
      </c>
      <c r="D73" s="97"/>
    </row>
    <row r="74" spans="1:6" hidden="1" x14ac:dyDescent="0.2">
      <c r="A74" s="423"/>
      <c r="B74" s="108" t="s">
        <v>492</v>
      </c>
      <c r="C74" s="172">
        <v>700</v>
      </c>
      <c r="D74" s="247" t="s">
        <v>248</v>
      </c>
      <c r="E74" s="108"/>
    </row>
    <row r="75" spans="1:6" hidden="1" x14ac:dyDescent="0.2">
      <c r="A75" s="423"/>
      <c r="B75" s="108" t="s">
        <v>493</v>
      </c>
      <c r="C75" s="172">
        <v>710</v>
      </c>
      <c r="D75" s="247" t="s">
        <v>245</v>
      </c>
      <c r="E75" s="108"/>
    </row>
    <row r="76" spans="1:6" hidden="1" x14ac:dyDescent="0.2">
      <c r="A76" s="423"/>
      <c r="B76" s="108" t="s">
        <v>494</v>
      </c>
      <c r="C76" s="172">
        <v>720</v>
      </c>
      <c r="D76" s="247" t="s">
        <v>251</v>
      </c>
      <c r="E76" s="108"/>
    </row>
    <row r="77" spans="1:6" hidden="1" x14ac:dyDescent="0.2">
      <c r="A77" s="423"/>
      <c r="B77" s="97" t="s">
        <v>495</v>
      </c>
      <c r="C77" s="172">
        <v>730</v>
      </c>
      <c r="D77" s="247" t="s">
        <v>248</v>
      </c>
      <c r="E77" s="97"/>
    </row>
    <row r="78" spans="1:6" hidden="1" x14ac:dyDescent="0.2">
      <c r="A78" s="423"/>
      <c r="B78" s="108" t="s">
        <v>496</v>
      </c>
      <c r="C78" s="172">
        <v>740</v>
      </c>
      <c r="D78" s="247" t="s">
        <v>251</v>
      </c>
      <c r="E78" s="108"/>
    </row>
    <row r="79" spans="1:6" hidden="1" x14ac:dyDescent="0.2">
      <c r="A79" s="423"/>
      <c r="B79" s="108" t="s">
        <v>497</v>
      </c>
      <c r="C79" s="172">
        <v>750</v>
      </c>
      <c r="D79" s="247" t="s">
        <v>248</v>
      </c>
      <c r="E79" s="108"/>
    </row>
    <row r="80" spans="1:6" hidden="1" x14ac:dyDescent="0.2">
      <c r="A80" s="423"/>
      <c r="B80" s="108" t="s">
        <v>498</v>
      </c>
      <c r="C80" s="172">
        <v>760</v>
      </c>
      <c r="D80" s="247" t="s">
        <v>248</v>
      </c>
      <c r="E80" s="108"/>
    </row>
    <row r="81" spans="1:5" hidden="1" x14ac:dyDescent="0.2">
      <c r="A81" s="423"/>
      <c r="B81" s="97" t="s">
        <v>499</v>
      </c>
      <c r="C81" s="172">
        <v>770</v>
      </c>
      <c r="D81" s="247" t="s">
        <v>248</v>
      </c>
      <c r="E81" s="97"/>
    </row>
    <row r="82" spans="1:5" hidden="1" x14ac:dyDescent="0.2">
      <c r="A82" s="423"/>
      <c r="B82" s="108"/>
      <c r="C82" s="97"/>
      <c r="D82" s="108"/>
    </row>
    <row r="83" spans="1:5" hidden="1" x14ac:dyDescent="0.2">
      <c r="A83" s="423"/>
      <c r="B83" s="108"/>
      <c r="C83" s="97"/>
      <c r="D83" s="108"/>
    </row>
    <row r="84" spans="1:5" ht="13.5" hidden="1" thickBot="1" x14ac:dyDescent="0.25">
      <c r="B84" s="101"/>
      <c r="C84" s="173"/>
      <c r="D84" s="504"/>
    </row>
    <row r="85" spans="1:5" ht="13.5" hidden="1" thickBot="1" x14ac:dyDescent="0.25">
      <c r="A85" s="423"/>
      <c r="B85" s="97"/>
      <c r="C85" s="97"/>
      <c r="D85" s="172" t="s">
        <v>25</v>
      </c>
      <c r="E85" s="172" t="s">
        <v>235</v>
      </c>
    </row>
    <row r="86" spans="1:5" ht="13.5" hidden="1" thickBot="1" x14ac:dyDescent="0.25">
      <c r="A86" s="423"/>
      <c r="B86" s="97" t="s">
        <v>500</v>
      </c>
      <c r="C86" s="172" t="s">
        <v>238</v>
      </c>
      <c r="D86" s="97"/>
      <c r="E86" s="172" t="s">
        <v>239</v>
      </c>
    </row>
    <row r="87" spans="1:5" ht="13.5" hidden="1" thickBot="1" x14ac:dyDescent="0.25">
      <c r="A87" s="423"/>
      <c r="B87" s="97"/>
      <c r="C87" s="172" t="s">
        <v>242</v>
      </c>
      <c r="D87" s="97"/>
      <c r="E87" s="172" t="s">
        <v>243</v>
      </c>
    </row>
    <row r="88" spans="1:5" ht="13.5" hidden="1" thickBot="1" x14ac:dyDescent="0.25">
      <c r="A88" s="99"/>
      <c r="B88" s="108" t="s">
        <v>501</v>
      </c>
      <c r="C88" s="172">
        <v>800</v>
      </c>
      <c r="D88" s="247" t="s">
        <v>248</v>
      </c>
      <c r="E88" s="108"/>
    </row>
    <row r="89" spans="1:5" ht="13.5" hidden="1" thickBot="1" x14ac:dyDescent="0.25">
      <c r="A89" s="99"/>
      <c r="B89" s="108" t="s">
        <v>502</v>
      </c>
      <c r="C89" s="172">
        <v>810</v>
      </c>
      <c r="D89" s="247" t="s">
        <v>245</v>
      </c>
      <c r="E89" s="108"/>
    </row>
    <row r="90" spans="1:5" ht="13.5" hidden="1" thickBot="1" x14ac:dyDescent="0.25">
      <c r="A90" s="423"/>
      <c r="B90" s="108" t="s">
        <v>503</v>
      </c>
      <c r="C90" s="172">
        <v>820</v>
      </c>
      <c r="D90" s="247" t="s">
        <v>248</v>
      </c>
      <c r="E90" s="108"/>
    </row>
    <row r="91" spans="1:5" ht="13.5" hidden="1" thickBot="1" x14ac:dyDescent="0.25">
      <c r="A91" s="423"/>
      <c r="B91" s="97" t="s">
        <v>340</v>
      </c>
      <c r="C91" s="172">
        <v>822</v>
      </c>
      <c r="D91" s="247" t="s">
        <v>251</v>
      </c>
      <c r="E91" s="97"/>
    </row>
    <row r="92" spans="1:5" ht="13.5" hidden="1" thickBot="1" x14ac:dyDescent="0.25">
      <c r="A92" s="423"/>
      <c r="B92" s="97" t="s">
        <v>504</v>
      </c>
      <c r="C92" s="172">
        <v>830</v>
      </c>
      <c r="D92" s="247"/>
    </row>
    <row r="93" spans="1:5" ht="13.5" hidden="1" thickBot="1" x14ac:dyDescent="0.25">
      <c r="B93" s="101"/>
      <c r="C93" s="173"/>
      <c r="D93" s="504"/>
    </row>
    <row r="94" spans="1:5" ht="13.5" hidden="1" thickTop="1" x14ac:dyDescent="0.2">
      <c r="B94" s="506"/>
      <c r="C94" s="507"/>
      <c r="D94" s="507" t="s">
        <v>25</v>
      </c>
      <c r="E94" s="276" t="s">
        <v>235</v>
      </c>
    </row>
    <row r="95" spans="1:5" ht="51.95" hidden="1" customHeight="1" x14ac:dyDescent="0.2">
      <c r="B95" s="509" t="s">
        <v>505</v>
      </c>
      <c r="C95" s="510" t="s">
        <v>238</v>
      </c>
      <c r="D95" s="510"/>
      <c r="E95" s="277" t="s">
        <v>239</v>
      </c>
    </row>
    <row r="96" spans="1:5" ht="13.5" hidden="1" thickBot="1" x14ac:dyDescent="0.25">
      <c r="B96" s="158"/>
      <c r="C96" s="511" t="s">
        <v>242</v>
      </c>
      <c r="D96" s="511"/>
      <c r="E96" s="279" t="s">
        <v>243</v>
      </c>
    </row>
    <row r="97" spans="2:5" ht="21.95" hidden="1" customHeight="1" x14ac:dyDescent="0.2">
      <c r="B97" s="512" t="s">
        <v>316</v>
      </c>
      <c r="C97" s="514"/>
      <c r="D97" s="515"/>
      <c r="E97" s="320"/>
    </row>
    <row r="98" spans="2:5" ht="21.95" hidden="1" customHeight="1" x14ac:dyDescent="0.2">
      <c r="B98" s="520" t="s">
        <v>506</v>
      </c>
      <c r="C98" s="477">
        <v>850</v>
      </c>
      <c r="D98" s="478" t="s">
        <v>251</v>
      </c>
      <c r="E98" s="575">
        <f>('1415TRU02_SFP_P13'!L18*-1)</f>
        <v>0</v>
      </c>
    </row>
    <row r="99" spans="2:5" ht="21.95" hidden="1" customHeight="1" x14ac:dyDescent="0.2">
      <c r="B99" s="525" t="s">
        <v>507</v>
      </c>
      <c r="C99" s="481">
        <v>860</v>
      </c>
      <c r="D99" s="482" t="s">
        <v>251</v>
      </c>
      <c r="E99" s="526"/>
    </row>
    <row r="100" spans="2:5" ht="21.95" hidden="1" customHeight="1" x14ac:dyDescent="0.2">
      <c r="B100" s="525" t="s">
        <v>508</v>
      </c>
      <c r="C100" s="481">
        <v>870</v>
      </c>
      <c r="D100" s="482" t="s">
        <v>251</v>
      </c>
      <c r="E100" s="526"/>
    </row>
    <row r="101" spans="2:5" ht="27" hidden="1" customHeight="1" x14ac:dyDescent="0.2">
      <c r="B101" s="1088" t="s">
        <v>509</v>
      </c>
      <c r="C101" s="481">
        <v>880</v>
      </c>
      <c r="D101" s="482" t="s">
        <v>251</v>
      </c>
      <c r="E101" s="527">
        <f>E98+E99+E100</f>
        <v>0</v>
      </c>
    </row>
    <row r="102" spans="2:5" ht="21.95" hidden="1" customHeight="1" x14ac:dyDescent="0.2">
      <c r="B102" s="528" t="s">
        <v>510</v>
      </c>
      <c r="C102" s="488"/>
      <c r="D102" s="490"/>
      <c r="E102" s="530"/>
    </row>
    <row r="103" spans="2:5" ht="21.95" hidden="1" customHeight="1" x14ac:dyDescent="0.2">
      <c r="B103" s="532" t="s">
        <v>511</v>
      </c>
      <c r="C103" s="477">
        <v>890</v>
      </c>
      <c r="D103" s="478" t="s">
        <v>251</v>
      </c>
      <c r="E103" s="575">
        <f>(('1415TRU02_SFP_P13'!L19+'1415TRU02_SFP_P13'!L15)*-1)</f>
        <v>0</v>
      </c>
    </row>
    <row r="104" spans="2:5" ht="30" hidden="1" customHeight="1" x14ac:dyDescent="0.2">
      <c r="B104" s="1105" t="s">
        <v>512</v>
      </c>
      <c r="C104" s="488"/>
      <c r="D104" s="490"/>
      <c r="E104" s="530"/>
    </row>
    <row r="105" spans="2:5" ht="21.95" hidden="1" customHeight="1" x14ac:dyDescent="0.2">
      <c r="B105" s="532" t="s">
        <v>513</v>
      </c>
      <c r="C105" s="477">
        <v>900</v>
      </c>
      <c r="D105" s="478" t="s">
        <v>251</v>
      </c>
      <c r="E105" s="521">
        <f>E141</f>
        <v>0</v>
      </c>
    </row>
    <row r="106" spans="2:5" ht="21.95" hidden="1" customHeight="1" x14ac:dyDescent="0.2">
      <c r="B106" s="525" t="s">
        <v>514</v>
      </c>
      <c r="C106" s="481">
        <v>910</v>
      </c>
      <c r="D106" s="482" t="s">
        <v>251</v>
      </c>
      <c r="E106" s="526"/>
    </row>
    <row r="107" spans="2:5" ht="21.95" hidden="1" customHeight="1" x14ac:dyDescent="0.2">
      <c r="B107" s="525" t="s">
        <v>508</v>
      </c>
      <c r="C107" s="481">
        <v>920</v>
      </c>
      <c r="D107" s="482" t="s">
        <v>251</v>
      </c>
      <c r="E107" s="526"/>
    </row>
    <row r="108" spans="2:5" ht="21.95" hidden="1" customHeight="1" x14ac:dyDescent="0.2">
      <c r="B108" s="525" t="s">
        <v>515</v>
      </c>
      <c r="C108" s="481">
        <v>930</v>
      </c>
      <c r="D108" s="482" t="s">
        <v>251</v>
      </c>
      <c r="E108" s="526"/>
    </row>
    <row r="109" spans="2:5" ht="27" hidden="1" customHeight="1" x14ac:dyDescent="0.2">
      <c r="B109" s="1088" t="s">
        <v>516</v>
      </c>
      <c r="C109" s="481">
        <v>940</v>
      </c>
      <c r="D109" s="482" t="s">
        <v>251</v>
      </c>
      <c r="E109" s="527">
        <f>E103-E105-E106-E107-E108</f>
        <v>0</v>
      </c>
    </row>
    <row r="110" spans="2:5" ht="21.95" hidden="1" customHeight="1" x14ac:dyDescent="0.2">
      <c r="B110" s="528" t="s">
        <v>142</v>
      </c>
      <c r="C110" s="488"/>
      <c r="D110" s="490"/>
      <c r="E110" s="530"/>
    </row>
    <row r="111" spans="2:5" ht="21.95" hidden="1" customHeight="1" x14ac:dyDescent="0.2">
      <c r="B111" s="532" t="s">
        <v>517</v>
      </c>
      <c r="C111" s="477">
        <v>950</v>
      </c>
      <c r="D111" s="478" t="s">
        <v>251</v>
      </c>
      <c r="E111" s="575">
        <f>('1415TRU02_SFP_P13'!L21*-1)</f>
        <v>0</v>
      </c>
    </row>
    <row r="112" spans="2:5" ht="30" hidden="1" customHeight="1" x14ac:dyDescent="0.2">
      <c r="B112" s="1106" t="s">
        <v>518</v>
      </c>
      <c r="C112" s="488"/>
      <c r="D112" s="490"/>
      <c r="E112" s="530"/>
    </row>
    <row r="113" spans="2:5" ht="21.95" hidden="1" customHeight="1" x14ac:dyDescent="0.2">
      <c r="B113" s="525" t="s">
        <v>519</v>
      </c>
      <c r="C113" s="477">
        <v>960</v>
      </c>
      <c r="D113" s="478" t="s">
        <v>251</v>
      </c>
      <c r="E113" s="534"/>
    </row>
    <row r="114" spans="2:5" ht="21.95" hidden="1" customHeight="1" x14ac:dyDescent="0.2">
      <c r="B114" s="525" t="s">
        <v>520</v>
      </c>
      <c r="C114" s="481">
        <v>970</v>
      </c>
      <c r="D114" s="482" t="s">
        <v>251</v>
      </c>
      <c r="E114" s="526"/>
    </row>
    <row r="115" spans="2:5" ht="21.95" hidden="1" customHeight="1" x14ac:dyDescent="0.2">
      <c r="B115" s="525" t="s">
        <v>508</v>
      </c>
      <c r="C115" s="481">
        <v>980</v>
      </c>
      <c r="D115" s="482" t="s">
        <v>251</v>
      </c>
      <c r="E115" s="526"/>
    </row>
    <row r="116" spans="2:5" ht="27" hidden="1" customHeight="1" x14ac:dyDescent="0.2">
      <c r="B116" s="1088" t="s">
        <v>521</v>
      </c>
      <c r="C116" s="481">
        <v>990</v>
      </c>
      <c r="D116" s="482" t="s">
        <v>251</v>
      </c>
      <c r="E116" s="527">
        <f>E111-E113-E114-E115</f>
        <v>0</v>
      </c>
    </row>
    <row r="117" spans="2:5" ht="21.95" hidden="1" customHeight="1" x14ac:dyDescent="0.2">
      <c r="B117" s="528" t="s">
        <v>522</v>
      </c>
      <c r="C117" s="488"/>
      <c r="D117" s="490"/>
      <c r="E117" s="530"/>
    </row>
    <row r="118" spans="2:5" ht="21.95" hidden="1" customHeight="1" x14ac:dyDescent="0.2">
      <c r="B118" s="532" t="s">
        <v>523</v>
      </c>
      <c r="C118" s="477">
        <v>1000</v>
      </c>
      <c r="D118" s="478" t="s">
        <v>251</v>
      </c>
      <c r="E118" s="575">
        <f>(('1415TRU02_SFP_P13'!L28+'1415TRU02_SFP_P13'!L39)*-1)</f>
        <v>0</v>
      </c>
    </row>
    <row r="119" spans="2:5" ht="30" hidden="1" customHeight="1" x14ac:dyDescent="0.2">
      <c r="B119" s="1105" t="s">
        <v>524</v>
      </c>
      <c r="C119" s="488"/>
      <c r="D119" s="490"/>
      <c r="E119" s="530"/>
    </row>
    <row r="120" spans="2:5" ht="21.95" hidden="1" customHeight="1" x14ac:dyDescent="0.2">
      <c r="B120" s="532" t="s">
        <v>525</v>
      </c>
      <c r="C120" s="477">
        <v>1010</v>
      </c>
      <c r="D120" s="478" t="s">
        <v>251</v>
      </c>
      <c r="E120" s="521">
        <f>E144</f>
        <v>0</v>
      </c>
    </row>
    <row r="121" spans="2:5" ht="21.95" hidden="1" customHeight="1" x14ac:dyDescent="0.2">
      <c r="B121" s="525" t="s">
        <v>520</v>
      </c>
      <c r="C121" s="481">
        <v>1020</v>
      </c>
      <c r="D121" s="482" t="s">
        <v>251</v>
      </c>
      <c r="E121" s="526"/>
    </row>
    <row r="122" spans="2:5" ht="21.95" hidden="1" customHeight="1" x14ac:dyDescent="0.2">
      <c r="B122" s="525" t="s">
        <v>508</v>
      </c>
      <c r="C122" s="481">
        <v>1030</v>
      </c>
      <c r="D122" s="482" t="s">
        <v>251</v>
      </c>
      <c r="E122" s="526"/>
    </row>
    <row r="123" spans="2:5" ht="21.95" hidden="1" customHeight="1" x14ac:dyDescent="0.2">
      <c r="B123" s="525" t="s">
        <v>515</v>
      </c>
      <c r="C123" s="481">
        <v>1040</v>
      </c>
      <c r="D123" s="482" t="s">
        <v>251</v>
      </c>
      <c r="E123" s="526"/>
    </row>
    <row r="124" spans="2:5" ht="27" hidden="1" customHeight="1" x14ac:dyDescent="0.2">
      <c r="B124" s="1088" t="s">
        <v>526</v>
      </c>
      <c r="C124" s="481">
        <v>1050</v>
      </c>
      <c r="D124" s="482" t="s">
        <v>251</v>
      </c>
      <c r="E124" s="527">
        <f>E118-E120-E121-E122-E123</f>
        <v>0</v>
      </c>
    </row>
    <row r="125" spans="2:5" ht="21.95" hidden="1" customHeight="1" x14ac:dyDescent="0.2">
      <c r="B125" s="528" t="s">
        <v>323</v>
      </c>
      <c r="C125" s="488"/>
      <c r="D125" s="490"/>
      <c r="E125" s="530"/>
    </row>
    <row r="126" spans="2:5" ht="21.95" hidden="1" customHeight="1" x14ac:dyDescent="0.2">
      <c r="B126" s="532" t="s">
        <v>527</v>
      </c>
      <c r="C126" s="477">
        <v>1060</v>
      </c>
      <c r="D126" s="478" t="s">
        <v>251</v>
      </c>
      <c r="E126" s="575">
        <f>(('1415TRU02_SFP_P13'!L29+'1415TRU02_SFP_P13'!L40)*-1)</f>
        <v>0</v>
      </c>
    </row>
    <row r="127" spans="2:5" ht="30" hidden="1" customHeight="1" x14ac:dyDescent="0.2">
      <c r="B127" s="1106" t="s">
        <v>528</v>
      </c>
      <c r="C127" s="488"/>
      <c r="D127" s="490"/>
      <c r="E127" s="530"/>
    </row>
    <row r="128" spans="2:5" ht="21.95" hidden="1" customHeight="1" x14ac:dyDescent="0.2">
      <c r="B128" s="525" t="s">
        <v>529</v>
      </c>
      <c r="C128" s="477">
        <v>1070</v>
      </c>
      <c r="D128" s="478" t="s">
        <v>251</v>
      </c>
      <c r="E128" s="534"/>
    </row>
    <row r="129" spans="2:5" ht="21.95" hidden="1" customHeight="1" x14ac:dyDescent="0.2">
      <c r="B129" s="525" t="s">
        <v>530</v>
      </c>
      <c r="C129" s="481">
        <v>1080</v>
      </c>
      <c r="D129" s="482" t="s">
        <v>248</v>
      </c>
      <c r="E129" s="526"/>
    </row>
    <row r="130" spans="2:5" ht="21.95" hidden="1" customHeight="1" x14ac:dyDescent="0.2">
      <c r="B130" s="525" t="s">
        <v>531</v>
      </c>
      <c r="C130" s="481">
        <v>1090</v>
      </c>
      <c r="D130" s="482" t="s">
        <v>251</v>
      </c>
      <c r="E130" s="526"/>
    </row>
    <row r="131" spans="2:5" ht="27" hidden="1" customHeight="1" x14ac:dyDescent="0.2">
      <c r="B131" s="1088" t="s">
        <v>532</v>
      </c>
      <c r="C131" s="481">
        <v>1100</v>
      </c>
      <c r="D131" s="482" t="s">
        <v>251</v>
      </c>
      <c r="E131" s="527">
        <f>E126-E128-E129-E130</f>
        <v>0</v>
      </c>
    </row>
    <row r="132" spans="2:5" ht="21.95" hidden="1" customHeight="1" x14ac:dyDescent="0.2">
      <c r="B132" s="528" t="s">
        <v>170</v>
      </c>
      <c r="C132" s="488"/>
      <c r="D132" s="490"/>
      <c r="E132" s="530"/>
    </row>
    <row r="133" spans="2:5" ht="27" hidden="1" customHeight="1" x14ac:dyDescent="0.2">
      <c r="B133" s="520" t="s">
        <v>533</v>
      </c>
      <c r="C133" s="477">
        <v>1110</v>
      </c>
      <c r="D133" s="478" t="s">
        <v>251</v>
      </c>
      <c r="E133" s="575">
        <f>('1415TRU19_PRV_P13'!E19+'1415TRU19_PRV_P13'!E21+'1415TRU19_PRV_P13'!E25)</f>
        <v>0</v>
      </c>
    </row>
    <row r="134" spans="2:5" ht="30" hidden="1" customHeight="1" x14ac:dyDescent="0.2">
      <c r="B134" s="1105" t="s">
        <v>534</v>
      </c>
      <c r="C134" s="488"/>
      <c r="D134" s="490"/>
      <c r="E134" s="530"/>
    </row>
    <row r="135" spans="2:5" ht="21.95" hidden="1" customHeight="1" x14ac:dyDescent="0.2">
      <c r="B135" s="532" t="s">
        <v>535</v>
      </c>
      <c r="C135" s="477">
        <v>1120</v>
      </c>
      <c r="D135" s="478" t="s">
        <v>251</v>
      </c>
      <c r="E135" s="534"/>
    </row>
    <row r="136" spans="2:5" ht="21.95" hidden="1" customHeight="1" x14ac:dyDescent="0.2">
      <c r="B136" s="525" t="s">
        <v>536</v>
      </c>
      <c r="C136" s="481">
        <v>1130</v>
      </c>
      <c r="D136" s="482" t="s">
        <v>251</v>
      </c>
      <c r="E136" s="526"/>
    </row>
    <row r="137" spans="2:5" ht="21.95" hidden="1" customHeight="1" x14ac:dyDescent="0.2">
      <c r="B137" s="525" t="s">
        <v>537</v>
      </c>
      <c r="C137" s="481">
        <v>1140</v>
      </c>
      <c r="D137" s="482" t="s">
        <v>251</v>
      </c>
      <c r="E137" s="527">
        <f>E133-E135-E136</f>
        <v>0</v>
      </c>
    </row>
    <row r="138" spans="2:5" ht="21.95" hidden="1" customHeight="1" x14ac:dyDescent="0.2">
      <c r="B138" s="528" t="s">
        <v>538</v>
      </c>
      <c r="C138" s="488"/>
      <c r="D138" s="490"/>
      <c r="E138" s="530"/>
    </row>
    <row r="139" spans="2:5" ht="21.95" hidden="1" customHeight="1" x14ac:dyDescent="0.2">
      <c r="B139" s="532" t="s">
        <v>539</v>
      </c>
      <c r="C139" s="477">
        <v>1150</v>
      </c>
      <c r="D139" s="478" t="s">
        <v>248</v>
      </c>
      <c r="E139" s="575">
        <f>('1415TRU16_AST_P13'!F30+'1415TRU16_AST_P13'!F33+'1415TRU16_AST_P13'!F46+'1415TRU16_AST_P13'!F49)</f>
        <v>0</v>
      </c>
    </row>
    <row r="140" spans="2:5" ht="21.95" hidden="1" customHeight="1" x14ac:dyDescent="0.2">
      <c r="B140" s="525" t="s">
        <v>540</v>
      </c>
      <c r="C140" s="481">
        <v>1160</v>
      </c>
      <c r="D140" s="482" t="s">
        <v>248</v>
      </c>
      <c r="E140" s="576">
        <f>('1415TRU16_AST_P13'!E30+'1415TRU16_AST_P13'!E33+'1415TRU16_AST_P13'!E46+'1415TRU16_AST_P13'!E49)</f>
        <v>0</v>
      </c>
    </row>
    <row r="141" spans="2:5" ht="21.95" hidden="1" customHeight="1" x14ac:dyDescent="0.2">
      <c r="B141" s="525" t="s">
        <v>541</v>
      </c>
      <c r="C141" s="481">
        <v>1170</v>
      </c>
      <c r="D141" s="482" t="s">
        <v>251</v>
      </c>
      <c r="E141" s="527">
        <f>E139-E140</f>
        <v>0</v>
      </c>
    </row>
    <row r="142" spans="2:5" ht="21.95" hidden="1" customHeight="1" x14ac:dyDescent="0.2">
      <c r="B142" s="525" t="s">
        <v>542</v>
      </c>
      <c r="C142" s="481">
        <v>1180</v>
      </c>
      <c r="D142" s="482" t="s">
        <v>248</v>
      </c>
      <c r="E142" s="576">
        <f>('1415TRU17_LIA_P13'!F13+'1415TRU17_LIA_P13'!F17+'1415TRU17_LIA_P13'!F28+'1415TRU17_LIA_P13'!F31)</f>
        <v>0</v>
      </c>
    </row>
    <row r="143" spans="2:5" ht="21.95" hidden="1" customHeight="1" x14ac:dyDescent="0.2">
      <c r="B143" s="525" t="s">
        <v>543</v>
      </c>
      <c r="C143" s="481">
        <v>1190</v>
      </c>
      <c r="D143" s="482" t="s">
        <v>248</v>
      </c>
      <c r="E143" s="576">
        <f>('1415TRU17_LIA_P13'!E13+'1415TRU17_LIA_P13'!E17+'1415TRU17_LIA_P13'!E28+'1415TRU17_LIA_P13'!E31)</f>
        <v>0</v>
      </c>
    </row>
    <row r="144" spans="2:5" ht="21.95" hidden="1" customHeight="1" thickBot="1" x14ac:dyDescent="0.25">
      <c r="B144" s="535" t="s">
        <v>544</v>
      </c>
      <c r="C144" s="536">
        <v>1200</v>
      </c>
      <c r="D144" s="537" t="s">
        <v>251</v>
      </c>
      <c r="E144" s="538">
        <f>E143-E142</f>
        <v>0</v>
      </c>
    </row>
    <row r="146" spans="1:54" ht="13.5" hidden="1" thickTop="1" x14ac:dyDescent="0.2">
      <c r="B146" s="273"/>
      <c r="C146" s="274"/>
      <c r="D146" s="274" t="s">
        <v>25</v>
      </c>
      <c r="E146" s="311" t="s">
        <v>235</v>
      </c>
    </row>
    <row r="147" spans="1:54" hidden="1" x14ac:dyDescent="0.2">
      <c r="B147" s="130" t="s">
        <v>545</v>
      </c>
      <c r="C147" s="199" t="s">
        <v>238</v>
      </c>
      <c r="D147" s="199"/>
      <c r="E147" s="539" t="s">
        <v>239</v>
      </c>
    </row>
    <row r="148" spans="1:54" ht="13.5" hidden="1" thickBot="1" x14ac:dyDescent="0.25">
      <c r="B148" s="150"/>
      <c r="C148" s="204" t="s">
        <v>242</v>
      </c>
      <c r="D148" s="204"/>
      <c r="E148" s="313" t="s">
        <v>243</v>
      </c>
    </row>
    <row r="149" spans="1:54" ht="21.95" hidden="1" customHeight="1" x14ac:dyDescent="0.2">
      <c r="B149" s="126" t="s">
        <v>546</v>
      </c>
      <c r="C149" s="540"/>
      <c r="D149" s="540"/>
      <c r="E149" s="541"/>
    </row>
    <row r="150" spans="1:54" ht="21.95" hidden="1" customHeight="1" x14ac:dyDescent="0.2">
      <c r="B150" s="542" t="s">
        <v>547</v>
      </c>
      <c r="C150" s="251">
        <v>1230</v>
      </c>
      <c r="D150" s="252" t="s">
        <v>248</v>
      </c>
      <c r="E150" s="1189">
        <v>8</v>
      </c>
    </row>
    <row r="151" spans="1:54" hidden="1" x14ac:dyDescent="0.2">
      <c r="A151" s="99"/>
      <c r="B151" s="100" t="s">
        <v>548</v>
      </c>
      <c r="C151" s="172">
        <v>1235</v>
      </c>
      <c r="D151" s="247" t="s">
        <v>251</v>
      </c>
      <c r="E151" s="100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</row>
    <row r="152" spans="1:54" ht="21.95" hidden="1" customHeight="1" x14ac:dyDescent="0.2">
      <c r="B152" s="542" t="s">
        <v>549</v>
      </c>
      <c r="C152" s="251">
        <v>1240</v>
      </c>
      <c r="D152" s="252" t="s">
        <v>248</v>
      </c>
      <c r="E152" s="1189">
        <v>9</v>
      </c>
    </row>
    <row r="153" spans="1:54" ht="21.95" hidden="1" customHeight="1" x14ac:dyDescent="0.2">
      <c r="B153" s="543" t="s">
        <v>550</v>
      </c>
      <c r="C153" s="218">
        <v>1242</v>
      </c>
      <c r="D153" s="219" t="s">
        <v>248</v>
      </c>
      <c r="E153" s="1190">
        <v>10</v>
      </c>
    </row>
    <row r="154" spans="1:54" ht="21.95" hidden="1" customHeight="1" x14ac:dyDescent="0.2">
      <c r="B154" s="543" t="s">
        <v>551</v>
      </c>
      <c r="C154" s="218">
        <v>1243</v>
      </c>
      <c r="D154" s="219" t="s">
        <v>248</v>
      </c>
      <c r="E154" s="1190">
        <v>11</v>
      </c>
    </row>
    <row r="155" spans="1:54" ht="30" hidden="1" customHeight="1" thickBot="1" x14ac:dyDescent="0.25">
      <c r="B155" s="966" t="s">
        <v>552</v>
      </c>
      <c r="C155" s="358">
        <v>1244</v>
      </c>
      <c r="D155" s="545" t="s">
        <v>248</v>
      </c>
      <c r="E155" s="546">
        <f>SUM(E150:E154)</f>
        <v>38</v>
      </c>
    </row>
    <row r="156" spans="1:54" hidden="1" x14ac:dyDescent="0.2">
      <c r="B156" s="97"/>
      <c r="C156" s="172"/>
      <c r="D156" s="247"/>
      <c r="E156" s="97"/>
    </row>
    <row r="157" spans="1:54" ht="21.95" hidden="1" customHeight="1" x14ac:dyDescent="0.2">
      <c r="B157" s="130" t="s">
        <v>553</v>
      </c>
      <c r="C157" s="547"/>
      <c r="D157" s="547"/>
      <c r="E157" s="548"/>
    </row>
    <row r="158" spans="1:54" ht="21.95" hidden="1" customHeight="1" x14ac:dyDescent="0.2">
      <c r="B158" s="542" t="s">
        <v>554</v>
      </c>
      <c r="C158" s="251">
        <v>1250</v>
      </c>
      <c r="D158" s="252" t="s">
        <v>245</v>
      </c>
      <c r="E158" s="1189">
        <v>12</v>
      </c>
    </row>
    <row r="159" spans="1:54" hidden="1" x14ac:dyDescent="0.2">
      <c r="A159" s="99"/>
      <c r="B159" s="100" t="s">
        <v>555</v>
      </c>
      <c r="C159" s="172">
        <v>1255</v>
      </c>
      <c r="D159" s="247" t="s">
        <v>251</v>
      </c>
      <c r="E159" s="100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</row>
    <row r="160" spans="1:54" ht="21.95" hidden="1" customHeight="1" x14ac:dyDescent="0.2">
      <c r="B160" s="542" t="s">
        <v>556</v>
      </c>
      <c r="C160" s="251">
        <v>1260</v>
      </c>
      <c r="D160" s="252" t="s">
        <v>245</v>
      </c>
      <c r="E160" s="1189">
        <v>13</v>
      </c>
    </row>
    <row r="161" spans="2:6" ht="21.95" hidden="1" customHeight="1" x14ac:dyDescent="0.2">
      <c r="B161" s="543" t="s">
        <v>557</v>
      </c>
      <c r="C161" s="218">
        <v>1270</v>
      </c>
      <c r="D161" s="219" t="s">
        <v>245</v>
      </c>
      <c r="E161" s="1190">
        <v>14</v>
      </c>
    </row>
    <row r="162" spans="2:6" ht="21.95" hidden="1" customHeight="1" x14ac:dyDescent="0.2">
      <c r="B162" s="543" t="s">
        <v>558</v>
      </c>
      <c r="C162" s="218">
        <v>1271</v>
      </c>
      <c r="D162" s="219" t="s">
        <v>245</v>
      </c>
      <c r="E162" s="1190">
        <v>15</v>
      </c>
    </row>
    <row r="163" spans="2:6" ht="30" hidden="1" customHeight="1" thickBot="1" x14ac:dyDescent="0.25">
      <c r="B163" s="966" t="s">
        <v>559</v>
      </c>
      <c r="C163" s="358">
        <v>1273</v>
      </c>
      <c r="D163" s="545" t="s">
        <v>245</v>
      </c>
      <c r="E163" s="549">
        <f>SUM(E158:E162)</f>
        <v>54</v>
      </c>
    </row>
    <row r="164" spans="2:6" hidden="1" x14ac:dyDescent="0.2">
      <c r="B164" s="97"/>
      <c r="C164" s="172"/>
      <c r="D164" s="247"/>
      <c r="E164" s="97"/>
    </row>
    <row r="165" spans="2:6" ht="30" hidden="1" customHeight="1" x14ac:dyDescent="0.2">
      <c r="B165" s="550" t="s">
        <v>560</v>
      </c>
      <c r="C165" s="251">
        <v>1276</v>
      </c>
      <c r="D165" s="250" t="s">
        <v>248</v>
      </c>
      <c r="E165" s="551">
        <f>E153+E154+E161+E162</f>
        <v>50</v>
      </c>
    </row>
    <row r="166" spans="2:6" ht="30" hidden="1" customHeight="1" thickBot="1" x14ac:dyDescent="0.25">
      <c r="B166" s="553" t="s">
        <v>504</v>
      </c>
      <c r="C166" s="289">
        <v>1279</v>
      </c>
      <c r="D166" s="287"/>
      <c r="E166" s="1172"/>
    </row>
    <row r="167" spans="2:6" ht="13.5" hidden="1" thickTop="1" x14ac:dyDescent="0.2"/>
    <row r="168" spans="2:6" ht="13.5" hidden="1" thickBot="1" x14ac:dyDescent="0.25"/>
    <row r="169" spans="2:6" ht="13.5" hidden="1" thickTop="1" x14ac:dyDescent="0.2">
      <c r="B169" s="273"/>
      <c r="C169" s="274"/>
      <c r="D169" s="274" t="s">
        <v>25</v>
      </c>
      <c r="E169" s="274" t="s">
        <v>235</v>
      </c>
      <c r="F169" s="311" t="s">
        <v>236</v>
      </c>
    </row>
    <row r="170" spans="2:6" hidden="1" x14ac:dyDescent="0.2">
      <c r="B170" s="130" t="s">
        <v>561</v>
      </c>
      <c r="C170" s="199" t="s">
        <v>238</v>
      </c>
      <c r="D170" s="199"/>
      <c r="E170" s="199" t="s">
        <v>239</v>
      </c>
      <c r="F170" s="539" t="s">
        <v>240</v>
      </c>
    </row>
    <row r="171" spans="2:6" ht="13.5" hidden="1" thickBot="1" x14ac:dyDescent="0.25">
      <c r="B171" s="150"/>
      <c r="C171" s="204" t="s">
        <v>242</v>
      </c>
      <c r="D171" s="204"/>
      <c r="E171" s="204" t="s">
        <v>243</v>
      </c>
      <c r="F171" s="313" t="s">
        <v>243</v>
      </c>
    </row>
    <row r="172" spans="2:6" ht="21.95" hidden="1" customHeight="1" x14ac:dyDescent="0.2">
      <c r="B172" s="280" t="s">
        <v>562</v>
      </c>
      <c r="C172" s="207">
        <v>1280</v>
      </c>
      <c r="D172" s="206" t="s">
        <v>248</v>
      </c>
      <c r="E172" s="362"/>
      <c r="F172" s="571">
        <f>'1314TRU04_CF_P16'!BC169</f>
        <v>0</v>
      </c>
    </row>
    <row r="173" spans="2:6" ht="27" hidden="1" customHeight="1" x14ac:dyDescent="0.2">
      <c r="B173" s="938" t="s">
        <v>563</v>
      </c>
      <c r="C173" s="218">
        <v>1290</v>
      </c>
      <c r="D173" s="217" t="s">
        <v>248</v>
      </c>
      <c r="E173" s="228"/>
      <c r="F173" s="572">
        <f>'1314TRU04_CF_P16'!BC170</f>
        <v>0</v>
      </c>
    </row>
    <row r="174" spans="2:6" ht="21.95" hidden="1" customHeight="1" thickBot="1" x14ac:dyDescent="0.25">
      <c r="B174" s="284" t="s">
        <v>564</v>
      </c>
      <c r="C174" s="358">
        <v>1300</v>
      </c>
      <c r="D174" s="357" t="s">
        <v>248</v>
      </c>
      <c r="E174" s="359">
        <f>E175-E172-E173</f>
        <v>0</v>
      </c>
      <c r="F174" s="557">
        <f>F175-F172-F173</f>
        <v>0</v>
      </c>
    </row>
    <row r="175" spans="2:6" ht="21.95" hidden="1" customHeight="1" thickBot="1" x14ac:dyDescent="0.25">
      <c r="B175" s="151" t="s">
        <v>565</v>
      </c>
      <c r="C175" s="558">
        <v>1305</v>
      </c>
      <c r="D175" s="160" t="s">
        <v>248</v>
      </c>
      <c r="E175" s="559">
        <f>E50</f>
        <v>0</v>
      </c>
      <c r="F175" s="560">
        <f>F50</f>
        <v>0</v>
      </c>
    </row>
    <row r="176" spans="2:6" ht="21.95" hidden="1" customHeight="1" x14ac:dyDescent="0.2">
      <c r="B176" s="280" t="s">
        <v>566</v>
      </c>
      <c r="C176" s="207">
        <v>1310</v>
      </c>
      <c r="D176" s="206" t="s">
        <v>245</v>
      </c>
      <c r="E176" s="362"/>
      <c r="F176" s="573">
        <f>'1314TRU04_CF_P16'!BC173</f>
        <v>0</v>
      </c>
    </row>
    <row r="177" spans="1:54" ht="21.95" hidden="1" customHeight="1" x14ac:dyDescent="0.2">
      <c r="A177" s="108"/>
      <c r="B177" s="543" t="s">
        <v>567</v>
      </c>
      <c r="C177" s="218">
        <v>1320</v>
      </c>
      <c r="D177" s="219" t="s">
        <v>245</v>
      </c>
      <c r="E177" s="561"/>
      <c r="F177" s="574">
        <f>'1314TRU04_CF_P16'!BC174</f>
        <v>0</v>
      </c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</row>
    <row r="178" spans="1:54" ht="21.95" hidden="1" customHeight="1" thickBot="1" x14ac:dyDescent="0.25">
      <c r="B178" s="284" t="s">
        <v>568</v>
      </c>
      <c r="C178" s="358">
        <v>1325</v>
      </c>
      <c r="D178" s="357" t="s">
        <v>245</v>
      </c>
      <c r="E178" s="359">
        <f>E179-E176-E177</f>
        <v>0</v>
      </c>
      <c r="F178" s="557">
        <f>F179-F176-F177</f>
        <v>0</v>
      </c>
    </row>
    <row r="179" spans="1:54" ht="21.95" hidden="1" customHeight="1" thickBot="1" x14ac:dyDescent="0.25">
      <c r="B179" s="182" t="s">
        <v>569</v>
      </c>
      <c r="C179" s="562">
        <v>1330</v>
      </c>
      <c r="D179" s="183" t="s">
        <v>245</v>
      </c>
      <c r="E179" s="563">
        <f>E53</f>
        <v>0</v>
      </c>
      <c r="F179" s="564">
        <f>F53</f>
        <v>0</v>
      </c>
    </row>
    <row r="189" spans="1:54" x14ac:dyDescent="0.2">
      <c r="BA189" s="212"/>
    </row>
  </sheetData>
  <sheetProtection password="8EBD" sheet="1" objects="1" scenarios="1"/>
  <dataValidations count="3">
    <dataValidation type="whole" allowBlank="1" showErrorMessage="1" errorTitle="Number Only" error="Error : This cell can only accept a numeric value with a max of 12 digits." sqref="BA189 B93:D144 A90:A92 A85:A87 B84:D84 A70:A83 B61:D69 A60 B59:D59 A57:A58 B55:D56 B10:D53 F45 F28 A1:D9">
      <formula1>-1000000000000</formula1>
      <formula2>1000000000000</formula2>
    </dataValidation>
    <dataValidation type="decimal" allowBlank="1" showErrorMessage="1" errorTitle="Number Only" error="Error : This cell can only accept a numeric value with a max of 12 digits." sqref="E178:F179 E174:E175 F172:F175 E165 E139:E144 E137 E133 E131 E126 E124 E120 E118 E116 E111 E109 E105 E103 E101 E98 E67 F66:F67 E61:F65 E59:F59 F55:F56 A54 F48:F53 E46:F47 E43:E44 E30:E31 F29:F44 E20:E27 E11:E15 F11:F27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E177 E173 E160:E162 E158 E152:E154 E150 E135:E136 E128:E130 E121:E123 E113:E115 E106:E108 E99:E100 E66 E55:E56 E48:E53 E32:E42 E29 E16:E19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7" fitToHeight="3" orientation="portrait" horizontalDpi="90" verticalDpi="90" r:id="rId1"/>
  <rowBreaks count="2" manualBreakCount="2">
    <brk id="68" max="54" man="1"/>
    <brk id="145" max="54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CE53"/>
  <sheetViews>
    <sheetView zoomScale="70" zoomScaleNormal="70" workbookViewId="0"/>
  </sheetViews>
  <sheetFormatPr defaultRowHeight="12.75" x14ac:dyDescent="0.2"/>
  <sheetData>
    <row r="1" spans="1:83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83" x14ac:dyDescent="0.2">
      <c r="A2" t="s">
        <v>3727</v>
      </c>
    </row>
    <row r="3" spans="1:83" x14ac:dyDescent="0.2">
      <c r="A3" t="s">
        <v>3805</v>
      </c>
    </row>
    <row r="5" spans="1:83" x14ac:dyDescent="0.2">
      <c r="B5" t="s">
        <v>3700</v>
      </c>
      <c r="CA5" t="s">
        <v>230</v>
      </c>
      <c r="CB5">
        <f>0</f>
        <v>0</v>
      </c>
      <c r="CC5" t="s">
        <v>932</v>
      </c>
      <c r="CD5" t="s">
        <v>932</v>
      </c>
      <c r="CE5" t="s">
        <v>932</v>
      </c>
    </row>
    <row r="10" spans="1:83" x14ac:dyDescent="0.2">
      <c r="CB10" t="s">
        <v>3701</v>
      </c>
      <c r="CC10" t="s">
        <v>3702</v>
      </c>
      <c r="CD10" t="s">
        <v>3702</v>
      </c>
      <c r="CE10" t="s">
        <v>3702</v>
      </c>
    </row>
    <row r="11" spans="1:83" x14ac:dyDescent="0.2">
      <c r="B11" t="s">
        <v>3703</v>
      </c>
      <c r="C11" t="s">
        <v>238</v>
      </c>
      <c r="D11" t="s">
        <v>3704</v>
      </c>
      <c r="E11" t="s">
        <v>3705</v>
      </c>
      <c r="F11" t="s">
        <v>3706</v>
      </c>
    </row>
    <row r="12" spans="1:83" x14ac:dyDescent="0.2">
      <c r="C12" t="s">
        <v>242</v>
      </c>
      <c r="D12" t="s">
        <v>2750</v>
      </c>
      <c r="E12" t="s">
        <v>2751</v>
      </c>
      <c r="F12" t="s">
        <v>2752</v>
      </c>
    </row>
    <row r="13" spans="1:83" x14ac:dyDescent="0.2">
      <c r="D13" t="s">
        <v>243</v>
      </c>
      <c r="E13" t="s">
        <v>243</v>
      </c>
      <c r="F13" t="s">
        <v>243</v>
      </c>
    </row>
    <row r="14" spans="1:83" x14ac:dyDescent="0.2">
      <c r="B14" t="s">
        <v>3707</v>
      </c>
      <c r="C14">
        <v>100</v>
      </c>
      <c r="CB14">
        <f>IF(OR((D14=0),(D14&gt;0)),1,0)</f>
        <v>1</v>
      </c>
      <c r="CC14">
        <f>D14*-1</f>
        <v>0</v>
      </c>
      <c r="CD14">
        <f>E14*-1</f>
        <v>0</v>
      </c>
      <c r="CE14">
        <f>F14*-1</f>
        <v>0</v>
      </c>
    </row>
    <row r="15" spans="1:83" x14ac:dyDescent="0.2">
      <c r="B15" t="s">
        <v>3708</v>
      </c>
      <c r="C15">
        <v>110</v>
      </c>
    </row>
    <row r="16" spans="1:83" x14ac:dyDescent="0.2">
      <c r="B16" t="s">
        <v>2862</v>
      </c>
      <c r="C16">
        <v>120</v>
      </c>
      <c r="D16">
        <f>IF(D15=0,0,D14/D15*100)</f>
        <v>0</v>
      </c>
      <c r="E16">
        <f>IF(E15=0,0,E14/E15*100)</f>
        <v>0</v>
      </c>
      <c r="F16">
        <f>IF(F15=0,0,F14/F15*100)</f>
        <v>0</v>
      </c>
    </row>
    <row r="23" spans="2:7" x14ac:dyDescent="0.2">
      <c r="B23" t="s">
        <v>3709</v>
      </c>
      <c r="C23" t="s">
        <v>238</v>
      </c>
      <c r="D23" t="s">
        <v>3705</v>
      </c>
      <c r="E23" t="s">
        <v>3710</v>
      </c>
      <c r="F23" t="s">
        <v>3706</v>
      </c>
      <c r="G23" t="s">
        <v>3711</v>
      </c>
    </row>
    <row r="24" spans="2:7" x14ac:dyDescent="0.2">
      <c r="C24" t="s">
        <v>242</v>
      </c>
      <c r="D24" t="s">
        <v>2750</v>
      </c>
      <c r="E24" t="s">
        <v>2751</v>
      </c>
      <c r="F24" t="s">
        <v>2752</v>
      </c>
      <c r="G24" t="s">
        <v>2753</v>
      </c>
    </row>
    <row r="25" spans="2:7" x14ac:dyDescent="0.2">
      <c r="D25" t="s">
        <v>243</v>
      </c>
      <c r="F25" t="s">
        <v>243</v>
      </c>
    </row>
    <row r="26" spans="2:7" x14ac:dyDescent="0.2">
      <c r="B26" t="s">
        <v>2863</v>
      </c>
    </row>
    <row r="27" spans="2:7" x14ac:dyDescent="0.2">
      <c r="B27" t="s">
        <v>2864</v>
      </c>
      <c r="C27">
        <v>130</v>
      </c>
      <c r="E27">
        <f t="shared" ref="E27:E40" si="0">IF($E$15=0,0,D27/$E$15*100)</f>
        <v>0</v>
      </c>
      <c r="G27">
        <f t="shared" ref="G27:G36" si="1">IF($F$15=0,0,F27/$F$15*100)</f>
        <v>0</v>
      </c>
    </row>
    <row r="28" spans="2:7" x14ac:dyDescent="0.2">
      <c r="B28" t="s">
        <v>2643</v>
      </c>
      <c r="C28">
        <v>140</v>
      </c>
      <c r="E28">
        <f t="shared" si="0"/>
        <v>0</v>
      </c>
      <c r="G28">
        <f t="shared" si="1"/>
        <v>0</v>
      </c>
    </row>
    <row r="29" spans="2:7" x14ac:dyDescent="0.2">
      <c r="B29" t="s">
        <v>2642</v>
      </c>
      <c r="C29">
        <v>150</v>
      </c>
      <c r="E29">
        <f t="shared" si="0"/>
        <v>0</v>
      </c>
      <c r="G29">
        <f t="shared" si="1"/>
        <v>0</v>
      </c>
    </row>
    <row r="30" spans="2:7" x14ac:dyDescent="0.2">
      <c r="B30" t="s">
        <v>2865</v>
      </c>
      <c r="C30">
        <v>160</v>
      </c>
      <c r="E30">
        <f t="shared" si="0"/>
        <v>0</v>
      </c>
      <c r="G30">
        <f t="shared" si="1"/>
        <v>0</v>
      </c>
    </row>
    <row r="31" spans="2:7" x14ac:dyDescent="0.2">
      <c r="B31" t="s">
        <v>979</v>
      </c>
      <c r="C31">
        <v>170</v>
      </c>
      <c r="D31">
        <f>SUM(D27:D30)</f>
        <v>0</v>
      </c>
      <c r="E31">
        <f t="shared" si="0"/>
        <v>0</v>
      </c>
      <c r="F31">
        <f>SUM(F27:F30)</f>
        <v>0</v>
      </c>
      <c r="G31">
        <f t="shared" si="1"/>
        <v>0</v>
      </c>
    </row>
    <row r="32" spans="2:7" x14ac:dyDescent="0.2">
      <c r="B32" t="s">
        <v>2640</v>
      </c>
      <c r="C32">
        <v>180</v>
      </c>
      <c r="E32">
        <f t="shared" si="0"/>
        <v>0</v>
      </c>
      <c r="G32">
        <f t="shared" si="1"/>
        <v>0</v>
      </c>
    </row>
    <row r="33" spans="2:7" x14ac:dyDescent="0.2">
      <c r="B33" t="s">
        <v>2641</v>
      </c>
      <c r="C33">
        <v>190</v>
      </c>
      <c r="E33">
        <f t="shared" si="0"/>
        <v>0</v>
      </c>
      <c r="G33">
        <f t="shared" si="1"/>
        <v>0</v>
      </c>
    </row>
    <row r="34" spans="2:7" x14ac:dyDescent="0.2">
      <c r="B34" t="s">
        <v>979</v>
      </c>
      <c r="C34">
        <v>200</v>
      </c>
      <c r="D34">
        <f>SUM(D32:D33)</f>
        <v>0</v>
      </c>
      <c r="E34">
        <f t="shared" si="0"/>
        <v>0</v>
      </c>
      <c r="F34">
        <f>SUM(F32:F33)</f>
        <v>0</v>
      </c>
      <c r="G34">
        <f t="shared" si="1"/>
        <v>0</v>
      </c>
    </row>
    <row r="35" spans="2:7" x14ac:dyDescent="0.2">
      <c r="B35" t="s">
        <v>2866</v>
      </c>
      <c r="C35">
        <v>210</v>
      </c>
      <c r="D35">
        <f>D31+D34</f>
        <v>0</v>
      </c>
      <c r="E35">
        <f t="shared" si="0"/>
        <v>0</v>
      </c>
      <c r="F35">
        <f>F31+F34</f>
        <v>0</v>
      </c>
      <c r="G35">
        <f t="shared" si="1"/>
        <v>0</v>
      </c>
    </row>
    <row r="36" spans="2:7" x14ac:dyDescent="0.2">
      <c r="B36" t="s">
        <v>2867</v>
      </c>
      <c r="C36">
        <v>220</v>
      </c>
      <c r="E36">
        <f t="shared" si="0"/>
        <v>0</v>
      </c>
      <c r="G36">
        <f t="shared" si="1"/>
        <v>0</v>
      </c>
    </row>
    <row r="37" spans="2:7" x14ac:dyDescent="0.2">
      <c r="B37" t="s">
        <v>2677</v>
      </c>
      <c r="C37">
        <v>230</v>
      </c>
      <c r="E37">
        <f t="shared" si="0"/>
        <v>0</v>
      </c>
    </row>
    <row r="38" spans="2:7" x14ac:dyDescent="0.2">
      <c r="B38" t="s">
        <v>2868</v>
      </c>
      <c r="C38">
        <v>240</v>
      </c>
      <c r="E38">
        <f t="shared" si="0"/>
        <v>0</v>
      </c>
      <c r="G38">
        <f>IF($F$15=0,0,F38/$F$15*100)</f>
        <v>0</v>
      </c>
    </row>
    <row r="39" spans="2:7" x14ac:dyDescent="0.2">
      <c r="B39" t="s">
        <v>2869</v>
      </c>
      <c r="C39">
        <v>250</v>
      </c>
      <c r="D39">
        <f>E14-D38-D37-D36-D35</f>
        <v>0</v>
      </c>
      <c r="E39">
        <f t="shared" si="0"/>
        <v>0</v>
      </c>
      <c r="F39">
        <f>F14-F38-F37-F36-F35</f>
        <v>0</v>
      </c>
      <c r="G39">
        <f>IF($F$15=0,0,F39/$F$15*100)</f>
        <v>0</v>
      </c>
    </row>
    <row r="40" spans="2:7" x14ac:dyDescent="0.2">
      <c r="B40" t="s">
        <v>3712</v>
      </c>
      <c r="C40">
        <v>260</v>
      </c>
      <c r="D40">
        <f>D35+D36+D37+D38+D39</f>
        <v>0</v>
      </c>
      <c r="E40">
        <f t="shared" si="0"/>
        <v>0</v>
      </c>
      <c r="F40">
        <f>F35+F36+F37+F38+F39</f>
        <v>0</v>
      </c>
      <c r="G40">
        <f>IF($F$15=0,0,F40/$F$15*100)</f>
        <v>0</v>
      </c>
    </row>
    <row r="46" spans="2:7" x14ac:dyDescent="0.2">
      <c r="C46" t="s">
        <v>238</v>
      </c>
      <c r="D46" t="s">
        <v>3704</v>
      </c>
      <c r="E46" t="s">
        <v>3705</v>
      </c>
      <c r="F46" t="s">
        <v>3706</v>
      </c>
    </row>
    <row r="47" spans="2:7" x14ac:dyDescent="0.2">
      <c r="B47" t="s">
        <v>3713</v>
      </c>
      <c r="C47" t="s">
        <v>242</v>
      </c>
      <c r="D47" t="s">
        <v>2750</v>
      </c>
      <c r="E47" t="s">
        <v>2751</v>
      </c>
      <c r="F47" t="s">
        <v>2752</v>
      </c>
    </row>
    <row r="48" spans="2:7" x14ac:dyDescent="0.2">
      <c r="D48" t="s">
        <v>243</v>
      </c>
      <c r="E48" t="s">
        <v>243</v>
      </c>
      <c r="F48" t="s">
        <v>243</v>
      </c>
    </row>
    <row r="49" spans="2:6" x14ac:dyDescent="0.2">
      <c r="B49" t="s">
        <v>3714</v>
      </c>
      <c r="C49">
        <v>270</v>
      </c>
    </row>
    <row r="50" spans="2:6" x14ac:dyDescent="0.2">
      <c r="B50" t="s">
        <v>2870</v>
      </c>
      <c r="C50">
        <v>280</v>
      </c>
    </row>
    <row r="51" spans="2:6" x14ac:dyDescent="0.2">
      <c r="B51" t="s">
        <v>2234</v>
      </c>
      <c r="C51">
        <v>290</v>
      </c>
    </row>
    <row r="52" spans="2:6" x14ac:dyDescent="0.2">
      <c r="B52" t="s">
        <v>2614</v>
      </c>
      <c r="C52">
        <v>300</v>
      </c>
    </row>
    <row r="53" spans="2:6" x14ac:dyDescent="0.2">
      <c r="B53" t="s">
        <v>3715</v>
      </c>
      <c r="C53">
        <v>310</v>
      </c>
      <c r="D53">
        <f>SUM(D49:D52)</f>
        <v>0</v>
      </c>
      <c r="E53">
        <f>SUM(E49:E52)</f>
        <v>0</v>
      </c>
      <c r="F53">
        <f>SUM(F49:F52)</f>
        <v>0</v>
      </c>
    </row>
  </sheetData>
  <sheetProtection sheet="1" objects="1" scenarios="1"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K77"/>
  <sheetViews>
    <sheetView zoomScale="70" zoomScaleNormal="70" workbookViewId="0"/>
  </sheetViews>
  <sheetFormatPr defaultRowHeight="12.75" x14ac:dyDescent="0.2"/>
  <sheetData>
    <row r="1" spans="1:11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11" x14ac:dyDescent="0.2">
      <c r="A2" t="s">
        <v>3727</v>
      </c>
    </row>
    <row r="3" spans="1:11" x14ac:dyDescent="0.2">
      <c r="A3" t="s">
        <v>3806</v>
      </c>
    </row>
    <row r="7" spans="1:11" x14ac:dyDescent="0.2">
      <c r="B7" t="s">
        <v>2087</v>
      </c>
      <c r="D7" t="s">
        <v>2088</v>
      </c>
      <c r="F7" t="s">
        <v>2089</v>
      </c>
      <c r="I7" t="s">
        <v>241</v>
      </c>
      <c r="K7" t="s">
        <v>2090</v>
      </c>
    </row>
    <row r="8" spans="1:11" x14ac:dyDescent="0.2">
      <c r="C8" t="s">
        <v>238</v>
      </c>
      <c r="D8" t="s">
        <v>2091</v>
      </c>
      <c r="E8" t="s">
        <v>2021</v>
      </c>
      <c r="F8" t="s">
        <v>2092</v>
      </c>
      <c r="G8" t="s">
        <v>2023</v>
      </c>
      <c r="H8" t="s">
        <v>2021</v>
      </c>
      <c r="I8" t="s">
        <v>1048</v>
      </c>
      <c r="J8" t="s">
        <v>2023</v>
      </c>
    </row>
    <row r="9" spans="1:11" x14ac:dyDescent="0.2">
      <c r="C9" t="s">
        <v>242</v>
      </c>
      <c r="D9" t="s">
        <v>2036</v>
      </c>
      <c r="E9" t="s">
        <v>2037</v>
      </c>
      <c r="F9" t="s">
        <v>2038</v>
      </c>
      <c r="G9" t="s">
        <v>2039</v>
      </c>
      <c r="H9" t="s">
        <v>2040</v>
      </c>
      <c r="I9" t="s">
        <v>2041</v>
      </c>
      <c r="J9" t="s">
        <v>2042</v>
      </c>
    </row>
    <row r="10" spans="1:11" x14ac:dyDescent="0.2">
      <c r="D10" t="s">
        <v>243</v>
      </c>
      <c r="E10" t="s">
        <v>243</v>
      </c>
      <c r="F10" t="s">
        <v>243</v>
      </c>
      <c r="G10" t="s">
        <v>243</v>
      </c>
      <c r="H10" t="s">
        <v>243</v>
      </c>
      <c r="I10" t="s">
        <v>243</v>
      </c>
      <c r="J10" t="s">
        <v>243</v>
      </c>
    </row>
    <row r="11" spans="1:11" x14ac:dyDescent="0.2">
      <c r="B11" t="s">
        <v>74</v>
      </c>
    </row>
    <row r="12" spans="1:11" x14ac:dyDescent="0.2">
      <c r="B12" t="s">
        <v>2093</v>
      </c>
      <c r="C12">
        <v>100</v>
      </c>
      <c r="G12">
        <f>F12-E12</f>
        <v>0</v>
      </c>
      <c r="J12">
        <f>I12-H12</f>
        <v>0</v>
      </c>
      <c r="K12" t="s">
        <v>2094</v>
      </c>
    </row>
    <row r="13" spans="1:11" x14ac:dyDescent="0.2">
      <c r="B13" t="s">
        <v>2095</v>
      </c>
      <c r="C13">
        <v>150</v>
      </c>
      <c r="G13">
        <f>F13-E13</f>
        <v>0</v>
      </c>
      <c r="J13">
        <f>I13-H13</f>
        <v>0</v>
      </c>
      <c r="K13" t="s">
        <v>2096</v>
      </c>
    </row>
    <row r="14" spans="1:11" x14ac:dyDescent="0.2">
      <c r="B14" t="s">
        <v>2097</v>
      </c>
      <c r="C14">
        <v>160</v>
      </c>
      <c r="D14">
        <f>IF(D12=0,0,D13/D12*100)</f>
        <v>0</v>
      </c>
      <c r="E14">
        <f>IF(E12=0,0,E13/E12*100)</f>
        <v>0</v>
      </c>
      <c r="F14">
        <f>IF(F12=0,0,F13/F12*100)</f>
        <v>0</v>
      </c>
      <c r="G14">
        <f>F14-E14</f>
        <v>0</v>
      </c>
      <c r="H14">
        <f>IF(H12=0,0,H13/H12*100)</f>
        <v>0</v>
      </c>
      <c r="I14">
        <f>IF(I12=0,0,I13/I12*100)</f>
        <v>0</v>
      </c>
      <c r="J14">
        <f>I14-H14</f>
        <v>0</v>
      </c>
    </row>
    <row r="16" spans="1:11" x14ac:dyDescent="0.2">
      <c r="B16" t="s">
        <v>2098</v>
      </c>
    </row>
    <row r="17" spans="2:11" x14ac:dyDescent="0.2">
      <c r="B17" t="s">
        <v>2099</v>
      </c>
      <c r="C17">
        <v>170</v>
      </c>
      <c r="D17">
        <f t="shared" ref="D17:J17" si="0">D13</f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 t="s">
        <v>2096</v>
      </c>
    </row>
    <row r="18" spans="2:11" x14ac:dyDescent="0.2">
      <c r="B18" t="s">
        <v>2100</v>
      </c>
      <c r="C18">
        <v>180</v>
      </c>
      <c r="G18">
        <f>F18-E18</f>
        <v>0</v>
      </c>
      <c r="J18">
        <f>I18-H18</f>
        <v>0</v>
      </c>
      <c r="K18" t="s">
        <v>2101</v>
      </c>
    </row>
    <row r="19" spans="2:11" x14ac:dyDescent="0.2">
      <c r="B19" t="s">
        <v>2102</v>
      </c>
      <c r="C19">
        <v>190</v>
      </c>
      <c r="G19">
        <f>F19-E19</f>
        <v>0</v>
      </c>
      <c r="J19">
        <f>I19-H19</f>
        <v>0</v>
      </c>
      <c r="K19" t="s">
        <v>2103</v>
      </c>
    </row>
    <row r="20" spans="2:11" x14ac:dyDescent="0.2">
      <c r="B20" t="s">
        <v>2104</v>
      </c>
      <c r="C20">
        <v>200</v>
      </c>
      <c r="D20">
        <f>IF(D12=0,0,D19/D12*100)</f>
        <v>0</v>
      </c>
      <c r="E20">
        <f>IF(E12=0,0,E19/E12*100)</f>
        <v>0</v>
      </c>
      <c r="F20">
        <f>IF(F12=0,0,F19/F12*100)</f>
        <v>0</v>
      </c>
      <c r="G20">
        <f>F20-E20</f>
        <v>0</v>
      </c>
      <c r="H20">
        <f>IF(H12=0,0,H19/H12*100)</f>
        <v>0</v>
      </c>
      <c r="I20">
        <f>IF(I12=0,0,I19/I12*100)</f>
        <v>0</v>
      </c>
      <c r="J20">
        <f>I20-H20</f>
        <v>0</v>
      </c>
    </row>
    <row r="22" spans="2:11" x14ac:dyDescent="0.2">
      <c r="B22" t="s">
        <v>2105</v>
      </c>
    </row>
    <row r="23" spans="2:11" x14ac:dyDescent="0.2">
      <c r="B23" t="s">
        <v>2106</v>
      </c>
      <c r="C23">
        <v>210</v>
      </c>
      <c r="G23">
        <f>F23-E23</f>
        <v>0</v>
      </c>
      <c r="J23">
        <f>I23-H23</f>
        <v>0</v>
      </c>
      <c r="K23" t="s">
        <v>2107</v>
      </c>
    </row>
    <row r="24" spans="2:11" x14ac:dyDescent="0.2">
      <c r="B24" t="s">
        <v>2108</v>
      </c>
      <c r="C24">
        <v>220</v>
      </c>
      <c r="D24">
        <f>IF(D12=0,0,D23/D12*100)</f>
        <v>0</v>
      </c>
      <c r="E24">
        <f>IF(E12=0,0,E23/E12*100)</f>
        <v>0</v>
      </c>
      <c r="F24">
        <f>IF(F12=0,0,F23/F12*100)</f>
        <v>0</v>
      </c>
      <c r="G24">
        <f>F24-E24</f>
        <v>0</v>
      </c>
      <c r="H24">
        <f>IF(H12=0,0,H23/H12*100)</f>
        <v>0</v>
      </c>
      <c r="I24">
        <f>IF(I12=0,0,I23/I12*100)</f>
        <v>0</v>
      </c>
      <c r="J24">
        <f>I24-H24</f>
        <v>0</v>
      </c>
    </row>
    <row r="26" spans="2:11" x14ac:dyDescent="0.2">
      <c r="B26" t="s">
        <v>2109</v>
      </c>
    </row>
    <row r="27" spans="2:11" x14ac:dyDescent="0.2">
      <c r="B27" t="s">
        <v>2110</v>
      </c>
      <c r="C27">
        <v>230</v>
      </c>
      <c r="K27" t="s">
        <v>2111</v>
      </c>
    </row>
    <row r="28" spans="2:11" x14ac:dyDescent="0.2">
      <c r="B28" t="s">
        <v>2112</v>
      </c>
      <c r="C28">
        <v>240</v>
      </c>
      <c r="K28" t="s">
        <v>2113</v>
      </c>
    </row>
    <row r="29" spans="2:11" x14ac:dyDescent="0.2">
      <c r="B29" t="s">
        <v>2067</v>
      </c>
      <c r="C29">
        <v>250</v>
      </c>
      <c r="K29" t="s">
        <v>2114</v>
      </c>
    </row>
    <row r="30" spans="2:11" x14ac:dyDescent="0.2">
      <c r="B30" t="s">
        <v>2115</v>
      </c>
      <c r="C30">
        <v>260</v>
      </c>
      <c r="K30" t="s">
        <v>2116</v>
      </c>
    </row>
    <row r="31" spans="2:11" x14ac:dyDescent="0.2">
      <c r="B31" t="s">
        <v>2117</v>
      </c>
      <c r="C31">
        <v>270</v>
      </c>
      <c r="K31" t="s">
        <v>2118</v>
      </c>
    </row>
    <row r="33" spans="2:11" x14ac:dyDescent="0.2">
      <c r="B33" t="s">
        <v>2119</v>
      </c>
    </row>
    <row r="34" spans="2:11" x14ac:dyDescent="0.2">
      <c r="B34" t="s">
        <v>2120</v>
      </c>
      <c r="C34">
        <v>280</v>
      </c>
      <c r="G34">
        <f>F34-E34</f>
        <v>0</v>
      </c>
      <c r="J34">
        <f>I34-H34</f>
        <v>0</v>
      </c>
      <c r="K34" t="s">
        <v>3716</v>
      </c>
    </row>
    <row r="35" spans="2:11" x14ac:dyDescent="0.2">
      <c r="B35" t="s">
        <v>2121</v>
      </c>
      <c r="C35">
        <v>290</v>
      </c>
      <c r="G35">
        <f>F35-E35</f>
        <v>0</v>
      </c>
      <c r="J35">
        <f>I35-H35</f>
        <v>0</v>
      </c>
      <c r="K35" t="s">
        <v>3717</v>
      </c>
    </row>
    <row r="36" spans="2:11" x14ac:dyDescent="0.2">
      <c r="B36" t="s">
        <v>2122</v>
      </c>
      <c r="C36">
        <v>300</v>
      </c>
      <c r="G36">
        <f>F36-E36</f>
        <v>0</v>
      </c>
      <c r="J36">
        <f>I36-H36</f>
        <v>0</v>
      </c>
      <c r="K36" t="s">
        <v>3718</v>
      </c>
    </row>
    <row r="37" spans="2:11" x14ac:dyDescent="0.2">
      <c r="B37" t="s">
        <v>2123</v>
      </c>
      <c r="C37">
        <v>310</v>
      </c>
      <c r="G37">
        <f>F37-E37</f>
        <v>0</v>
      </c>
      <c r="J37">
        <f>I37-H37</f>
        <v>0</v>
      </c>
      <c r="K37" t="s">
        <v>2124</v>
      </c>
    </row>
    <row r="38" spans="2:11" x14ac:dyDescent="0.2">
      <c r="B38" t="s">
        <v>2125</v>
      </c>
      <c r="C38">
        <v>320</v>
      </c>
      <c r="G38">
        <f>F38-E38</f>
        <v>0</v>
      </c>
      <c r="J38">
        <f>I38-H38</f>
        <v>0</v>
      </c>
      <c r="K38" t="s">
        <v>2126</v>
      </c>
    </row>
    <row r="39" spans="2:11" x14ac:dyDescent="0.2">
      <c r="B39" t="s">
        <v>2127</v>
      </c>
      <c r="C39">
        <v>330</v>
      </c>
      <c r="E39">
        <f t="shared" ref="E39:J39" si="1">E38-E37</f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 t="s">
        <v>2128</v>
      </c>
    </row>
    <row r="41" spans="2:11" x14ac:dyDescent="0.2">
      <c r="B41" t="s">
        <v>2129</v>
      </c>
    </row>
    <row r="42" spans="2:11" x14ac:dyDescent="0.2">
      <c r="B42" t="s">
        <v>2130</v>
      </c>
      <c r="C42">
        <v>340</v>
      </c>
      <c r="G42">
        <f>F42-E42</f>
        <v>0</v>
      </c>
      <c r="J42">
        <f>I42-H42</f>
        <v>0</v>
      </c>
      <c r="K42" t="s">
        <v>2131</v>
      </c>
    </row>
    <row r="43" spans="2:11" x14ac:dyDescent="0.2">
      <c r="B43" t="s">
        <v>2132</v>
      </c>
      <c r="C43">
        <v>350</v>
      </c>
      <c r="K43" t="s">
        <v>2133</v>
      </c>
    </row>
    <row r="44" spans="2:11" x14ac:dyDescent="0.2">
      <c r="B44" t="s">
        <v>2134</v>
      </c>
      <c r="C44">
        <v>355</v>
      </c>
      <c r="K44" t="s">
        <v>2135</v>
      </c>
    </row>
    <row r="45" spans="2:11" x14ac:dyDescent="0.2">
      <c r="B45" t="s">
        <v>2136</v>
      </c>
      <c r="C45">
        <v>360</v>
      </c>
      <c r="K45" t="s">
        <v>2013</v>
      </c>
    </row>
    <row r="46" spans="2:11" x14ac:dyDescent="0.2">
      <c r="B46" t="s">
        <v>562</v>
      </c>
      <c r="C46">
        <v>370</v>
      </c>
      <c r="K46" t="s">
        <v>2014</v>
      </c>
    </row>
    <row r="47" spans="2:11" x14ac:dyDescent="0.2">
      <c r="B47" t="s">
        <v>2137</v>
      </c>
      <c r="C47">
        <v>380</v>
      </c>
      <c r="K47" t="s">
        <v>2138</v>
      </c>
    </row>
    <row r="48" spans="2:11" x14ac:dyDescent="0.2">
      <c r="B48" t="s">
        <v>473</v>
      </c>
      <c r="C48">
        <v>382</v>
      </c>
      <c r="K48" t="s">
        <v>2139</v>
      </c>
    </row>
    <row r="49" spans="2:11" x14ac:dyDescent="0.2">
      <c r="B49" t="s">
        <v>2140</v>
      </c>
      <c r="C49">
        <v>384</v>
      </c>
      <c r="K49" t="s">
        <v>2141</v>
      </c>
    </row>
    <row r="50" spans="2:11" x14ac:dyDescent="0.2">
      <c r="B50" t="s">
        <v>2142</v>
      </c>
      <c r="C50">
        <v>385</v>
      </c>
      <c r="K50" t="s">
        <v>2143</v>
      </c>
    </row>
    <row r="51" spans="2:11" x14ac:dyDescent="0.2">
      <c r="B51" t="s">
        <v>2144</v>
      </c>
      <c r="C51">
        <v>386</v>
      </c>
      <c r="K51" t="s">
        <v>2145</v>
      </c>
    </row>
    <row r="52" spans="2:11" x14ac:dyDescent="0.2">
      <c r="B52" t="s">
        <v>2146</v>
      </c>
      <c r="C52">
        <v>387</v>
      </c>
      <c r="K52" t="s">
        <v>2147</v>
      </c>
    </row>
    <row r="53" spans="2:11" x14ac:dyDescent="0.2">
      <c r="B53" t="s">
        <v>2148</v>
      </c>
      <c r="C53">
        <v>388</v>
      </c>
      <c r="K53" t="s">
        <v>2149</v>
      </c>
    </row>
    <row r="54" spans="2:11" x14ac:dyDescent="0.2">
      <c r="B54" t="s">
        <v>2150</v>
      </c>
      <c r="C54">
        <v>389</v>
      </c>
      <c r="K54" t="s">
        <v>2149</v>
      </c>
    </row>
    <row r="56" spans="2:11" x14ac:dyDescent="0.2">
      <c r="B56" t="s">
        <v>2151</v>
      </c>
    </row>
    <row r="57" spans="2:11" x14ac:dyDescent="0.2">
      <c r="B57" t="s">
        <v>2152</v>
      </c>
      <c r="C57">
        <v>390</v>
      </c>
      <c r="K57" t="s">
        <v>2153</v>
      </c>
    </row>
    <row r="58" spans="2:11" x14ac:dyDescent="0.2">
      <c r="B58" t="s">
        <v>2154</v>
      </c>
      <c r="C58">
        <v>395</v>
      </c>
      <c r="K58" t="s">
        <v>2155</v>
      </c>
    </row>
    <row r="59" spans="2:11" x14ac:dyDescent="0.2">
      <c r="B59" t="s">
        <v>2156</v>
      </c>
      <c r="C59">
        <v>400</v>
      </c>
      <c r="K59" t="s">
        <v>2157</v>
      </c>
    </row>
    <row r="60" spans="2:11" x14ac:dyDescent="0.2">
      <c r="B60" t="s">
        <v>2158</v>
      </c>
      <c r="C60">
        <v>410</v>
      </c>
      <c r="G60">
        <f>F60-E60</f>
        <v>0</v>
      </c>
      <c r="J60">
        <f>I60-H60</f>
        <v>0</v>
      </c>
      <c r="K60" t="s">
        <v>2159</v>
      </c>
    </row>
    <row r="61" spans="2:11" x14ac:dyDescent="0.2">
      <c r="B61" t="s">
        <v>2160</v>
      </c>
      <c r="C61">
        <v>416</v>
      </c>
      <c r="K61" t="s">
        <v>2161</v>
      </c>
    </row>
    <row r="62" spans="2:11" x14ac:dyDescent="0.2">
      <c r="B62" t="s">
        <v>2162</v>
      </c>
      <c r="C62">
        <v>420</v>
      </c>
      <c r="G62">
        <f>F62-E62</f>
        <v>0</v>
      </c>
      <c r="J62">
        <f>I62-H62</f>
        <v>0</v>
      </c>
      <c r="K62" t="s">
        <v>2163</v>
      </c>
    </row>
    <row r="63" spans="2:11" x14ac:dyDescent="0.2">
      <c r="B63" t="s">
        <v>2164</v>
      </c>
      <c r="C63">
        <v>430</v>
      </c>
      <c r="G63">
        <f>F63-E63</f>
        <v>0</v>
      </c>
      <c r="J63">
        <f>I63-H63</f>
        <v>0</v>
      </c>
      <c r="K63" t="s">
        <v>2165</v>
      </c>
    </row>
    <row r="64" spans="2:11" x14ac:dyDescent="0.2">
      <c r="B64" t="s">
        <v>2166</v>
      </c>
      <c r="C64">
        <v>490</v>
      </c>
      <c r="J64">
        <f>I64-H64</f>
        <v>0</v>
      </c>
    </row>
    <row r="65" spans="2:11" x14ac:dyDescent="0.2">
      <c r="B65" t="s">
        <v>2167</v>
      </c>
      <c r="C65">
        <v>500</v>
      </c>
      <c r="D65">
        <f>IF(D12=0,0,D64/D12)*100</f>
        <v>0</v>
      </c>
      <c r="H65">
        <f>IF(H12=0,0,H64/H12)*100</f>
        <v>0</v>
      </c>
      <c r="I65">
        <f>IF(I12=0,0,I64/I12)*100</f>
        <v>0</v>
      </c>
      <c r="J65">
        <f>I65-H65</f>
        <v>0</v>
      </c>
    </row>
    <row r="66" spans="2:11" x14ac:dyDescent="0.2">
      <c r="B66" t="s">
        <v>2168</v>
      </c>
      <c r="C66">
        <v>510</v>
      </c>
      <c r="G66">
        <f>F66-E66</f>
        <v>0</v>
      </c>
      <c r="J66">
        <f>I66-H66</f>
        <v>0</v>
      </c>
      <c r="K66" t="s">
        <v>2169</v>
      </c>
    </row>
    <row r="68" spans="2:11" x14ac:dyDescent="0.2">
      <c r="B68" t="s">
        <v>2170</v>
      </c>
    </row>
    <row r="69" spans="2:11" x14ac:dyDescent="0.2">
      <c r="B69" t="s">
        <v>2171</v>
      </c>
      <c r="C69">
        <v>460</v>
      </c>
      <c r="K69" t="s">
        <v>2172</v>
      </c>
    </row>
    <row r="70" spans="2:11" x14ac:dyDescent="0.2">
      <c r="B70" t="s">
        <v>2173</v>
      </c>
      <c r="C70">
        <v>470</v>
      </c>
      <c r="K70" t="s">
        <v>2174</v>
      </c>
    </row>
    <row r="71" spans="2:11" x14ac:dyDescent="0.2">
      <c r="B71" t="s">
        <v>2175</v>
      </c>
      <c r="C71">
        <v>480</v>
      </c>
      <c r="K71" t="s">
        <v>2176</v>
      </c>
    </row>
    <row r="72" spans="2:11" x14ac:dyDescent="0.2">
      <c r="B72" t="s">
        <v>2166</v>
      </c>
      <c r="C72">
        <v>490</v>
      </c>
      <c r="K72" t="s">
        <v>2177</v>
      </c>
    </row>
    <row r="73" spans="2:11" x14ac:dyDescent="0.2">
      <c r="B73" t="s">
        <v>2178</v>
      </c>
      <c r="C73">
        <v>500</v>
      </c>
      <c r="K73" t="s">
        <v>2179</v>
      </c>
    </row>
    <row r="74" spans="2:11" x14ac:dyDescent="0.2">
      <c r="B74" t="s">
        <v>2180</v>
      </c>
    </row>
    <row r="75" spans="2:11" x14ac:dyDescent="0.2">
      <c r="B75" t="s">
        <v>2181</v>
      </c>
      <c r="C75">
        <v>530</v>
      </c>
      <c r="G75">
        <f>F75-E75</f>
        <v>0</v>
      </c>
      <c r="J75">
        <f>I75-H75</f>
        <v>0</v>
      </c>
      <c r="K75" t="s">
        <v>2182</v>
      </c>
    </row>
    <row r="76" spans="2:11" x14ac:dyDescent="0.2">
      <c r="B76" t="s">
        <v>2183</v>
      </c>
      <c r="C76">
        <v>540</v>
      </c>
      <c r="G76">
        <f>F76-E76</f>
        <v>0</v>
      </c>
      <c r="J76">
        <f>I76-H76</f>
        <v>0</v>
      </c>
      <c r="K76" t="s">
        <v>2184</v>
      </c>
    </row>
    <row r="77" spans="2:11" x14ac:dyDescent="0.2">
      <c r="B77" t="s">
        <v>2185</v>
      </c>
      <c r="C77">
        <v>550</v>
      </c>
      <c r="G77">
        <f>F77-E77</f>
        <v>0</v>
      </c>
      <c r="J77">
        <f>I77-H77</f>
        <v>0</v>
      </c>
      <c r="K77" t="s">
        <v>2186</v>
      </c>
    </row>
  </sheetData>
  <sheetProtection sheet="1" objects="1" scenarios="1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/>
  <dimension ref="A1:CV63"/>
  <sheetViews>
    <sheetView zoomScale="70" zoomScaleNormal="70" workbookViewId="0"/>
  </sheetViews>
  <sheetFormatPr defaultRowHeight="12.75" x14ac:dyDescent="0.2"/>
  <sheetData>
    <row r="1" spans="1:100" x14ac:dyDescent="0.2">
      <c r="A1" s="96" t="s">
        <v>3753</v>
      </c>
      <c r="E1" s="1178" t="str">
        <f>HYPERLINK(CHAR(35)&amp;"1415TRU_Index_P13"&amp;"!A1","GoTo Index tab")</f>
        <v>GoTo Index tab</v>
      </c>
    </row>
    <row r="2" spans="1:100" x14ac:dyDescent="0.2">
      <c r="A2" t="s">
        <v>3727</v>
      </c>
    </row>
    <row r="3" spans="1:100" x14ac:dyDescent="0.2">
      <c r="A3" t="s">
        <v>3807</v>
      </c>
    </row>
    <row r="4" spans="1:100" x14ac:dyDescent="0.2">
      <c r="B4" t="s">
        <v>2015</v>
      </c>
    </row>
    <row r="5" spans="1:100" x14ac:dyDescent="0.2">
      <c r="B5" t="s">
        <v>2016</v>
      </c>
    </row>
    <row r="7" spans="1:100" x14ac:dyDescent="0.2">
      <c r="B7" t="s">
        <v>2017</v>
      </c>
      <c r="F7" t="s">
        <v>2018</v>
      </c>
      <c r="P7" t="s">
        <v>2019</v>
      </c>
      <c r="AA7" t="s">
        <v>3719</v>
      </c>
    </row>
    <row r="8" spans="1:100" x14ac:dyDescent="0.2">
      <c r="B8" t="s">
        <v>2020</v>
      </c>
      <c r="C8" t="s">
        <v>238</v>
      </c>
      <c r="D8" t="s">
        <v>1561</v>
      </c>
      <c r="E8" t="s">
        <v>2021</v>
      </c>
      <c r="F8" t="s">
        <v>2022</v>
      </c>
      <c r="G8" t="s">
        <v>2023</v>
      </c>
      <c r="H8" t="s">
        <v>2024</v>
      </c>
      <c r="I8" t="s">
        <v>2025</v>
      </c>
      <c r="J8" t="s">
        <v>2026</v>
      </c>
      <c r="K8" t="s">
        <v>2027</v>
      </c>
      <c r="L8" t="s">
        <v>2028</v>
      </c>
      <c r="M8" t="s">
        <v>2029</v>
      </c>
      <c r="N8" t="s">
        <v>2030</v>
      </c>
      <c r="O8" t="s">
        <v>2031</v>
      </c>
      <c r="P8" t="s">
        <v>2032</v>
      </c>
      <c r="Q8" t="s">
        <v>2033</v>
      </c>
      <c r="R8" t="s">
        <v>2034</v>
      </c>
      <c r="S8" t="s">
        <v>2035</v>
      </c>
      <c r="T8" t="s">
        <v>2025</v>
      </c>
      <c r="U8" t="s">
        <v>2026</v>
      </c>
      <c r="V8" t="s">
        <v>2027</v>
      </c>
      <c r="W8" t="s">
        <v>2028</v>
      </c>
      <c r="X8" t="s">
        <v>2029</v>
      </c>
      <c r="Y8" t="s">
        <v>2030</v>
      </c>
      <c r="Z8" t="s">
        <v>2031</v>
      </c>
      <c r="AA8" t="s">
        <v>2032</v>
      </c>
      <c r="AB8" t="s">
        <v>2033</v>
      </c>
      <c r="AC8" t="s">
        <v>2034</v>
      </c>
      <c r="AD8" t="s">
        <v>2035</v>
      </c>
    </row>
    <row r="9" spans="1:100" x14ac:dyDescent="0.2">
      <c r="C9" t="s">
        <v>242</v>
      </c>
      <c r="E9" t="s">
        <v>2036</v>
      </c>
      <c r="F9" t="s">
        <v>2037</v>
      </c>
      <c r="G9" t="s">
        <v>2038</v>
      </c>
      <c r="H9" t="s">
        <v>2039</v>
      </c>
      <c r="I9" t="s">
        <v>2040</v>
      </c>
      <c r="J9" t="s">
        <v>2041</v>
      </c>
      <c r="K9" t="s">
        <v>2042</v>
      </c>
      <c r="L9" t="s">
        <v>2043</v>
      </c>
      <c r="M9" t="s">
        <v>2044</v>
      </c>
      <c r="N9" t="s">
        <v>2045</v>
      </c>
      <c r="O9" t="s">
        <v>2046</v>
      </c>
      <c r="P9" t="s">
        <v>2047</v>
      </c>
      <c r="Q9" t="s">
        <v>2048</v>
      </c>
      <c r="R9" t="s">
        <v>2049</v>
      </c>
      <c r="S9" t="s">
        <v>2050</v>
      </c>
      <c r="T9" t="s">
        <v>2051</v>
      </c>
      <c r="U9" t="s">
        <v>2052</v>
      </c>
      <c r="V9" t="s">
        <v>2053</v>
      </c>
      <c r="W9" t="s">
        <v>2054</v>
      </c>
      <c r="X9" t="s">
        <v>2055</v>
      </c>
      <c r="Y9" t="s">
        <v>2056</v>
      </c>
      <c r="Z9" t="s">
        <v>2057</v>
      </c>
      <c r="AA9" t="s">
        <v>2058</v>
      </c>
      <c r="AB9" t="s">
        <v>2059</v>
      </c>
      <c r="AC9" t="s">
        <v>2060</v>
      </c>
      <c r="AD9" t="s">
        <v>2061</v>
      </c>
    </row>
    <row r="10" spans="1:100" x14ac:dyDescent="0.2">
      <c r="E10" t="s">
        <v>243</v>
      </c>
      <c r="F10" t="s">
        <v>243</v>
      </c>
      <c r="G10" t="s">
        <v>243</v>
      </c>
      <c r="I10" t="s">
        <v>243</v>
      </c>
      <c r="J10" t="s">
        <v>243</v>
      </c>
      <c r="K10" t="s">
        <v>243</v>
      </c>
      <c r="L10" t="s">
        <v>243</v>
      </c>
      <c r="M10" t="s">
        <v>243</v>
      </c>
      <c r="N10" t="s">
        <v>243</v>
      </c>
      <c r="O10" t="s">
        <v>243</v>
      </c>
      <c r="P10" t="s">
        <v>243</v>
      </c>
      <c r="Q10" t="s">
        <v>243</v>
      </c>
      <c r="R10" t="s">
        <v>243</v>
      </c>
      <c r="S10" t="s">
        <v>243</v>
      </c>
    </row>
    <row r="11" spans="1:100" x14ac:dyDescent="0.2">
      <c r="B11" t="s">
        <v>2062</v>
      </c>
      <c r="CU11" t="s">
        <v>2063</v>
      </c>
      <c r="CV11" t="s">
        <v>2064</v>
      </c>
    </row>
    <row r="13" spans="1:100" x14ac:dyDescent="0.2">
      <c r="B13" t="s">
        <v>2065</v>
      </c>
      <c r="C13">
        <v>100</v>
      </c>
      <c r="D13" t="s">
        <v>251</v>
      </c>
      <c r="G13">
        <f>F13-E13</f>
        <v>0</v>
      </c>
      <c r="H13" t="str">
        <f>IF(F13&lt;0,"RED",IF(CV13&lt;-0.2,"RED",IF(AND(CV13&lt;=-0.05,CV13&gt;=-0.2),"AMBER","GREEN")))</f>
        <v>GREEN</v>
      </c>
      <c r="CU13">
        <f>IF(E13=0,G13/1,G13/E13)</f>
        <v>0</v>
      </c>
      <c r="CV13">
        <f>IF(E13&lt;0,CU13*-1,CU13)</f>
        <v>0</v>
      </c>
    </row>
    <row r="14" spans="1:100" x14ac:dyDescent="0.2">
      <c r="B14" t="s">
        <v>2066</v>
      </c>
      <c r="C14">
        <v>150</v>
      </c>
      <c r="D14" t="s">
        <v>251</v>
      </c>
      <c r="G14">
        <f>F14-E14</f>
        <v>0</v>
      </c>
      <c r="H14" t="str">
        <f>IF(CV14&lt;-0.2,"RED",IF(AND(CV14&lt;=-0.1,CV14&gt;=-0.2),"AMBER","GREEN"))</f>
        <v>GREEN</v>
      </c>
      <c r="CU14">
        <f>IF(E14=0,G14/1,G14/E14)</f>
        <v>0</v>
      </c>
      <c r="CV14">
        <f>IF(E14&lt;0,CU14*-1,CU14)</f>
        <v>0</v>
      </c>
    </row>
    <row r="15" spans="1:100" x14ac:dyDescent="0.2">
      <c r="B15" t="s">
        <v>2067</v>
      </c>
    </row>
    <row r="17" spans="2:100" x14ac:dyDescent="0.2">
      <c r="B17" t="s">
        <v>2068</v>
      </c>
      <c r="C17">
        <v>200</v>
      </c>
      <c r="D17" t="s">
        <v>251</v>
      </c>
      <c r="H17" t="str">
        <f>IF(OR(CV18&lt;-0.2,CV19&lt;-0.2),"RED",IF(AND(CV18&gt;=0,CV19&gt;=0),"GREEN","AMBER"))</f>
        <v>GREEN</v>
      </c>
    </row>
    <row r="18" spans="2:100" x14ac:dyDescent="0.2">
      <c r="B18" t="s">
        <v>2069</v>
      </c>
      <c r="C18">
        <v>210</v>
      </c>
      <c r="D18" t="s">
        <v>251</v>
      </c>
      <c r="G18">
        <f>F18-E18</f>
        <v>0</v>
      </c>
      <c r="CU18">
        <f>IF(E18=0,G18/1,G18/E18)</f>
        <v>0</v>
      </c>
      <c r="CV18">
        <f>IF(E18&lt;0,CU18*-1,CU18)</f>
        <v>0</v>
      </c>
    </row>
    <row r="19" spans="2:100" x14ac:dyDescent="0.2">
      <c r="B19" t="s">
        <v>2070</v>
      </c>
      <c r="C19">
        <v>215</v>
      </c>
      <c r="D19" t="s">
        <v>251</v>
      </c>
      <c r="G19">
        <f>F19-E19</f>
        <v>0</v>
      </c>
      <c r="CU19">
        <f>IF(E19=0,G19/1,G19/E19)</f>
        <v>0</v>
      </c>
      <c r="CV19">
        <f>IF(E19&lt;0,CU19*-1,CU19)</f>
        <v>0</v>
      </c>
    </row>
    <row r="20" spans="2:100" x14ac:dyDescent="0.2">
      <c r="B20" t="s">
        <v>2071</v>
      </c>
      <c r="C20">
        <v>220</v>
      </c>
      <c r="D20" t="s">
        <v>251</v>
      </c>
      <c r="H20" t="str">
        <f>IF(OR(CV21&lt;-0.1,CV22&lt;-0.1),"RED",IF(AND(CV21&gt;=0,CV22&gt;=0),"GREEN","AMBER"))</f>
        <v>GREEN</v>
      </c>
    </row>
    <row r="21" spans="2:100" x14ac:dyDescent="0.2">
      <c r="B21" t="s">
        <v>2072</v>
      </c>
      <c r="C21">
        <v>225</v>
      </c>
      <c r="D21" t="s">
        <v>251</v>
      </c>
      <c r="G21">
        <f>F21-E21</f>
        <v>0</v>
      </c>
      <c r="CU21">
        <f>IF(E21=0,G21/1,G21/E21)</f>
        <v>0</v>
      </c>
      <c r="CV21">
        <f>IF(E21&lt;0,CU21*-1,CU21)</f>
        <v>0</v>
      </c>
    </row>
    <row r="22" spans="2:100" x14ac:dyDescent="0.2">
      <c r="B22" t="s">
        <v>2073</v>
      </c>
      <c r="C22">
        <v>230</v>
      </c>
      <c r="D22" t="s">
        <v>251</v>
      </c>
      <c r="G22">
        <f>F22-E22</f>
        <v>0</v>
      </c>
      <c r="CU22">
        <f>IF(E22=0,G22/1,G22/E22)</f>
        <v>0</v>
      </c>
      <c r="CV22">
        <f>IF(E22&lt;0,CU22*-1,CU22)</f>
        <v>0</v>
      </c>
    </row>
    <row r="23" spans="2:100" x14ac:dyDescent="0.2">
      <c r="B23" t="s">
        <v>2074</v>
      </c>
    </row>
    <row r="24" spans="2:100" x14ac:dyDescent="0.2">
      <c r="B24" t="s">
        <v>2075</v>
      </c>
      <c r="C24">
        <v>250</v>
      </c>
      <c r="D24" t="s">
        <v>251</v>
      </c>
      <c r="G24">
        <f>F24-E24</f>
        <v>0</v>
      </c>
      <c r="H24" t="str">
        <f>IF(CV24&lt;-0.2,"RED",IF(AND(CV24&lt;=-0.1,CV24&gt;=-0.2),"AMBER","GREEN"))</f>
        <v>GREEN</v>
      </c>
      <c r="CU24">
        <f>IF(E24=0,G24/1,G24/E24)</f>
        <v>0</v>
      </c>
      <c r="CV24">
        <f>IF(E24&lt;0,CU24*-1,CU24)</f>
        <v>0</v>
      </c>
    </row>
    <row r="25" spans="2:100" x14ac:dyDescent="0.2">
      <c r="B25" t="s">
        <v>2076</v>
      </c>
    </row>
    <row r="26" spans="2:100" x14ac:dyDescent="0.2">
      <c r="B26" t="s">
        <v>2077</v>
      </c>
      <c r="C26">
        <v>350</v>
      </c>
      <c r="D26" t="s">
        <v>251</v>
      </c>
      <c r="G26">
        <f>E26-F26</f>
        <v>0</v>
      </c>
      <c r="H26" t="str">
        <f>IF(OR(CV26&lt;0,CV26&gt;0.2),"RED",IF(AND(CV26&gt;=0.1,CV26&lt;=0.2),"AMBER","GREEN"))</f>
        <v>GREEN</v>
      </c>
      <c r="CU26">
        <f>IF(E26=0,G26/1,G26/E26)</f>
        <v>0</v>
      </c>
      <c r="CV26">
        <f>IF(E26&lt;0,CU26*-1,CU26)</f>
        <v>0</v>
      </c>
    </row>
    <row r="27" spans="2:100" x14ac:dyDescent="0.2">
      <c r="B27" t="s">
        <v>2078</v>
      </c>
      <c r="C27">
        <v>400</v>
      </c>
      <c r="D27" t="s">
        <v>251</v>
      </c>
      <c r="H27" t="str">
        <f>IF(F27&gt;0,"RED",IF(F27=0,"GREEN","ERROR"))</f>
        <v>GREEN</v>
      </c>
    </row>
    <row r="29" spans="2:100" x14ac:dyDescent="0.2">
      <c r="B29" t="s">
        <v>2079</v>
      </c>
      <c r="C29">
        <v>455</v>
      </c>
      <c r="H29" t="str">
        <f>IF(H13="RED","RED",IF(H61&gt;=3,"RED",IF(OR(H61=2,H61=1,H62&gt;=3),"AMBER","GREEN")))</f>
        <v>GREEN</v>
      </c>
    </row>
    <row r="31" spans="2:100" x14ac:dyDescent="0.2">
      <c r="B31" t="s">
        <v>2080</v>
      </c>
    </row>
    <row r="32" spans="2:100" x14ac:dyDescent="0.2">
      <c r="B32" t="s">
        <v>2081</v>
      </c>
      <c r="C32">
        <v>460</v>
      </c>
      <c r="D32" t="s">
        <v>251</v>
      </c>
      <c r="G32">
        <f>F32-E32</f>
        <v>0</v>
      </c>
      <c r="H32" t="str">
        <f>IF(F32&lt;2.5,"RED","GREEN")</f>
        <v>RED</v>
      </c>
    </row>
    <row r="33" spans="2:8" x14ac:dyDescent="0.2">
      <c r="B33" t="s">
        <v>2082</v>
      </c>
      <c r="C33">
        <v>465</v>
      </c>
      <c r="D33" t="s">
        <v>251</v>
      </c>
      <c r="G33">
        <f>F33-E33</f>
        <v>0</v>
      </c>
      <c r="H33" t="str">
        <f>IF(F33&lt;2.5,"RED","GREEN")</f>
        <v>RED</v>
      </c>
    </row>
    <row r="43" spans="2:8" x14ac:dyDescent="0.2">
      <c r="B43" t="s">
        <v>2083</v>
      </c>
      <c r="C43">
        <v>470</v>
      </c>
    </row>
    <row r="61" spans="7:8" x14ac:dyDescent="0.2">
      <c r="G61" t="s">
        <v>2084</v>
      </c>
      <c r="H61">
        <f>COUNTIF(H13:H27,"RED")</f>
        <v>0</v>
      </c>
    </row>
    <row r="62" spans="7:8" x14ac:dyDescent="0.2">
      <c r="G62" t="s">
        <v>2085</v>
      </c>
      <c r="H62">
        <f>COUNTIF(H13:H27,"AMBER")</f>
        <v>0</v>
      </c>
    </row>
    <row r="63" spans="7:8" x14ac:dyDescent="0.2">
      <c r="G63" t="s">
        <v>2086</v>
      </c>
      <c r="H63">
        <f>COUNTIF(H13:H27,"GREEN")</f>
        <v>7</v>
      </c>
    </row>
  </sheetData>
  <sheetProtection sheet="1" objects="1" scenarios="1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B125"/>
  <sheetViews>
    <sheetView topLeftCell="A16" zoomScale="70" zoomScaleNormal="70" workbookViewId="0">
      <pane xSplit="4" topLeftCell="E1" activePane="topRight" state="frozen"/>
      <selection pane="topRight" activeCell="BD43" sqref="BD43"/>
    </sheetView>
  </sheetViews>
  <sheetFormatPr defaultRowHeight="12.75" x14ac:dyDescent="0.2"/>
  <cols>
    <col min="1" max="1" width="5.140625" customWidth="1"/>
    <col min="2" max="2" width="57.7109375" customWidth="1"/>
    <col min="3" max="4" width="10.140625" customWidth="1"/>
    <col min="5" max="6" width="15.42578125" customWidth="1"/>
    <col min="7" max="8" width="3.28515625" hidden="1" customWidth="1"/>
    <col min="9" max="13" width="15.42578125" hidden="1" customWidth="1"/>
    <col min="14" max="14" width="3.28515625" hidden="1" customWidth="1"/>
    <col min="15" max="15" width="15.42578125" hidden="1" customWidth="1"/>
    <col min="16" max="16" width="3.28515625" hidden="1" customWidth="1"/>
    <col min="17" max="17" width="15.42578125" hidden="1" customWidth="1"/>
    <col min="18" max="18" width="3.28515625" hidden="1" customWidth="1"/>
    <col min="19" max="19" width="15.42578125" hidden="1" customWidth="1"/>
    <col min="20" max="20" width="3.28515625" hidden="1" customWidth="1"/>
    <col min="21" max="21" width="15.42578125" hidden="1" customWidth="1"/>
    <col min="22" max="22" width="3.28515625" hidden="1" customWidth="1"/>
    <col min="23" max="23" width="15.42578125" hidden="1" customWidth="1"/>
    <col min="24" max="24" width="3.28515625" hidden="1" customWidth="1"/>
    <col min="25" max="26" width="15.42578125" hidden="1" customWidth="1"/>
    <col min="27" max="27" width="9.7109375" customWidth="1"/>
    <col min="28" max="51" width="3.5703125" hidden="1" customWidth="1"/>
    <col min="52" max="53" width="3.140625" hidden="1" customWidth="1"/>
    <col min="54" max="54" width="4.140625" hidden="1" customWidth="1"/>
  </cols>
  <sheetData>
    <row r="1" spans="1:54" ht="15.75" x14ac:dyDescent="0.25">
      <c r="A1" s="1131" t="s">
        <v>3726</v>
      </c>
      <c r="B1" s="1139" t="str">
        <f>OrgName</f>
        <v>ZZZ NHS TRUST</v>
      </c>
      <c r="C1" s="1149"/>
      <c r="D1" s="1149"/>
      <c r="E1" s="1177" t="str">
        <f>HYPERLINK(CHAR(35)&amp;"1415TRU_Index_P13"&amp;"!A1","GoTo Index tab")</f>
        <v>GoTo Index tab</v>
      </c>
      <c r="G1" s="99"/>
      <c r="H1" s="99"/>
      <c r="J1" s="466"/>
      <c r="L1" s="466"/>
      <c r="N1" s="99"/>
      <c r="P1" s="99"/>
      <c r="R1" s="99"/>
      <c r="T1" s="99"/>
      <c r="V1" s="99"/>
      <c r="X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466"/>
      <c r="BB1" s="466"/>
    </row>
    <row r="2" spans="1:54" x14ac:dyDescent="0.2">
      <c r="A2" s="1131" t="s">
        <v>3727</v>
      </c>
      <c r="B2" s="1137" t="str">
        <f>"Org Code: " &amp; Orgcode</f>
        <v>Org Code: ZZZ</v>
      </c>
      <c r="C2" s="1148"/>
      <c r="D2" s="1148"/>
      <c r="E2" s="1135"/>
    </row>
    <row r="3" spans="1:54" x14ac:dyDescent="0.2">
      <c r="A3" s="1131" t="s">
        <v>3733</v>
      </c>
      <c r="B3" s="1138" t="s">
        <v>3725</v>
      </c>
      <c r="C3" s="1150"/>
      <c r="D3" s="1150"/>
      <c r="E3" s="1136"/>
    </row>
    <row r="4" spans="1:54" x14ac:dyDescent="0.2">
      <c r="B4" s="102" t="s">
        <v>570</v>
      </c>
      <c r="C4" s="157"/>
      <c r="D4" s="157"/>
    </row>
    <row r="5" spans="1:54" ht="13.5" thickBot="1" x14ac:dyDescent="0.25">
      <c r="B5" s="102" t="s">
        <v>66</v>
      </c>
      <c r="C5" s="157"/>
      <c r="D5" s="157"/>
    </row>
    <row r="6" spans="1:54" ht="14.25" thickTop="1" thickBot="1" x14ac:dyDescent="0.25">
      <c r="C6" s="157"/>
      <c r="D6" s="157"/>
      <c r="E6" s="99"/>
      <c r="F6" s="99"/>
      <c r="I6" s="577" t="s">
        <v>571</v>
      </c>
      <c r="J6" s="377"/>
      <c r="K6" s="377"/>
      <c r="L6" s="377"/>
      <c r="M6" s="378"/>
      <c r="O6" s="377"/>
      <c r="Q6" s="377"/>
      <c r="S6" s="377"/>
      <c r="U6" s="377"/>
      <c r="W6" s="377"/>
      <c r="Y6" s="377"/>
      <c r="Z6" s="381"/>
      <c r="AA6" s="99"/>
    </row>
    <row r="7" spans="1:54" ht="13.5" thickTop="1" x14ac:dyDescent="0.2">
      <c r="B7" s="261"/>
      <c r="C7" s="195"/>
      <c r="D7" s="195" t="s">
        <v>25</v>
      </c>
      <c r="E7" s="353" t="s">
        <v>235</v>
      </c>
      <c r="F7" s="293" t="s">
        <v>236</v>
      </c>
      <c r="G7" s="97" t="s">
        <v>293</v>
      </c>
      <c r="H7" s="97" t="s">
        <v>294</v>
      </c>
      <c r="I7" s="353" t="s">
        <v>295</v>
      </c>
      <c r="J7" s="353" t="s">
        <v>296</v>
      </c>
      <c r="K7" s="353" t="s">
        <v>342</v>
      </c>
      <c r="L7" s="353" t="s">
        <v>297</v>
      </c>
      <c r="M7" s="353" t="s">
        <v>298</v>
      </c>
      <c r="N7" s="97" t="s">
        <v>299</v>
      </c>
      <c r="O7" s="353" t="s">
        <v>360</v>
      </c>
      <c r="P7" s="97" t="s">
        <v>361</v>
      </c>
      <c r="Q7" s="353" t="s">
        <v>362</v>
      </c>
      <c r="R7" s="97" t="s">
        <v>576</v>
      </c>
      <c r="S7" s="353" t="s">
        <v>577</v>
      </c>
      <c r="T7" s="97" t="s">
        <v>578</v>
      </c>
      <c r="U7" s="353" t="s">
        <v>579</v>
      </c>
      <c r="V7" s="97" t="s">
        <v>580</v>
      </c>
      <c r="W7" s="353" t="s">
        <v>581</v>
      </c>
      <c r="X7" s="97" t="s">
        <v>582</v>
      </c>
      <c r="Y7" s="353" t="s">
        <v>583</v>
      </c>
      <c r="Z7" s="293" t="s">
        <v>584</v>
      </c>
      <c r="AA7" s="102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54" ht="51" x14ac:dyDescent="0.2">
      <c r="B8" s="264"/>
      <c r="C8" s="199" t="s">
        <v>238</v>
      </c>
      <c r="D8" s="199"/>
      <c r="E8" s="201" t="s">
        <v>239</v>
      </c>
      <c r="F8" s="202" t="s">
        <v>240</v>
      </c>
      <c r="G8" s="97" t="s">
        <v>585</v>
      </c>
      <c r="H8" s="97" t="s">
        <v>586</v>
      </c>
      <c r="I8" s="201" t="s">
        <v>587</v>
      </c>
      <c r="J8" s="201" t="s">
        <v>588</v>
      </c>
      <c r="K8" s="201" t="s">
        <v>589</v>
      </c>
      <c r="L8" s="201" t="s">
        <v>590</v>
      </c>
      <c r="M8" s="201" t="s">
        <v>591</v>
      </c>
      <c r="N8" s="97" t="s">
        <v>592</v>
      </c>
      <c r="O8" s="201" t="s">
        <v>593</v>
      </c>
      <c r="P8" s="97" t="s">
        <v>594</v>
      </c>
      <c r="Q8" s="201" t="s">
        <v>595</v>
      </c>
      <c r="R8" s="97" t="s">
        <v>596</v>
      </c>
      <c r="S8" s="201" t="s">
        <v>597</v>
      </c>
      <c r="T8" s="97" t="s">
        <v>598</v>
      </c>
      <c r="U8" s="201" t="s">
        <v>599</v>
      </c>
      <c r="V8" s="97" t="s">
        <v>600</v>
      </c>
      <c r="W8" s="201" t="s">
        <v>601</v>
      </c>
      <c r="X8" s="97" t="s">
        <v>602</v>
      </c>
      <c r="Y8" s="201" t="s">
        <v>603</v>
      </c>
      <c r="Z8" s="202" t="s">
        <v>604</v>
      </c>
      <c r="AA8" s="102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ht="13.5" thickBot="1" x14ac:dyDescent="0.25">
      <c r="B9" s="264" t="s">
        <v>91</v>
      </c>
      <c r="C9" s="204" t="s">
        <v>242</v>
      </c>
      <c r="D9" s="204"/>
      <c r="E9" s="278" t="s">
        <v>243</v>
      </c>
      <c r="F9" s="294" t="s">
        <v>243</v>
      </c>
      <c r="G9" s="97" t="s">
        <v>243</v>
      </c>
      <c r="H9" s="97" t="s">
        <v>243</v>
      </c>
      <c r="I9" s="278" t="s">
        <v>243</v>
      </c>
      <c r="J9" s="278" t="s">
        <v>243</v>
      </c>
      <c r="K9" s="278" t="s">
        <v>243</v>
      </c>
      <c r="L9" s="278" t="s">
        <v>243</v>
      </c>
      <c r="M9" s="278" t="s">
        <v>243</v>
      </c>
      <c r="N9" s="97" t="s">
        <v>243</v>
      </c>
      <c r="O9" s="278" t="s">
        <v>243</v>
      </c>
      <c r="P9" s="97" t="s">
        <v>243</v>
      </c>
      <c r="Q9" s="278" t="s">
        <v>243</v>
      </c>
      <c r="R9" s="97" t="s">
        <v>243</v>
      </c>
      <c r="S9" s="278" t="s">
        <v>243</v>
      </c>
      <c r="T9" s="97" t="s">
        <v>243</v>
      </c>
      <c r="U9" s="278" t="s">
        <v>243</v>
      </c>
      <c r="V9" s="97" t="s">
        <v>243</v>
      </c>
      <c r="W9" s="278" t="s">
        <v>243</v>
      </c>
      <c r="X9" s="97" t="s">
        <v>243</v>
      </c>
      <c r="Y9" s="278" t="s">
        <v>243</v>
      </c>
      <c r="Z9" s="202" t="s">
        <v>243</v>
      </c>
      <c r="AA9" s="102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54" ht="21.95" customHeight="1" x14ac:dyDescent="0.2">
      <c r="B10" s="473" t="s">
        <v>218</v>
      </c>
      <c r="C10" s="207">
        <v>100</v>
      </c>
      <c r="D10" s="206" t="s">
        <v>248</v>
      </c>
      <c r="E10" s="209">
        <f>SUM(H10:Y10)</f>
        <v>0</v>
      </c>
      <c r="F10" s="804"/>
      <c r="I10" s="362"/>
      <c r="J10" s="362"/>
      <c r="K10" s="362"/>
      <c r="L10" s="362"/>
      <c r="M10" s="362"/>
      <c r="O10" s="362"/>
      <c r="Q10" s="356"/>
      <c r="S10" s="362"/>
      <c r="U10" s="362"/>
      <c r="W10" s="362"/>
      <c r="Y10" s="362"/>
      <c r="Z10" s="318"/>
    </row>
    <row r="11" spans="1:54" ht="21.95" customHeight="1" x14ac:dyDescent="0.2">
      <c r="B11" s="246" t="s">
        <v>606</v>
      </c>
      <c r="C11" s="218">
        <v>110</v>
      </c>
      <c r="D11" s="217" t="s">
        <v>248</v>
      </c>
      <c r="E11" s="220">
        <f>SUM(H11:Y11)</f>
        <v>0</v>
      </c>
      <c r="F11" s="305"/>
      <c r="I11" s="324"/>
      <c r="J11" s="228"/>
      <c r="K11" s="324"/>
      <c r="L11" s="324"/>
      <c r="M11" s="324"/>
      <c r="O11" s="324"/>
      <c r="Q11" s="324"/>
      <c r="S11" s="324"/>
      <c r="U11" s="324"/>
      <c r="W11" s="324"/>
      <c r="Y11" s="324"/>
      <c r="Z11" s="331"/>
    </row>
    <row r="12" spans="1:54" ht="21.95" customHeight="1" x14ac:dyDescent="0.2">
      <c r="B12" s="229" t="s">
        <v>217</v>
      </c>
      <c r="C12" s="218">
        <v>120</v>
      </c>
      <c r="D12" s="217" t="s">
        <v>248</v>
      </c>
      <c r="E12" s="220">
        <f>SUM(H12:Y12)</f>
        <v>0</v>
      </c>
      <c r="F12" s="305"/>
      <c r="I12" s="324"/>
      <c r="J12" s="228"/>
      <c r="K12" s="324"/>
      <c r="L12" s="324"/>
      <c r="M12" s="324"/>
      <c r="O12" s="324"/>
      <c r="Q12" s="324"/>
      <c r="S12" s="324"/>
      <c r="U12" s="324"/>
      <c r="W12" s="324"/>
      <c r="Y12" s="324"/>
      <c r="Z12" s="395"/>
    </row>
    <row r="13" spans="1:54" hidden="1" x14ac:dyDescent="0.2">
      <c r="A13" s="99"/>
      <c r="B13" s="99" t="s">
        <v>610</v>
      </c>
      <c r="C13" s="102">
        <v>130</v>
      </c>
      <c r="D13" s="99" t="s">
        <v>248</v>
      </c>
      <c r="E13" s="99"/>
      <c r="F13" s="1197"/>
      <c r="I13" s="99"/>
      <c r="J13" s="99"/>
      <c r="K13" s="99"/>
      <c r="L13" s="99"/>
      <c r="M13" s="99"/>
      <c r="O13" s="99"/>
      <c r="Q13" s="99"/>
      <c r="S13" s="99"/>
      <c r="U13" s="99"/>
      <c r="W13" s="99"/>
      <c r="Y13" s="99"/>
      <c r="Z13" s="99"/>
      <c r="AA13" s="99"/>
    </row>
    <row r="14" spans="1:54" hidden="1" x14ac:dyDescent="0.2">
      <c r="A14" s="99"/>
      <c r="B14" s="99" t="s">
        <v>611</v>
      </c>
      <c r="C14" s="102">
        <v>140</v>
      </c>
      <c r="D14" s="99" t="s">
        <v>248</v>
      </c>
      <c r="E14" s="99"/>
      <c r="F14" s="1197"/>
      <c r="I14" s="99"/>
      <c r="J14" s="99"/>
      <c r="K14" s="99"/>
      <c r="L14" s="99"/>
      <c r="M14" s="99"/>
      <c r="O14" s="99"/>
      <c r="Q14" s="99"/>
      <c r="S14" s="99"/>
      <c r="U14" s="99"/>
      <c r="W14" s="99"/>
      <c r="Y14" s="99"/>
      <c r="Z14" s="99"/>
      <c r="AA14" s="99"/>
    </row>
    <row r="15" spans="1:54" ht="21.95" customHeight="1" x14ac:dyDescent="0.2">
      <c r="B15" s="263" t="s">
        <v>612</v>
      </c>
      <c r="C15" s="251">
        <v>150</v>
      </c>
      <c r="D15" s="250" t="s">
        <v>248</v>
      </c>
      <c r="E15" s="253">
        <f>SUM(H15:Y15)</f>
        <v>0</v>
      </c>
      <c r="F15" s="802"/>
      <c r="I15" s="321"/>
      <c r="J15" s="321"/>
      <c r="K15" s="321"/>
      <c r="L15" s="321"/>
      <c r="M15" s="321"/>
      <c r="O15" s="321"/>
      <c r="Q15" s="321"/>
      <c r="S15" s="422"/>
      <c r="U15" s="321"/>
      <c r="W15" s="321"/>
      <c r="Y15" s="321"/>
      <c r="Z15" s="578"/>
    </row>
    <row r="16" spans="1:54" ht="21.95" customHeight="1" x14ac:dyDescent="0.2">
      <c r="B16" s="246" t="s">
        <v>614</v>
      </c>
      <c r="C16" s="218">
        <v>170</v>
      </c>
      <c r="D16" s="217" t="s">
        <v>248</v>
      </c>
      <c r="E16" s="220">
        <f>SUM(H16:Y16)</f>
        <v>0</v>
      </c>
      <c r="F16" s="305"/>
      <c r="I16" s="324"/>
      <c r="J16" s="324"/>
      <c r="K16" s="324"/>
      <c r="L16" s="324"/>
      <c r="M16" s="324"/>
      <c r="O16" s="228"/>
      <c r="Q16" s="324"/>
      <c r="S16" s="324"/>
      <c r="U16" s="324"/>
      <c r="W16" s="324"/>
      <c r="Y16" s="324"/>
      <c r="Z16" s="331"/>
    </row>
    <row r="17" spans="2:26" ht="21.95" customHeight="1" x14ac:dyDescent="0.2">
      <c r="B17" s="246" t="s">
        <v>615</v>
      </c>
      <c r="C17" s="218">
        <v>180</v>
      </c>
      <c r="D17" s="217" t="s">
        <v>248</v>
      </c>
      <c r="E17" s="220">
        <f>SUM(H17:Y17)</f>
        <v>0</v>
      </c>
      <c r="F17" s="305"/>
      <c r="I17" s="228"/>
      <c r="J17" s="324"/>
      <c r="K17" s="228"/>
      <c r="L17" s="228"/>
      <c r="M17" s="228"/>
      <c r="O17" s="324"/>
      <c r="Q17" s="324"/>
      <c r="S17" s="324"/>
      <c r="U17" s="228"/>
      <c r="W17" s="228"/>
      <c r="Y17" s="324"/>
      <c r="Z17" s="331"/>
    </row>
    <row r="18" spans="2:26" ht="30" customHeight="1" x14ac:dyDescent="0.2">
      <c r="B18" s="336" t="s">
        <v>616</v>
      </c>
      <c r="C18" s="218">
        <v>185</v>
      </c>
      <c r="D18" s="217" t="s">
        <v>248</v>
      </c>
      <c r="E18" s="224">
        <f>SUM(E10:E17)</f>
        <v>0</v>
      </c>
      <c r="F18" s="1011">
        <f>SUM(F10:F17)</f>
        <v>0</v>
      </c>
      <c r="I18" s="224">
        <f>SUM(I10:I17)</f>
        <v>0</v>
      </c>
      <c r="J18" s="224">
        <f>SUM(J10:J17)</f>
        <v>0</v>
      </c>
      <c r="K18" s="224">
        <f>SUM(K10:K17)</f>
        <v>0</v>
      </c>
      <c r="L18" s="224">
        <f>SUM(L10:L17)</f>
        <v>0</v>
      </c>
      <c r="M18" s="224">
        <f>SUM(M10:M17)</f>
        <v>0</v>
      </c>
      <c r="O18" s="224">
        <f>SUM(O10:O17)</f>
        <v>0</v>
      </c>
      <c r="Q18" s="224">
        <f>SUM(Q10:Q17)</f>
        <v>0</v>
      </c>
      <c r="S18" s="224">
        <f>SUM(S10:S17)</f>
        <v>0</v>
      </c>
      <c r="U18" s="224">
        <f>SUM(U10:U17)</f>
        <v>0</v>
      </c>
      <c r="W18" s="224">
        <f>SUM(W10:W17)</f>
        <v>0</v>
      </c>
      <c r="Y18" s="224">
        <f>SUM(Y10:Y17)</f>
        <v>0</v>
      </c>
      <c r="Z18" s="227">
        <f>SUM(Z10:Z17)</f>
        <v>0</v>
      </c>
    </row>
    <row r="19" spans="2:26" ht="21.95" customHeight="1" x14ac:dyDescent="0.2">
      <c r="B19" s="231" t="s">
        <v>617</v>
      </c>
      <c r="C19" s="218">
        <v>187</v>
      </c>
      <c r="D19" s="219" t="s">
        <v>248</v>
      </c>
      <c r="E19" s="220">
        <v>0</v>
      </c>
      <c r="F19" s="395"/>
      <c r="I19" s="324"/>
      <c r="J19" s="324"/>
      <c r="K19" s="324"/>
      <c r="L19" s="324"/>
      <c r="M19" s="324"/>
      <c r="O19" s="228">
        <v>999</v>
      </c>
      <c r="Q19" s="324"/>
      <c r="S19" s="324"/>
      <c r="U19" s="324"/>
      <c r="W19" s="324"/>
      <c r="Y19" s="324"/>
      <c r="Z19" s="331"/>
    </row>
    <row r="20" spans="2:26" ht="21.95" customHeight="1" x14ac:dyDescent="0.2">
      <c r="B20" s="231" t="s">
        <v>618</v>
      </c>
      <c r="C20" s="218">
        <v>189</v>
      </c>
      <c r="D20" s="219" t="s">
        <v>248</v>
      </c>
      <c r="E20" s="220">
        <f>SUM(H20:Y20)</f>
        <v>0</v>
      </c>
      <c r="F20" s="305"/>
      <c r="I20" s="324"/>
      <c r="J20" s="324"/>
      <c r="K20" s="324"/>
      <c r="L20" s="324"/>
      <c r="M20" s="324"/>
      <c r="O20" s="324"/>
      <c r="Q20" s="324"/>
      <c r="S20" s="324"/>
      <c r="U20" s="324"/>
      <c r="W20" s="324"/>
      <c r="Y20" s="228"/>
      <c r="Z20" s="331"/>
    </row>
    <row r="21" spans="2:26" ht="21.95" customHeight="1" x14ac:dyDescent="0.2">
      <c r="B21" s="246" t="s">
        <v>619</v>
      </c>
      <c r="C21" s="218">
        <v>190</v>
      </c>
      <c r="D21" s="217" t="s">
        <v>248</v>
      </c>
      <c r="E21" s="228"/>
      <c r="F21" s="305"/>
      <c r="I21" s="324"/>
      <c r="J21" s="324"/>
      <c r="K21" s="324"/>
      <c r="L21" s="324"/>
      <c r="M21" s="324"/>
      <c r="O21" s="324"/>
      <c r="Q21" s="324"/>
      <c r="S21" s="324"/>
      <c r="U21" s="324"/>
      <c r="W21" s="324"/>
      <c r="Y21" s="324"/>
      <c r="Z21" s="331"/>
    </row>
    <row r="22" spans="2:26" ht="21.95" customHeight="1" x14ac:dyDescent="0.2">
      <c r="B22" s="246" t="s">
        <v>620</v>
      </c>
      <c r="C22" s="218">
        <v>200</v>
      </c>
      <c r="D22" s="217" t="s">
        <v>248</v>
      </c>
      <c r="E22" s="228"/>
      <c r="F22" s="305"/>
      <c r="I22" s="324"/>
      <c r="J22" s="324"/>
      <c r="K22" s="324"/>
      <c r="L22" s="324"/>
      <c r="M22" s="324"/>
      <c r="O22" s="324"/>
      <c r="Q22" s="324"/>
      <c r="S22" s="324"/>
      <c r="U22" s="324"/>
      <c r="W22" s="324"/>
      <c r="Y22" s="324"/>
      <c r="Z22" s="331"/>
    </row>
    <row r="23" spans="2:26" ht="21.95" customHeight="1" x14ac:dyDescent="0.2">
      <c r="B23" s="246" t="s">
        <v>621</v>
      </c>
      <c r="C23" s="218">
        <v>210</v>
      </c>
      <c r="D23" s="217" t="s">
        <v>248</v>
      </c>
      <c r="E23" s="228"/>
      <c r="F23" s="305"/>
      <c r="I23" s="324"/>
      <c r="J23" s="324"/>
      <c r="K23" s="324"/>
      <c r="L23" s="324"/>
      <c r="M23" s="324"/>
      <c r="O23" s="324"/>
      <c r="Q23" s="324"/>
      <c r="S23" s="324"/>
      <c r="U23" s="324"/>
      <c r="W23" s="324"/>
      <c r="Y23" s="324"/>
      <c r="Z23" s="331"/>
    </row>
    <row r="24" spans="2:26" ht="21.95" customHeight="1" x14ac:dyDescent="0.2">
      <c r="B24" s="246" t="s">
        <v>622</v>
      </c>
      <c r="C24" s="218">
        <v>220</v>
      </c>
      <c r="D24" s="217" t="s">
        <v>248</v>
      </c>
      <c r="E24" s="228"/>
      <c r="F24" s="305"/>
      <c r="I24" s="324"/>
      <c r="J24" s="324"/>
      <c r="K24" s="324"/>
      <c r="L24" s="324"/>
      <c r="M24" s="228"/>
      <c r="O24" s="324"/>
      <c r="Q24" s="324"/>
      <c r="S24" s="324"/>
      <c r="U24" s="324"/>
      <c r="W24" s="324"/>
      <c r="Y24" s="324"/>
      <c r="Z24" s="331"/>
    </row>
    <row r="25" spans="2:26" ht="30" customHeight="1" x14ac:dyDescent="0.2">
      <c r="B25" s="336" t="s">
        <v>623</v>
      </c>
      <c r="C25" s="218">
        <v>230</v>
      </c>
      <c r="D25" s="217" t="s">
        <v>248</v>
      </c>
      <c r="E25" s="448">
        <f>SUM(E18:E24)</f>
        <v>0</v>
      </c>
      <c r="F25" s="1011">
        <f>SUM(F18:F24)</f>
        <v>0</v>
      </c>
      <c r="I25" s="448">
        <f>SUM(I18:I24)</f>
        <v>0</v>
      </c>
      <c r="J25" s="448">
        <f>SUM(J18:J24)</f>
        <v>0</v>
      </c>
      <c r="K25" s="448">
        <f>SUM(K18:K24)</f>
        <v>0</v>
      </c>
      <c r="L25" s="448">
        <f>SUM(L18:L24)</f>
        <v>0</v>
      </c>
      <c r="M25" s="448">
        <f>SUM(M18:M24)</f>
        <v>0</v>
      </c>
      <c r="O25" s="448">
        <f>SUM(O18:O24)</f>
        <v>999</v>
      </c>
      <c r="Q25" s="448">
        <f>SUM(Q18:Q24)</f>
        <v>0</v>
      </c>
      <c r="S25" s="448">
        <f>SUM(S18:S24)</f>
        <v>0</v>
      </c>
      <c r="U25" s="448">
        <f>SUM(U18:U24)</f>
        <v>0</v>
      </c>
      <c r="W25" s="448">
        <f>SUM(W18:W24)</f>
        <v>0</v>
      </c>
      <c r="Y25" s="448">
        <f>SUM(Y18:Y24)</f>
        <v>0</v>
      </c>
      <c r="Z25" s="442">
        <f>SUM(Z18:Z24)</f>
        <v>0</v>
      </c>
    </row>
    <row r="26" spans="2:26" ht="21.95" customHeight="1" x14ac:dyDescent="0.2">
      <c r="B26" s="445" t="s">
        <v>92</v>
      </c>
      <c r="C26" s="446"/>
      <c r="D26" s="579"/>
      <c r="E26" s="258"/>
      <c r="F26" s="331"/>
      <c r="I26" s="258"/>
      <c r="J26" s="258"/>
      <c r="K26" s="258"/>
      <c r="L26" s="258"/>
      <c r="M26" s="258"/>
      <c r="O26" s="258"/>
      <c r="Q26" s="258"/>
      <c r="S26" s="258"/>
      <c r="U26" s="258"/>
      <c r="W26" s="258"/>
      <c r="Y26" s="258"/>
      <c r="Z26" s="331"/>
    </row>
    <row r="27" spans="2:26" ht="21.95" customHeight="1" x14ac:dyDescent="0.2">
      <c r="B27" s="263" t="s">
        <v>624</v>
      </c>
      <c r="C27" s="251">
        <v>250</v>
      </c>
      <c r="D27" s="250" t="s">
        <v>248</v>
      </c>
      <c r="E27" s="422"/>
      <c r="F27" s="802"/>
      <c r="I27" s="422"/>
      <c r="J27" s="422"/>
      <c r="K27" s="422"/>
      <c r="L27" s="422"/>
      <c r="M27" s="422"/>
      <c r="O27" s="422"/>
      <c r="Q27" s="422"/>
      <c r="S27" s="422"/>
      <c r="U27" s="422"/>
      <c r="W27" s="422"/>
      <c r="Y27" s="422"/>
      <c r="Z27" s="578"/>
    </row>
    <row r="28" spans="2:26" ht="21.95" customHeight="1" x14ac:dyDescent="0.2">
      <c r="B28" s="246" t="s">
        <v>625</v>
      </c>
      <c r="C28" s="218">
        <v>260</v>
      </c>
      <c r="D28" s="217" t="s">
        <v>248</v>
      </c>
      <c r="E28" s="228"/>
      <c r="F28" s="305"/>
      <c r="I28" s="228"/>
      <c r="J28" s="228"/>
      <c r="K28" s="228"/>
      <c r="L28" s="228"/>
      <c r="M28" s="228"/>
      <c r="O28" s="228"/>
      <c r="Q28" s="228"/>
      <c r="S28" s="228"/>
      <c r="U28" s="228"/>
      <c r="W28" s="228"/>
      <c r="Y28" s="228"/>
      <c r="Z28" s="331"/>
    </row>
    <row r="29" spans="2:26" ht="21.95" customHeight="1" x14ac:dyDescent="0.2">
      <c r="B29" s="246" t="s">
        <v>626</v>
      </c>
      <c r="C29" s="218">
        <v>270</v>
      </c>
      <c r="D29" s="217" t="s">
        <v>248</v>
      </c>
      <c r="E29" s="228"/>
      <c r="F29" s="305"/>
      <c r="I29" s="228"/>
      <c r="J29" s="228"/>
      <c r="K29" s="228"/>
      <c r="L29" s="228"/>
      <c r="M29" s="228"/>
      <c r="O29" s="228"/>
      <c r="Q29" s="228"/>
      <c r="S29" s="228"/>
      <c r="U29" s="228"/>
      <c r="W29" s="228"/>
      <c r="Y29" s="228"/>
      <c r="Z29" s="331"/>
    </row>
    <row r="30" spans="2:26" ht="21.95" customHeight="1" x14ac:dyDescent="0.2">
      <c r="B30" s="246" t="s">
        <v>627</v>
      </c>
      <c r="C30" s="218">
        <v>280</v>
      </c>
      <c r="D30" s="217" t="s">
        <v>248</v>
      </c>
      <c r="E30" s="220">
        <f>Z30</f>
        <v>0</v>
      </c>
      <c r="F30" s="305"/>
      <c r="I30" s="324"/>
      <c r="J30" s="324"/>
      <c r="K30" s="324"/>
      <c r="L30" s="324"/>
      <c r="M30" s="324"/>
      <c r="O30" s="324"/>
      <c r="Q30" s="324"/>
      <c r="S30" s="324"/>
      <c r="U30" s="324"/>
      <c r="W30" s="324"/>
      <c r="Y30" s="324"/>
      <c r="Z30" s="297"/>
    </row>
    <row r="31" spans="2:26" ht="27" customHeight="1" x14ac:dyDescent="0.2">
      <c r="B31" s="245" t="s">
        <v>628</v>
      </c>
      <c r="C31" s="218">
        <v>285</v>
      </c>
      <c r="D31" s="217" t="s">
        <v>248</v>
      </c>
      <c r="E31" s="228"/>
      <c r="F31" s="305"/>
      <c r="I31" s="324"/>
      <c r="J31" s="324"/>
      <c r="K31" s="324"/>
      <c r="L31" s="324"/>
      <c r="M31" s="228"/>
      <c r="O31" s="324"/>
      <c r="Q31" s="324"/>
      <c r="S31" s="324"/>
      <c r="U31" s="324"/>
      <c r="W31" s="324"/>
      <c r="Y31" s="228"/>
      <c r="Z31" s="331"/>
    </row>
    <row r="32" spans="2:26" ht="30" customHeight="1" x14ac:dyDescent="0.2">
      <c r="B32" s="336" t="s">
        <v>629</v>
      </c>
      <c r="C32" s="218">
        <v>286</v>
      </c>
      <c r="D32" s="217" t="s">
        <v>248</v>
      </c>
      <c r="E32" s="224">
        <f>SUM(E30:E31)</f>
        <v>0</v>
      </c>
      <c r="F32" s="1198">
        <f>SUM(F30:F31)</f>
        <v>0</v>
      </c>
      <c r="I32" s="224">
        <f>SUM(I30:I31)</f>
        <v>0</v>
      </c>
      <c r="J32" s="224">
        <f>SUM(J30:J31)</f>
        <v>0</v>
      </c>
      <c r="K32" s="224">
        <f>SUM(K30:K31)</f>
        <v>0</v>
      </c>
      <c r="L32" s="224">
        <f>SUM(L30:L31)</f>
        <v>0</v>
      </c>
      <c r="M32" s="224">
        <f>SUM(M30:M31)</f>
        <v>0</v>
      </c>
      <c r="O32" s="224">
        <f>SUM(O30:O31)</f>
        <v>0</v>
      </c>
      <c r="Q32" s="224">
        <f>SUM(Q30:Q31)</f>
        <v>0</v>
      </c>
      <c r="S32" s="224">
        <f>SUM(S30:S31)</f>
        <v>0</v>
      </c>
      <c r="U32" s="224">
        <f>SUM(U30:U31)</f>
        <v>0</v>
      </c>
      <c r="W32" s="224">
        <f>SUM(W30:W31)</f>
        <v>0</v>
      </c>
      <c r="Y32" s="224">
        <f>SUM(Y30:Y31)</f>
        <v>0</v>
      </c>
      <c r="Z32" s="227">
        <f>SUM(Z30:Z31)</f>
        <v>0</v>
      </c>
    </row>
    <row r="33" spans="1:27" ht="21.95" customHeight="1" x14ac:dyDescent="0.2">
      <c r="B33" s="246" t="s">
        <v>630</v>
      </c>
      <c r="C33" s="218">
        <v>287</v>
      </c>
      <c r="D33" s="217" t="s">
        <v>248</v>
      </c>
      <c r="E33" s="228"/>
      <c r="F33" s="305"/>
      <c r="I33" s="324"/>
      <c r="J33" s="324"/>
      <c r="K33" s="324"/>
      <c r="L33" s="324"/>
      <c r="M33" s="324"/>
      <c r="O33" s="324"/>
      <c r="Q33" s="324"/>
      <c r="S33" s="324"/>
      <c r="U33" s="324"/>
      <c r="W33" s="324"/>
      <c r="Y33" s="228"/>
      <c r="Z33" s="297"/>
    </row>
    <row r="34" spans="1:27" ht="27" customHeight="1" x14ac:dyDescent="0.2">
      <c r="B34" s="245" t="s">
        <v>631</v>
      </c>
      <c r="C34" s="218">
        <v>288</v>
      </c>
      <c r="D34" s="217" t="s">
        <v>248</v>
      </c>
      <c r="E34" s="228"/>
      <c r="F34" s="305"/>
      <c r="I34" s="324"/>
      <c r="J34" s="324"/>
      <c r="K34" s="324"/>
      <c r="L34" s="324"/>
      <c r="M34" s="324"/>
      <c r="O34" s="324"/>
      <c r="Q34" s="324"/>
      <c r="S34" s="324"/>
      <c r="U34" s="324"/>
      <c r="W34" s="324"/>
      <c r="Y34" s="228"/>
      <c r="Z34" s="297"/>
    </row>
    <row r="35" spans="1:27" ht="30" customHeight="1" x14ac:dyDescent="0.2">
      <c r="B35" s="336" t="s">
        <v>632</v>
      </c>
      <c r="C35" s="218">
        <v>290</v>
      </c>
      <c r="D35" s="217" t="s">
        <v>248</v>
      </c>
      <c r="E35" s="224">
        <f>SUM(E33:E34)</f>
        <v>0</v>
      </c>
      <c r="F35" s="1011">
        <f>SUM(F33:F34)</f>
        <v>0</v>
      </c>
      <c r="I35" s="224">
        <f>SUM(I33:I34)</f>
        <v>0</v>
      </c>
      <c r="J35" s="224">
        <f>SUM(J33:J34)</f>
        <v>0</v>
      </c>
      <c r="K35" s="224">
        <f>SUM(K33:K34)</f>
        <v>0</v>
      </c>
      <c r="L35" s="224">
        <f>SUM(L33:L34)</f>
        <v>0</v>
      </c>
      <c r="M35" s="224">
        <f>SUM(M33:M34)</f>
        <v>0</v>
      </c>
      <c r="O35" s="224">
        <f>SUM(O33:O34)</f>
        <v>0</v>
      </c>
      <c r="Q35" s="224">
        <f>SUM(Q33:Q34)</f>
        <v>0</v>
      </c>
      <c r="S35" s="224">
        <f>SUM(S33:S34)</f>
        <v>0</v>
      </c>
      <c r="U35" s="224">
        <f>SUM(U33:U34)</f>
        <v>0</v>
      </c>
      <c r="W35" s="224">
        <f>SUM(W33:W34)</f>
        <v>0</v>
      </c>
      <c r="Y35" s="224">
        <f>SUM(Y33:Y34)</f>
        <v>0</v>
      </c>
      <c r="Z35" s="227">
        <f>SUM(Z33:Z34)</f>
        <v>0</v>
      </c>
    </row>
    <row r="36" spans="1:27" ht="21.95" customHeight="1" x14ac:dyDescent="0.2">
      <c r="A36" s="99"/>
      <c r="B36" s="231" t="s">
        <v>633</v>
      </c>
      <c r="C36" s="218">
        <v>295</v>
      </c>
      <c r="D36" s="219" t="s">
        <v>248</v>
      </c>
      <c r="E36" s="1182">
        <f>SUM(H36:Y36)</f>
        <v>0</v>
      </c>
      <c r="F36" s="395"/>
      <c r="I36" s="1185"/>
      <c r="J36" s="1188"/>
      <c r="K36" s="1188"/>
      <c r="L36" s="1188"/>
      <c r="M36" s="580"/>
      <c r="O36" s="1185"/>
      <c r="Q36" s="1185"/>
      <c r="S36" s="1185"/>
      <c r="U36" s="1185"/>
      <c r="W36" s="1185"/>
      <c r="Y36" s="1185"/>
      <c r="Z36" s="331"/>
      <c r="AA36" s="99"/>
    </row>
    <row r="37" spans="1:27" ht="21.95" customHeight="1" x14ac:dyDescent="0.2">
      <c r="B37" s="246" t="s">
        <v>634</v>
      </c>
      <c r="C37" s="218">
        <v>300</v>
      </c>
      <c r="D37" s="217" t="s">
        <v>248</v>
      </c>
      <c r="E37" s="228"/>
      <c r="F37" s="305"/>
      <c r="I37" s="324"/>
      <c r="J37" s="324"/>
      <c r="K37" s="324"/>
      <c r="L37" s="324"/>
      <c r="M37" s="324"/>
      <c r="O37" s="324"/>
      <c r="Q37" s="324"/>
      <c r="S37" s="324"/>
      <c r="U37" s="324"/>
      <c r="W37" s="324"/>
      <c r="Y37" s="228"/>
      <c r="Z37" s="331"/>
    </row>
    <row r="38" spans="1:27" ht="21.95" customHeight="1" x14ac:dyDescent="0.2">
      <c r="B38" s="246" t="s">
        <v>635</v>
      </c>
      <c r="C38" s="218">
        <v>310</v>
      </c>
      <c r="D38" s="217" t="s">
        <v>248</v>
      </c>
      <c r="E38" s="228"/>
      <c r="F38" s="305"/>
      <c r="I38" s="228"/>
      <c r="J38" s="228"/>
      <c r="K38" s="228"/>
      <c r="L38" s="228"/>
      <c r="M38" s="228"/>
      <c r="O38" s="228"/>
      <c r="Q38" s="228"/>
      <c r="S38" s="228"/>
      <c r="U38" s="228"/>
      <c r="W38" s="228"/>
      <c r="Y38" s="228"/>
      <c r="Z38" s="331"/>
    </row>
    <row r="39" spans="1:27" ht="21.95" customHeight="1" x14ac:dyDescent="0.2">
      <c r="B39" s="246" t="s">
        <v>636</v>
      </c>
      <c r="C39" s="218">
        <v>320</v>
      </c>
      <c r="D39" s="217" t="s">
        <v>248</v>
      </c>
      <c r="E39" s="228"/>
      <c r="F39" s="305"/>
      <c r="I39" s="228"/>
      <c r="J39" s="228"/>
      <c r="K39" s="228"/>
      <c r="L39" s="228"/>
      <c r="M39" s="228"/>
      <c r="O39" s="228"/>
      <c r="Q39" s="228"/>
      <c r="S39" s="228"/>
      <c r="U39" s="228"/>
      <c r="W39" s="228"/>
      <c r="Y39" s="228"/>
      <c r="Z39" s="331"/>
    </row>
    <row r="40" spans="1:27" ht="21.95" customHeight="1" x14ac:dyDescent="0.2">
      <c r="B40" s="246" t="s">
        <v>637</v>
      </c>
      <c r="C40" s="218">
        <v>325</v>
      </c>
      <c r="D40" s="217" t="s">
        <v>248</v>
      </c>
      <c r="E40" s="228"/>
      <c r="F40" s="305"/>
      <c r="I40" s="228"/>
      <c r="J40" s="228"/>
      <c r="K40" s="228"/>
      <c r="L40" s="228"/>
      <c r="M40" s="228"/>
      <c r="O40" s="228"/>
      <c r="Q40" s="228"/>
      <c r="S40" s="228"/>
      <c r="U40" s="228"/>
      <c r="W40" s="228"/>
      <c r="Y40" s="228"/>
      <c r="Z40" s="331"/>
    </row>
    <row r="41" spans="1:27" ht="21.95" customHeight="1" x14ac:dyDescent="0.2">
      <c r="B41" s="246" t="s">
        <v>638</v>
      </c>
      <c r="C41" s="218">
        <v>326</v>
      </c>
      <c r="D41" s="217" t="s">
        <v>248</v>
      </c>
      <c r="E41" s="228"/>
      <c r="F41" s="305"/>
      <c r="I41" s="228"/>
      <c r="J41" s="228"/>
      <c r="K41" s="228"/>
      <c r="L41" s="228"/>
      <c r="M41" s="228"/>
      <c r="O41" s="228"/>
      <c r="Q41" s="228"/>
      <c r="S41" s="228"/>
      <c r="U41" s="228"/>
      <c r="W41" s="228"/>
      <c r="Y41" s="228"/>
      <c r="Z41" s="331"/>
    </row>
    <row r="42" spans="1:27" ht="21.95" customHeight="1" x14ac:dyDescent="0.2">
      <c r="B42" s="445" t="s">
        <v>639</v>
      </c>
      <c r="C42" s="218">
        <v>330</v>
      </c>
      <c r="D42" s="217" t="s">
        <v>248</v>
      </c>
      <c r="E42" s="224">
        <f>SUM(E40:E41)</f>
        <v>0</v>
      </c>
      <c r="F42" s="1011">
        <f>SUM(F40:F41)</f>
        <v>0</v>
      </c>
      <c r="I42" s="224">
        <f>SUM(I40:I41)</f>
        <v>0</v>
      </c>
      <c r="J42" s="224">
        <f>SUM(J40:J41)</f>
        <v>0</v>
      </c>
      <c r="K42" s="224">
        <f>SUM(K40:K41)</f>
        <v>0</v>
      </c>
      <c r="L42" s="224">
        <f>SUM(L40:L41)</f>
        <v>0</v>
      </c>
      <c r="M42" s="224">
        <f>SUM(M40:M41)</f>
        <v>0</v>
      </c>
      <c r="O42" s="224">
        <f>SUM(O40:O41)</f>
        <v>0</v>
      </c>
      <c r="Q42" s="224">
        <f>SUM(Q40:Q41)</f>
        <v>0</v>
      </c>
      <c r="S42" s="224">
        <f>SUM(S40:S41)</f>
        <v>0</v>
      </c>
      <c r="U42" s="224">
        <f>SUM(U40:U41)</f>
        <v>0</v>
      </c>
      <c r="W42" s="224">
        <f>SUM(W40:W41)</f>
        <v>0</v>
      </c>
      <c r="Y42" s="224">
        <f>SUM(Y40:Y41)</f>
        <v>0</v>
      </c>
      <c r="Z42" s="331"/>
    </row>
    <row r="43" spans="1:27" ht="27" customHeight="1" x14ac:dyDescent="0.2">
      <c r="B43" s="245" t="s">
        <v>640</v>
      </c>
      <c r="C43" s="218">
        <v>335</v>
      </c>
      <c r="D43" s="217" t="s">
        <v>248</v>
      </c>
      <c r="E43" s="228"/>
      <c r="F43" s="305"/>
      <c r="I43" s="228"/>
      <c r="J43" s="228"/>
      <c r="K43" s="228"/>
      <c r="L43" s="228"/>
      <c r="M43" s="228"/>
      <c r="O43" s="228"/>
      <c r="Q43" s="228"/>
      <c r="S43" s="228"/>
      <c r="U43" s="228"/>
      <c r="W43" s="228"/>
      <c r="Y43" s="228"/>
      <c r="Z43" s="331"/>
    </row>
    <row r="44" spans="1:27" ht="21.95" customHeight="1" x14ac:dyDescent="0.2">
      <c r="B44" s="246" t="s">
        <v>641</v>
      </c>
      <c r="C44" s="218">
        <v>336</v>
      </c>
      <c r="D44" s="217" t="s">
        <v>248</v>
      </c>
      <c r="E44" s="228"/>
      <c r="F44" s="305"/>
      <c r="I44" s="228"/>
      <c r="J44" s="228"/>
      <c r="K44" s="228"/>
      <c r="L44" s="228"/>
      <c r="M44" s="228"/>
      <c r="O44" s="228"/>
      <c r="Q44" s="228"/>
      <c r="S44" s="228"/>
      <c r="U44" s="228"/>
      <c r="W44" s="228"/>
      <c r="Y44" s="228"/>
      <c r="Z44" s="331"/>
    </row>
    <row r="45" spans="1:27" ht="30" customHeight="1" x14ac:dyDescent="0.2">
      <c r="B45" s="336" t="s">
        <v>642</v>
      </c>
      <c r="C45" s="218">
        <v>340</v>
      </c>
      <c r="D45" s="217" t="s">
        <v>248</v>
      </c>
      <c r="E45" s="224">
        <f>SUM(E43:E44)</f>
        <v>0</v>
      </c>
      <c r="F45" s="1011">
        <f>SUM(F43:F44)</f>
        <v>0</v>
      </c>
      <c r="I45" s="224">
        <f>SUM(I43:I44)</f>
        <v>0</v>
      </c>
      <c r="J45" s="224">
        <f>SUM(J43:J44)</f>
        <v>0</v>
      </c>
      <c r="K45" s="224">
        <f>SUM(K43:K44)</f>
        <v>0</v>
      </c>
      <c r="L45" s="224">
        <f>SUM(L43:L44)</f>
        <v>0</v>
      </c>
      <c r="M45" s="224">
        <f>SUM(M43:M44)</f>
        <v>0</v>
      </c>
      <c r="O45" s="224">
        <f>SUM(O43:O44)</f>
        <v>0</v>
      </c>
      <c r="Q45" s="224">
        <f>SUM(Q43:Q44)</f>
        <v>0</v>
      </c>
      <c r="S45" s="224">
        <f>SUM(S43:S44)</f>
        <v>0</v>
      </c>
      <c r="U45" s="224">
        <f>SUM(U43:U44)</f>
        <v>0</v>
      </c>
      <c r="W45" s="224">
        <f>SUM(W43:W44)</f>
        <v>0</v>
      </c>
      <c r="Y45" s="224">
        <f>SUM(Y43:Y44)</f>
        <v>0</v>
      </c>
      <c r="Z45" s="331"/>
    </row>
    <row r="46" spans="1:27" ht="21.95" customHeight="1" x14ac:dyDescent="0.2">
      <c r="B46" s="246" t="s">
        <v>643</v>
      </c>
      <c r="C46" s="218">
        <v>345</v>
      </c>
      <c r="D46" s="217" t="s">
        <v>248</v>
      </c>
      <c r="E46" s="228"/>
      <c r="F46" s="305"/>
      <c r="I46" s="228"/>
      <c r="J46" s="228"/>
      <c r="K46" s="228"/>
      <c r="L46" s="228"/>
      <c r="M46" s="228"/>
      <c r="O46" s="228"/>
      <c r="Q46" s="228"/>
      <c r="S46" s="228"/>
      <c r="U46" s="228"/>
      <c r="W46" s="228"/>
      <c r="Y46" s="228"/>
      <c r="Z46" s="331"/>
    </row>
    <row r="47" spans="1:27" ht="21.95" customHeight="1" x14ac:dyDescent="0.2">
      <c r="B47" s="246" t="s">
        <v>644</v>
      </c>
      <c r="C47" s="218">
        <v>346</v>
      </c>
      <c r="D47" s="217" t="s">
        <v>248</v>
      </c>
      <c r="E47" s="228"/>
      <c r="F47" s="305"/>
      <c r="I47" s="228"/>
      <c r="J47" s="228"/>
      <c r="K47" s="228"/>
      <c r="L47" s="228"/>
      <c r="M47" s="228"/>
      <c r="O47" s="228"/>
      <c r="Q47" s="228"/>
      <c r="S47" s="228"/>
      <c r="U47" s="228"/>
      <c r="W47" s="228"/>
      <c r="Y47" s="228"/>
      <c r="Z47" s="331"/>
    </row>
    <row r="48" spans="1:27" ht="21.95" customHeight="1" x14ac:dyDescent="0.2">
      <c r="B48" s="445" t="s">
        <v>645</v>
      </c>
      <c r="C48" s="218">
        <v>350</v>
      </c>
      <c r="D48" s="217" t="s">
        <v>248</v>
      </c>
      <c r="E48" s="224">
        <f>SUM(E46:E47)</f>
        <v>0</v>
      </c>
      <c r="F48" s="1011">
        <f>SUM(F46:F47)</f>
        <v>0</v>
      </c>
      <c r="I48" s="224">
        <f>SUM(I46:I47)</f>
        <v>0</v>
      </c>
      <c r="J48" s="224">
        <f>SUM(J46:J47)</f>
        <v>0</v>
      </c>
      <c r="K48" s="224">
        <f>SUM(K46:K47)</f>
        <v>0</v>
      </c>
      <c r="L48" s="224">
        <f>SUM(L46:L47)</f>
        <v>0</v>
      </c>
      <c r="M48" s="224">
        <f>SUM(M46:M47)</f>
        <v>0</v>
      </c>
      <c r="O48" s="224">
        <f>SUM(O46:O47)</f>
        <v>0</v>
      </c>
      <c r="Q48" s="224">
        <f>SUM(Q46:Q47)</f>
        <v>0</v>
      </c>
      <c r="S48" s="224">
        <f>SUM(S46:S47)</f>
        <v>0</v>
      </c>
      <c r="U48" s="224">
        <f>SUM(U46:U47)</f>
        <v>0</v>
      </c>
      <c r="W48" s="224">
        <f>SUM(W46:W47)</f>
        <v>0</v>
      </c>
      <c r="Y48" s="224">
        <f>SUM(Y46:Y47)</f>
        <v>0</v>
      </c>
      <c r="Z48" s="331"/>
    </row>
    <row r="49" spans="1:27" ht="21.95" customHeight="1" x14ac:dyDescent="0.2">
      <c r="B49" s="445" t="s">
        <v>646</v>
      </c>
      <c r="C49" s="234">
        <v>360</v>
      </c>
      <c r="D49" s="237" t="s">
        <v>248</v>
      </c>
      <c r="E49" s="239">
        <f>SUM(E27:E31)+SUM(E33:E34)+SUM(E36:E41)+SUM(E43:E44)+SUM(E46:E47)</f>
        <v>0</v>
      </c>
      <c r="F49" s="299">
        <f>SUM(F27:F31)+SUM(F33:F34)+SUM(F36:F41)+SUM(F43:F44)+SUM(F46:F47)</f>
        <v>0</v>
      </c>
      <c r="I49" s="239">
        <f>SUM(I27:I31)+SUM(I33:I34)+SUM(I36:I41)+SUM(I43:I44)+SUM(I46:I47)</f>
        <v>0</v>
      </c>
      <c r="J49" s="239">
        <f>SUM(J27:J31)+SUM(J33:J34)+SUM(J36:J41)+SUM(J43:J44)+SUM(J46:J47)</f>
        <v>0</v>
      </c>
      <c r="K49" s="239">
        <f>SUM(K27:K31)+SUM(K33:K34)+SUM(K36:K41)+SUM(K43:K44)+SUM(K46:K47)</f>
        <v>0</v>
      </c>
      <c r="L49" s="239">
        <f>SUM(L27:L31)+SUM(L33:L34)+SUM(L36:L41)+SUM(L43:L44)+SUM(L46:L47)</f>
        <v>0</v>
      </c>
      <c r="M49" s="239">
        <f>SUM(M27:M31)+SUM(M33:M34)+SUM(M36:M41)+SUM(M43:M44)+SUM(M46:M47)</f>
        <v>0</v>
      </c>
      <c r="O49" s="239">
        <f>SUM(O27:O31)+SUM(O33:O34)+SUM(O36:O41)+SUM(O43:O44)+SUM(O46:O47)</f>
        <v>0</v>
      </c>
      <c r="Q49" s="239">
        <f>SUM(Q27:Q31)+SUM(Q33:Q34)+SUM(Q36:Q41)+SUM(Q43:Q44)+SUM(Q46:Q47)</f>
        <v>0</v>
      </c>
      <c r="S49" s="239">
        <f>SUM(S27:S31)+SUM(S33:S34)+SUM(S36:S41)+SUM(S43:S44)+SUM(S46:S47)</f>
        <v>0</v>
      </c>
      <c r="U49" s="239">
        <f>SUM(U27:U31)+SUM(U33:U34)+SUM(U36:U41)+SUM(U43:U44)+SUM(U46:U47)</f>
        <v>0</v>
      </c>
      <c r="W49" s="239">
        <f>SUM(W27:W31)+SUM(W33:W34)+SUM(W36:W41)+SUM(W43:W44)+SUM(W46:W47)</f>
        <v>0</v>
      </c>
      <c r="Y49" s="239">
        <f>SUM(Y27:Y31)+SUM(Y33:Y34)+SUM(Y36:Y41)+SUM(Y43:Y44)+SUM(Y46:Y47)</f>
        <v>0</v>
      </c>
      <c r="Z49" s="227">
        <f>SUM(Z27:Z31)+SUM(Z33:Z34)+SUM(Z36:Z41)+SUM(Z43:Z44)+SUM(Z46:Z47)</f>
        <v>0</v>
      </c>
    </row>
    <row r="50" spans="1:27" ht="21.95" customHeight="1" thickBot="1" x14ac:dyDescent="0.25">
      <c r="B50" s="497" t="s">
        <v>647</v>
      </c>
      <c r="C50" s="236">
        <v>370</v>
      </c>
      <c r="D50" s="235" t="s">
        <v>248</v>
      </c>
      <c r="E50" s="240">
        <f>E25+E49</f>
        <v>0</v>
      </c>
      <c r="F50" s="301">
        <f>F25+F49</f>
        <v>0</v>
      </c>
      <c r="I50" s="240">
        <f>I25+I49</f>
        <v>0</v>
      </c>
      <c r="J50" s="240">
        <f>J25+J49</f>
        <v>0</v>
      </c>
      <c r="K50" s="240">
        <f>K25+K49</f>
        <v>0</v>
      </c>
      <c r="L50" s="240">
        <f>L25+L49</f>
        <v>0</v>
      </c>
      <c r="M50" s="240">
        <f>M25+M49</f>
        <v>0</v>
      </c>
      <c r="O50" s="240">
        <f>O25+O49</f>
        <v>999</v>
      </c>
      <c r="Q50" s="240">
        <f>Q25+Q49</f>
        <v>0</v>
      </c>
      <c r="S50" s="240">
        <f>S25+S49</f>
        <v>0</v>
      </c>
      <c r="U50" s="240">
        <f>U25+U49</f>
        <v>0</v>
      </c>
      <c r="W50" s="240">
        <f>W25+W49</f>
        <v>0</v>
      </c>
      <c r="Y50" s="240">
        <f>Y25+Y49</f>
        <v>0</v>
      </c>
      <c r="Z50" s="241">
        <f>Z25+Z49</f>
        <v>0</v>
      </c>
    </row>
    <row r="51" spans="1:27" ht="13.5" thickTop="1" x14ac:dyDescent="0.2">
      <c r="B51" s="99"/>
      <c r="C51" s="157"/>
      <c r="D51" s="157"/>
    </row>
    <row r="52" spans="1:27" ht="13.5" hidden="1" thickTop="1" x14ac:dyDescent="0.2">
      <c r="B52" s="582" t="s">
        <v>111</v>
      </c>
      <c r="C52" s="584"/>
      <c r="D52" s="584"/>
      <c r="E52" s="585"/>
      <c r="F52" s="585"/>
      <c r="I52" s="597">
        <f>'1415TRU11_IGF_P13'!O23</f>
        <v>0</v>
      </c>
      <c r="J52" s="597">
        <f>'1415TRU11_IGF_P13'!P23</f>
        <v>0</v>
      </c>
      <c r="K52" s="597">
        <f>'1415TRU11_IGF_P13'!Q23</f>
        <v>0</v>
      </c>
      <c r="L52" s="597">
        <f>'1415TRU11_IGF_P13'!R23</f>
        <v>0</v>
      </c>
      <c r="M52" s="597">
        <f>'1415TRU11_IGF_P13'!S23</f>
        <v>0</v>
      </c>
      <c r="O52" s="597">
        <f>'1415TRU11_IGF_P13'!U23</f>
        <v>0</v>
      </c>
      <c r="Q52" s="597">
        <f>'1415TRU11_IGF_P13'!W23</f>
        <v>0</v>
      </c>
      <c r="S52" s="597">
        <f>'1415TRU11_IGF_P13'!Y23</f>
        <v>0</v>
      </c>
      <c r="U52" s="597">
        <f>'1415TRU11_IGF_P13'!AA23</f>
        <v>0</v>
      </c>
      <c r="W52" s="597">
        <f>'1415TRU11_IGF_P13'!AC23</f>
        <v>0</v>
      </c>
      <c r="Y52" s="597">
        <f>'1415TRU11_IGF_P13'!AE23</f>
        <v>0</v>
      </c>
      <c r="Z52" s="586"/>
    </row>
    <row r="53" spans="1:27" hidden="1" x14ac:dyDescent="0.2">
      <c r="B53" s="587"/>
      <c r="C53" s="588"/>
      <c r="D53" s="588"/>
      <c r="E53" s="324"/>
      <c r="F53" s="324"/>
      <c r="I53" s="324"/>
      <c r="J53" s="324"/>
      <c r="K53" s="324"/>
      <c r="L53" s="324"/>
      <c r="M53" s="324"/>
      <c r="O53" s="324"/>
      <c r="Q53" s="324"/>
      <c r="S53" s="324"/>
      <c r="U53" s="324"/>
      <c r="W53" s="324"/>
      <c r="Y53" s="324"/>
      <c r="Z53" s="589"/>
    </row>
    <row r="54" spans="1:27" hidden="1" x14ac:dyDescent="0.2">
      <c r="B54" s="523" t="s">
        <v>648</v>
      </c>
      <c r="C54" s="588"/>
      <c r="D54" s="588"/>
      <c r="E54" s="324"/>
      <c r="F54" s="324"/>
      <c r="I54" s="220">
        <f>I50+I52</f>
        <v>0</v>
      </c>
      <c r="J54" s="220">
        <f>J50+J52</f>
        <v>0</v>
      </c>
      <c r="K54" s="220">
        <f>K50+K52</f>
        <v>0</v>
      </c>
      <c r="L54" s="220">
        <f>L50+L52</f>
        <v>0</v>
      </c>
      <c r="M54" s="220">
        <f>M50+M52</f>
        <v>0</v>
      </c>
      <c r="O54" s="220">
        <f>O50+O52</f>
        <v>999</v>
      </c>
      <c r="Q54" s="220">
        <f>Q50+Q52</f>
        <v>0</v>
      </c>
      <c r="S54" s="220">
        <f>S50+S52</f>
        <v>0</v>
      </c>
      <c r="U54" s="220">
        <f>U50+U52</f>
        <v>0</v>
      </c>
      <c r="W54" s="220">
        <f>W50+W52</f>
        <v>0</v>
      </c>
      <c r="Y54" s="220">
        <f>Y50+Y52</f>
        <v>0</v>
      </c>
      <c r="Z54" s="556">
        <f>Z50+Z52</f>
        <v>0</v>
      </c>
    </row>
    <row r="55" spans="1:27" hidden="1" x14ac:dyDescent="0.2">
      <c r="B55" s="587"/>
      <c r="C55" s="588"/>
      <c r="D55" s="588"/>
      <c r="E55" s="324"/>
      <c r="F55" s="324"/>
      <c r="I55" s="324"/>
      <c r="J55" s="324"/>
      <c r="K55" s="324"/>
      <c r="L55" s="324"/>
      <c r="M55" s="324"/>
      <c r="O55" s="324"/>
      <c r="Q55" s="324"/>
      <c r="S55" s="324"/>
      <c r="U55" s="324"/>
      <c r="W55" s="324"/>
      <c r="Y55" s="324"/>
      <c r="Z55" s="589"/>
    </row>
    <row r="56" spans="1:27" hidden="1" x14ac:dyDescent="0.2">
      <c r="B56" s="523" t="s">
        <v>649</v>
      </c>
      <c r="C56" s="588"/>
      <c r="D56" s="588"/>
      <c r="E56" s="324"/>
      <c r="F56" s="324"/>
      <c r="I56" s="300" t="e">
        <f>#REF!</f>
        <v>#REF!</v>
      </c>
      <c r="J56" s="300" t="e">
        <f>(#REF!+#REF!)</f>
        <v>#REF!</v>
      </c>
      <c r="K56" s="300" t="e">
        <f>#REF!</f>
        <v>#REF!</v>
      </c>
      <c r="L56" s="300" t="e">
        <f>#REF!</f>
        <v>#REF!</v>
      </c>
      <c r="M56" s="300" t="e">
        <f>(#REF!+#REF!+#REF!)</f>
        <v>#REF!</v>
      </c>
      <c r="O56" s="300" t="e">
        <f>#REF!</f>
        <v>#REF!</v>
      </c>
      <c r="Q56" s="300" t="e">
        <f>#REF!</f>
        <v>#REF!</v>
      </c>
      <c r="S56" s="300" t="e">
        <f>#REF!</f>
        <v>#REF!</v>
      </c>
      <c r="U56" s="300" t="e">
        <f>#REF!</f>
        <v>#REF!</v>
      </c>
      <c r="W56" s="300" t="e">
        <f>#REF!</f>
        <v>#REF!</v>
      </c>
      <c r="Y56" s="300" t="e">
        <f>#REF!</f>
        <v>#REF!</v>
      </c>
      <c r="Z56" s="589"/>
    </row>
    <row r="57" spans="1:27" hidden="1" x14ac:dyDescent="0.2">
      <c r="B57" s="587"/>
      <c r="C57" s="588"/>
      <c r="D57" s="588"/>
      <c r="E57" s="324"/>
      <c r="F57" s="324"/>
      <c r="I57" s="324"/>
      <c r="J57" s="324"/>
      <c r="K57" s="324"/>
      <c r="L57" s="324"/>
      <c r="M57" s="324"/>
      <c r="O57" s="324"/>
      <c r="Q57" s="324"/>
      <c r="S57" s="324"/>
      <c r="U57" s="324"/>
      <c r="W57" s="324"/>
      <c r="Y57" s="324"/>
      <c r="Z57" s="589"/>
    </row>
    <row r="58" spans="1:27" ht="13.5" hidden="1" thickBot="1" x14ac:dyDescent="0.25">
      <c r="B58" s="286" t="s">
        <v>650</v>
      </c>
      <c r="C58" s="590"/>
      <c r="D58" s="590"/>
      <c r="E58" s="291"/>
      <c r="F58" s="291"/>
      <c r="I58" s="591" t="e">
        <f>I54-I56</f>
        <v>#REF!</v>
      </c>
      <c r="J58" s="591" t="e">
        <f>J54-J56</f>
        <v>#REF!</v>
      </c>
      <c r="K58" s="591" t="e">
        <f>K54-K56</f>
        <v>#REF!</v>
      </c>
      <c r="L58" s="591" t="e">
        <f>L54-L56</f>
        <v>#REF!</v>
      </c>
      <c r="M58" s="591" t="e">
        <f>M54-M56</f>
        <v>#REF!</v>
      </c>
      <c r="O58" s="591" t="e">
        <f>O54-O56</f>
        <v>#REF!</v>
      </c>
      <c r="Q58" s="591" t="e">
        <f>Q54-Q56</f>
        <v>#REF!</v>
      </c>
      <c r="S58" s="591" t="e">
        <f>S54-S56</f>
        <v>#REF!</v>
      </c>
      <c r="U58" s="591" t="e">
        <f>U54-U56</f>
        <v>#REF!</v>
      </c>
      <c r="W58" s="591" t="e">
        <f>W54-W56</f>
        <v>#REF!</v>
      </c>
      <c r="Y58" s="591" t="e">
        <f>Y54-Y56</f>
        <v>#REF!</v>
      </c>
      <c r="Z58" s="554"/>
    </row>
    <row r="59" spans="1:27" ht="13.5" hidden="1" thickTop="1" x14ac:dyDescent="0.2">
      <c r="B59" s="99"/>
      <c r="C59" s="157"/>
      <c r="D59" s="157"/>
    </row>
    <row r="60" spans="1:27" hidden="1" x14ac:dyDescent="0.2">
      <c r="B60" s="99"/>
      <c r="C60" s="157"/>
      <c r="D60" s="157"/>
    </row>
    <row r="61" spans="1:27" ht="13.5" thickBot="1" x14ac:dyDescent="0.25">
      <c r="B61" s="99"/>
      <c r="C61" s="157"/>
      <c r="D61" s="157"/>
    </row>
    <row r="62" spans="1:27" ht="13.5" hidden="1" thickBot="1" x14ac:dyDescent="0.25">
      <c r="A62" s="592"/>
      <c r="B62" s="99"/>
      <c r="C62" s="99"/>
      <c r="D62" s="99" t="s">
        <v>25</v>
      </c>
      <c r="E62" s="99" t="s">
        <v>235</v>
      </c>
      <c r="F62" s="99" t="s">
        <v>236</v>
      </c>
      <c r="G62" t="s">
        <v>293</v>
      </c>
      <c r="I62" s="99"/>
      <c r="J62" s="99"/>
      <c r="K62" s="99"/>
      <c r="L62" s="99"/>
      <c r="M62" s="99"/>
      <c r="O62" s="99"/>
      <c r="Q62" s="99"/>
      <c r="S62" s="99"/>
      <c r="U62" s="99"/>
      <c r="W62" s="99"/>
      <c r="Y62" s="99"/>
      <c r="Z62" s="99"/>
      <c r="AA62" s="99"/>
    </row>
    <row r="63" spans="1:27" ht="13.5" hidden="1" thickBot="1" x14ac:dyDescent="0.25">
      <c r="A63" s="592"/>
      <c r="B63" s="99" t="s">
        <v>651</v>
      </c>
      <c r="C63" s="99" t="s">
        <v>238</v>
      </c>
      <c r="D63" s="99"/>
      <c r="E63" s="99" t="s">
        <v>239</v>
      </c>
      <c r="F63" s="99" t="s">
        <v>240</v>
      </c>
      <c r="G63" t="s">
        <v>585</v>
      </c>
      <c r="I63" s="99"/>
      <c r="J63" s="99"/>
      <c r="K63" s="99"/>
      <c r="L63" s="99"/>
      <c r="M63" s="99"/>
      <c r="O63" s="99"/>
      <c r="Q63" s="99"/>
      <c r="S63" s="99"/>
      <c r="U63" s="99"/>
      <c r="W63" s="99"/>
      <c r="Y63" s="99"/>
      <c r="Z63" s="99"/>
      <c r="AA63" s="99"/>
    </row>
    <row r="64" spans="1:27" ht="13.5" hidden="1" thickBot="1" x14ac:dyDescent="0.25">
      <c r="A64" s="592"/>
      <c r="B64" s="99"/>
      <c r="C64" s="99" t="s">
        <v>242</v>
      </c>
      <c r="D64" s="99"/>
      <c r="E64" s="99" t="s">
        <v>243</v>
      </c>
      <c r="F64" s="99" t="s">
        <v>243</v>
      </c>
      <c r="G64" t="s">
        <v>243</v>
      </c>
      <c r="I64" s="99"/>
      <c r="J64" s="99"/>
      <c r="K64" s="99"/>
      <c r="L64" s="99"/>
      <c r="M64" s="99"/>
      <c r="O64" s="99"/>
      <c r="Q64" s="99"/>
      <c r="S64" s="99"/>
      <c r="U64" s="99"/>
      <c r="W64" s="99"/>
      <c r="Y64" s="99"/>
      <c r="Z64" s="99"/>
      <c r="AA64" s="99"/>
    </row>
    <row r="65" spans="1:27" ht="13.5" hidden="1" thickBot="1" x14ac:dyDescent="0.25">
      <c r="A65" s="592"/>
      <c r="B65" s="99" t="s">
        <v>652</v>
      </c>
      <c r="C65" s="102">
        <v>380</v>
      </c>
      <c r="D65" s="99" t="s">
        <v>248</v>
      </c>
      <c r="E65" s="99"/>
      <c r="F65" s="99"/>
      <c r="I65" s="99"/>
      <c r="J65" s="99"/>
      <c r="K65" s="99"/>
      <c r="L65" s="99"/>
      <c r="M65" s="99"/>
      <c r="O65" s="99"/>
      <c r="Q65" s="99"/>
      <c r="S65" s="99"/>
      <c r="U65" s="99"/>
      <c r="W65" s="99"/>
      <c r="Y65" s="99"/>
      <c r="Z65" s="99"/>
      <c r="AA65" s="99"/>
    </row>
    <row r="66" spans="1:27" ht="13.5" hidden="1" thickBot="1" x14ac:dyDescent="0.25">
      <c r="A66" s="592"/>
      <c r="B66" s="99" t="s">
        <v>653</v>
      </c>
      <c r="C66" s="102">
        <v>390</v>
      </c>
      <c r="D66" s="99" t="s">
        <v>248</v>
      </c>
      <c r="E66" s="99"/>
      <c r="F66" s="99"/>
      <c r="I66" s="99"/>
      <c r="J66" s="99"/>
      <c r="K66" s="99"/>
      <c r="L66" s="99"/>
      <c r="M66" s="99"/>
      <c r="O66" s="99"/>
      <c r="Q66" s="99"/>
      <c r="S66" s="99"/>
      <c r="U66" s="99"/>
      <c r="W66" s="99"/>
      <c r="Y66" s="99"/>
      <c r="Z66" s="99"/>
      <c r="AA66" s="99"/>
    </row>
    <row r="67" spans="1:27" ht="13.5" hidden="1" thickBot="1" x14ac:dyDescent="0.25">
      <c r="A67" s="592"/>
      <c r="B67" s="99"/>
      <c r="C67" s="99"/>
      <c r="D67" s="99"/>
      <c r="E67" s="99"/>
      <c r="F67" s="99"/>
      <c r="I67" s="99"/>
      <c r="J67" s="99"/>
      <c r="K67" s="99"/>
      <c r="L67" s="99"/>
      <c r="M67" s="99"/>
      <c r="O67" s="99"/>
      <c r="Q67" s="99"/>
      <c r="S67" s="99"/>
      <c r="U67" s="99"/>
      <c r="W67" s="99"/>
      <c r="Y67" s="99"/>
      <c r="Z67" s="99"/>
      <c r="AA67" s="99"/>
    </row>
    <row r="68" spans="1:27" ht="13.5" hidden="1" thickBot="1" x14ac:dyDescent="0.25">
      <c r="A68" s="592"/>
      <c r="B68" s="99"/>
      <c r="C68" s="99"/>
      <c r="D68" s="99"/>
      <c r="E68" s="99"/>
      <c r="F68" s="99"/>
      <c r="I68" s="99"/>
      <c r="J68" s="99"/>
      <c r="K68" s="99"/>
      <c r="L68" s="99"/>
      <c r="M68" s="99"/>
      <c r="O68" s="99"/>
      <c r="Q68" s="99"/>
      <c r="S68" s="99"/>
      <c r="U68" s="99"/>
      <c r="W68" s="99"/>
      <c r="Y68" s="99"/>
      <c r="Z68" s="99"/>
      <c r="AA68" s="99"/>
    </row>
    <row r="69" spans="1:27" ht="13.5" hidden="1" thickBot="1" x14ac:dyDescent="0.25">
      <c r="A69" s="592"/>
      <c r="B69" s="99"/>
      <c r="C69" s="99"/>
      <c r="D69" s="99"/>
      <c r="E69" s="99"/>
      <c r="F69" s="99"/>
      <c r="I69" s="99"/>
      <c r="J69" s="99"/>
      <c r="K69" s="99"/>
      <c r="L69" s="99"/>
      <c r="M69" s="99"/>
      <c r="O69" s="99"/>
      <c r="Q69" s="99"/>
      <c r="S69" s="99"/>
      <c r="U69" s="99"/>
      <c r="W69" s="99"/>
      <c r="Y69" s="99"/>
      <c r="Z69" s="99"/>
      <c r="AA69" s="99"/>
    </row>
    <row r="70" spans="1:27" ht="13.5" thickTop="1" x14ac:dyDescent="0.2">
      <c r="B70" s="261"/>
      <c r="C70" s="195"/>
      <c r="D70" s="195" t="s">
        <v>25</v>
      </c>
      <c r="E70" s="353" t="s">
        <v>235</v>
      </c>
      <c r="F70" s="293" t="s">
        <v>236</v>
      </c>
      <c r="G70" t="s">
        <v>293</v>
      </c>
    </row>
    <row r="71" spans="1:27" ht="25.5" x14ac:dyDescent="0.2">
      <c r="B71" s="355" t="s">
        <v>654</v>
      </c>
      <c r="C71" s="199" t="s">
        <v>238</v>
      </c>
      <c r="D71" s="199"/>
      <c r="E71" s="201" t="s">
        <v>239</v>
      </c>
      <c r="F71" s="202" t="s">
        <v>240</v>
      </c>
      <c r="G71" t="s">
        <v>585</v>
      </c>
    </row>
    <row r="72" spans="1:27" ht="13.5" thickBot="1" x14ac:dyDescent="0.25">
      <c r="B72" s="264"/>
      <c r="C72" s="204" t="s">
        <v>242</v>
      </c>
      <c r="D72" s="204"/>
      <c r="E72" s="278" t="s">
        <v>243</v>
      </c>
      <c r="F72" s="202" t="s">
        <v>243</v>
      </c>
      <c r="G72" t="s">
        <v>243</v>
      </c>
    </row>
    <row r="73" spans="1:27" ht="21.95" customHeight="1" x14ac:dyDescent="0.2">
      <c r="B73" s="473" t="s">
        <v>655</v>
      </c>
      <c r="C73" s="207">
        <v>400</v>
      </c>
      <c r="D73" s="206" t="s">
        <v>248</v>
      </c>
      <c r="E73" s="356"/>
      <c r="F73" s="599"/>
    </row>
    <row r="74" spans="1:27" ht="21.95" customHeight="1" x14ac:dyDescent="0.2">
      <c r="B74" s="246" t="s">
        <v>656</v>
      </c>
      <c r="C74" s="234">
        <v>410</v>
      </c>
      <c r="D74" s="237" t="s">
        <v>248</v>
      </c>
      <c r="E74" s="396"/>
      <c r="F74" s="600"/>
    </row>
    <row r="75" spans="1:27" ht="21.95" customHeight="1" thickBot="1" x14ac:dyDescent="0.25">
      <c r="B75" s="497" t="s">
        <v>657</v>
      </c>
      <c r="C75" s="236">
        <v>420</v>
      </c>
      <c r="D75" s="235" t="s">
        <v>248</v>
      </c>
      <c r="E75" s="240">
        <f>E73-E74</f>
        <v>0</v>
      </c>
      <c r="F75" s="601">
        <f>F73-F74</f>
        <v>0</v>
      </c>
    </row>
    <row r="76" spans="1:27" ht="13.5" thickTop="1" x14ac:dyDescent="0.2">
      <c r="B76" s="99"/>
      <c r="C76" s="157"/>
      <c r="D76" s="157"/>
    </row>
    <row r="77" spans="1:27" x14ac:dyDescent="0.2">
      <c r="B77" s="99"/>
      <c r="C77" s="157"/>
      <c r="D77" s="157"/>
    </row>
    <row r="78" spans="1:27" hidden="1" x14ac:dyDescent="0.2">
      <c r="A78" s="592"/>
      <c r="B78" s="102"/>
      <c r="C78" s="102"/>
      <c r="D78" s="102" t="s">
        <v>25</v>
      </c>
      <c r="E78" s="102" t="s">
        <v>235</v>
      </c>
      <c r="F78" s="102" t="s">
        <v>236</v>
      </c>
      <c r="G78" s="97" t="s">
        <v>293</v>
      </c>
      <c r="H78" s="97" t="s">
        <v>294</v>
      </c>
      <c r="I78" s="102" t="s">
        <v>295</v>
      </c>
      <c r="J78" s="102" t="s">
        <v>296</v>
      </c>
      <c r="K78" s="102" t="s">
        <v>342</v>
      </c>
      <c r="L78" s="102" t="s">
        <v>297</v>
      </c>
      <c r="M78" s="102" t="s">
        <v>298</v>
      </c>
      <c r="N78" s="97" t="s">
        <v>299</v>
      </c>
      <c r="O78" s="102" t="s">
        <v>360</v>
      </c>
      <c r="P78" s="97" t="s">
        <v>361</v>
      </c>
      <c r="Q78" s="102" t="s">
        <v>362</v>
      </c>
      <c r="R78" s="97" t="s">
        <v>576</v>
      </c>
      <c r="S78" s="102" t="s">
        <v>577</v>
      </c>
      <c r="T78" s="97" t="s">
        <v>578</v>
      </c>
      <c r="U78" s="102" t="s">
        <v>579</v>
      </c>
      <c r="V78" s="97" t="s">
        <v>580</v>
      </c>
      <c r="W78" s="102" t="s">
        <v>581</v>
      </c>
      <c r="X78" s="97" t="s">
        <v>582</v>
      </c>
      <c r="Y78" s="102" t="s">
        <v>583</v>
      </c>
      <c r="Z78" s="102" t="s">
        <v>584</v>
      </c>
      <c r="AA78" s="99"/>
    </row>
    <row r="79" spans="1:27" hidden="1" x14ac:dyDescent="0.2">
      <c r="A79" s="592"/>
      <c r="B79" s="102" t="s">
        <v>658</v>
      </c>
      <c r="C79" s="102" t="s">
        <v>238</v>
      </c>
      <c r="D79" s="102"/>
      <c r="E79" s="102" t="s">
        <v>239</v>
      </c>
      <c r="F79" s="102" t="s">
        <v>240</v>
      </c>
      <c r="G79" s="97" t="s">
        <v>585</v>
      </c>
      <c r="H79" s="97" t="s">
        <v>586</v>
      </c>
      <c r="I79" s="102" t="s">
        <v>587</v>
      </c>
      <c r="J79" s="102" t="s">
        <v>588</v>
      </c>
      <c r="K79" s="102" t="s">
        <v>589</v>
      </c>
      <c r="L79" s="102" t="s">
        <v>590</v>
      </c>
      <c r="M79" s="102" t="s">
        <v>591</v>
      </c>
      <c r="N79" s="97" t="s">
        <v>592</v>
      </c>
      <c r="O79" s="102" t="s">
        <v>593</v>
      </c>
      <c r="P79" s="97" t="s">
        <v>594</v>
      </c>
      <c r="Q79" s="102" t="s">
        <v>595</v>
      </c>
      <c r="R79" s="97" t="s">
        <v>596</v>
      </c>
      <c r="S79" s="102" t="s">
        <v>597</v>
      </c>
      <c r="T79" s="97" t="s">
        <v>598</v>
      </c>
      <c r="U79" s="102" t="s">
        <v>599</v>
      </c>
      <c r="V79" s="97" t="s">
        <v>600</v>
      </c>
      <c r="W79" s="102" t="s">
        <v>601</v>
      </c>
      <c r="X79" s="97" t="s">
        <v>602</v>
      </c>
      <c r="Y79" s="102" t="s">
        <v>603</v>
      </c>
      <c r="Z79" s="102" t="s">
        <v>604</v>
      </c>
      <c r="AA79" s="99"/>
    </row>
    <row r="80" spans="1:27" hidden="1" x14ac:dyDescent="0.2">
      <c r="A80" s="592"/>
      <c r="B80" s="102"/>
      <c r="C80" s="102" t="s">
        <v>242</v>
      </c>
      <c r="D80" s="102"/>
      <c r="E80" s="102" t="s">
        <v>243</v>
      </c>
      <c r="F80" s="102" t="s">
        <v>243</v>
      </c>
      <c r="G80" s="97" t="s">
        <v>243</v>
      </c>
      <c r="H80" s="97" t="s">
        <v>243</v>
      </c>
      <c r="I80" s="102" t="s">
        <v>243</v>
      </c>
      <c r="J80" s="102" t="s">
        <v>243</v>
      </c>
      <c r="K80" s="102" t="s">
        <v>243</v>
      </c>
      <c r="L80" s="102" t="s">
        <v>243</v>
      </c>
      <c r="M80" s="102" t="s">
        <v>243</v>
      </c>
      <c r="N80" s="97" t="s">
        <v>243</v>
      </c>
      <c r="O80" s="102" t="s">
        <v>243</v>
      </c>
      <c r="P80" s="97" t="s">
        <v>243</v>
      </c>
      <c r="Q80" s="102" t="s">
        <v>243</v>
      </c>
      <c r="R80" s="97" t="s">
        <v>243</v>
      </c>
      <c r="S80" s="102" t="s">
        <v>243</v>
      </c>
      <c r="T80" s="97" t="s">
        <v>243</v>
      </c>
      <c r="U80" s="102" t="s">
        <v>243</v>
      </c>
      <c r="V80" s="97" t="s">
        <v>243</v>
      </c>
      <c r="W80" s="102" t="s">
        <v>243</v>
      </c>
      <c r="X80" s="97" t="s">
        <v>243</v>
      </c>
      <c r="Y80" s="102" t="s">
        <v>243</v>
      </c>
      <c r="Z80" s="102" t="s">
        <v>243</v>
      </c>
      <c r="AA80" s="99"/>
    </row>
    <row r="81" spans="1:27" hidden="1" x14ac:dyDescent="0.2">
      <c r="A81" s="592"/>
      <c r="B81" s="99" t="s">
        <v>659</v>
      </c>
      <c r="C81" s="99"/>
      <c r="D81" s="99"/>
      <c r="E81" s="99"/>
      <c r="F81" s="99"/>
      <c r="I81" s="99"/>
      <c r="J81" s="99"/>
      <c r="K81" s="99"/>
      <c r="L81" s="99"/>
      <c r="M81" s="99"/>
      <c r="O81" s="99"/>
      <c r="Q81" s="99"/>
      <c r="S81" s="99"/>
      <c r="U81" s="99"/>
      <c r="W81" s="99"/>
      <c r="Y81" s="99"/>
      <c r="Z81" s="99"/>
      <c r="AA81" s="99"/>
    </row>
    <row r="82" spans="1:27" hidden="1" x14ac:dyDescent="0.2">
      <c r="A82" s="592"/>
      <c r="B82" s="99" t="s">
        <v>660</v>
      </c>
      <c r="C82" s="102">
        <v>430</v>
      </c>
      <c r="D82" s="99" t="s">
        <v>248</v>
      </c>
      <c r="E82" s="99"/>
      <c r="F82" s="99"/>
      <c r="I82" s="99"/>
      <c r="J82" s="99"/>
      <c r="K82" s="99"/>
      <c r="L82" s="99"/>
      <c r="M82" s="99"/>
      <c r="O82" s="99"/>
      <c r="Q82" s="99"/>
      <c r="S82" s="99"/>
      <c r="U82" s="99"/>
      <c r="W82" s="99"/>
      <c r="Y82" s="99"/>
      <c r="Z82" s="99"/>
      <c r="AA82" s="99"/>
    </row>
    <row r="83" spans="1:27" hidden="1" x14ac:dyDescent="0.2">
      <c r="A83" s="592"/>
      <c r="B83" s="99" t="s">
        <v>352</v>
      </c>
      <c r="C83" s="102">
        <v>440</v>
      </c>
      <c r="D83" s="99" t="s">
        <v>248</v>
      </c>
      <c r="E83" s="99"/>
      <c r="F83" s="99"/>
      <c r="I83" s="99"/>
      <c r="J83" s="99"/>
      <c r="K83" s="99"/>
      <c r="L83" s="99"/>
      <c r="M83" s="99"/>
      <c r="O83" s="99"/>
      <c r="Q83" s="99"/>
      <c r="S83" s="99"/>
      <c r="U83" s="99"/>
      <c r="W83" s="99"/>
      <c r="Y83" s="99"/>
      <c r="Z83" s="99"/>
      <c r="AA83" s="99"/>
    </row>
    <row r="84" spans="1:27" hidden="1" x14ac:dyDescent="0.2">
      <c r="A84" s="592"/>
      <c r="B84" s="99" t="s">
        <v>661</v>
      </c>
      <c r="C84" s="102">
        <v>450</v>
      </c>
      <c r="D84" s="99" t="s">
        <v>248</v>
      </c>
      <c r="E84" s="99"/>
      <c r="F84" s="99"/>
      <c r="I84" s="99"/>
      <c r="J84" s="99"/>
      <c r="K84" s="99"/>
      <c r="L84" s="99"/>
      <c r="M84" s="99"/>
      <c r="O84" s="99"/>
      <c r="Q84" s="99"/>
      <c r="S84" s="99"/>
      <c r="U84" s="99"/>
      <c r="W84" s="99"/>
      <c r="Y84" s="99"/>
      <c r="Z84" s="99"/>
      <c r="AA84" s="99"/>
    </row>
    <row r="85" spans="1:27" hidden="1" x14ac:dyDescent="0.2">
      <c r="A85" s="592"/>
      <c r="B85" s="99" t="s">
        <v>662</v>
      </c>
      <c r="C85" s="99"/>
      <c r="D85" s="99"/>
      <c r="E85" s="99"/>
      <c r="F85" s="99"/>
      <c r="I85" s="99"/>
      <c r="J85" s="99"/>
      <c r="K85" s="99"/>
      <c r="L85" s="99"/>
      <c r="M85" s="99"/>
      <c r="O85" s="99"/>
      <c r="Q85" s="99"/>
      <c r="S85" s="99"/>
      <c r="U85" s="99"/>
      <c r="W85" s="99"/>
      <c r="Y85" s="99"/>
      <c r="Z85" s="99"/>
      <c r="AA85" s="99"/>
    </row>
    <row r="86" spans="1:27" hidden="1" x14ac:dyDescent="0.2">
      <c r="A86" s="592"/>
      <c r="B86" s="99" t="s">
        <v>663</v>
      </c>
      <c r="C86" s="102">
        <v>460</v>
      </c>
      <c r="D86" s="99" t="s">
        <v>248</v>
      </c>
      <c r="E86" s="99"/>
      <c r="F86" s="99"/>
      <c r="I86" s="99"/>
      <c r="J86" s="99"/>
      <c r="K86" s="99"/>
      <c r="L86" s="99"/>
      <c r="M86" s="99"/>
      <c r="O86" s="99"/>
      <c r="Q86" s="99"/>
      <c r="S86" s="99"/>
      <c r="U86" s="99"/>
      <c r="W86" s="99"/>
      <c r="Y86" s="99"/>
      <c r="Z86" s="99"/>
      <c r="AA86" s="99"/>
    </row>
    <row r="87" spans="1:27" hidden="1" x14ac:dyDescent="0.2">
      <c r="A87" s="592"/>
      <c r="B87" s="99" t="s">
        <v>660</v>
      </c>
      <c r="C87" s="102">
        <v>470</v>
      </c>
      <c r="D87" s="99" t="s">
        <v>248</v>
      </c>
      <c r="E87" s="99"/>
      <c r="F87" s="99"/>
      <c r="I87" s="99"/>
      <c r="J87" s="99"/>
      <c r="K87" s="99"/>
      <c r="L87" s="99"/>
      <c r="M87" s="99"/>
      <c r="O87" s="99"/>
      <c r="Q87" s="99"/>
      <c r="S87" s="99"/>
      <c r="U87" s="99"/>
      <c r="W87" s="99"/>
      <c r="Y87" s="99"/>
      <c r="Z87" s="99"/>
      <c r="AA87" s="99"/>
    </row>
    <row r="88" spans="1:27" hidden="1" x14ac:dyDescent="0.2">
      <c r="A88" s="592"/>
      <c r="B88" s="99" t="s">
        <v>661</v>
      </c>
      <c r="C88" s="102">
        <v>480</v>
      </c>
      <c r="D88" s="99" t="s">
        <v>248</v>
      </c>
      <c r="E88" s="99"/>
      <c r="F88" s="99"/>
      <c r="I88" s="99"/>
      <c r="J88" s="99"/>
      <c r="K88" s="99"/>
      <c r="L88" s="99"/>
      <c r="M88" s="99"/>
      <c r="O88" s="99"/>
      <c r="Q88" s="99"/>
      <c r="S88" s="99"/>
      <c r="U88" s="99"/>
      <c r="W88" s="99"/>
      <c r="Y88" s="99"/>
      <c r="Z88" s="99"/>
      <c r="AA88" s="99"/>
    </row>
    <row r="89" spans="1:27" hidden="1" x14ac:dyDescent="0.2">
      <c r="A89" s="592"/>
      <c r="B89" s="99" t="s">
        <v>664</v>
      </c>
      <c r="C89" s="102"/>
      <c r="D89" s="99"/>
      <c r="E89" s="99"/>
      <c r="F89" s="99"/>
      <c r="I89" s="99"/>
      <c r="J89" s="99"/>
      <c r="K89" s="99"/>
      <c r="L89" s="99"/>
      <c r="M89" s="99"/>
      <c r="O89" s="99"/>
      <c r="Q89" s="99"/>
      <c r="S89" s="99"/>
      <c r="U89" s="99"/>
      <c r="W89" s="99"/>
      <c r="Y89" s="99"/>
      <c r="Z89" s="99"/>
      <c r="AA89" s="99"/>
    </row>
    <row r="90" spans="1:27" hidden="1" x14ac:dyDescent="0.2">
      <c r="A90" s="592"/>
      <c r="B90" s="99" t="s">
        <v>665</v>
      </c>
      <c r="C90" s="102">
        <v>490</v>
      </c>
      <c r="D90" s="99" t="s">
        <v>248</v>
      </c>
      <c r="E90" s="99"/>
      <c r="F90" s="99"/>
      <c r="I90" s="99"/>
      <c r="J90" s="99"/>
      <c r="K90" s="99"/>
      <c r="L90" s="99"/>
      <c r="M90" s="99"/>
      <c r="O90" s="99"/>
      <c r="Q90" s="99"/>
      <c r="S90" s="99"/>
      <c r="U90" s="99"/>
      <c r="W90" s="99"/>
      <c r="Y90" s="99"/>
      <c r="Z90" s="99"/>
      <c r="AA90" s="99"/>
    </row>
    <row r="91" spans="1:27" hidden="1" x14ac:dyDescent="0.2">
      <c r="A91" s="592"/>
      <c r="B91" s="99" t="s">
        <v>666</v>
      </c>
      <c r="C91" s="102">
        <v>500</v>
      </c>
      <c r="D91" s="99" t="s">
        <v>248</v>
      </c>
      <c r="E91" s="99"/>
      <c r="F91" s="99"/>
      <c r="I91" s="99"/>
      <c r="J91" s="99"/>
      <c r="K91" s="99"/>
      <c r="L91" s="99"/>
      <c r="M91" s="99"/>
      <c r="O91" s="99"/>
      <c r="Q91" s="99"/>
      <c r="S91" s="99"/>
      <c r="U91" s="99"/>
      <c r="W91" s="99"/>
      <c r="Y91" s="99"/>
      <c r="Z91" s="99"/>
      <c r="AA91" s="99"/>
    </row>
    <row r="92" spans="1:27" hidden="1" x14ac:dyDescent="0.2">
      <c r="A92" s="592"/>
      <c r="B92" s="99" t="s">
        <v>645</v>
      </c>
      <c r="C92" s="102">
        <v>510</v>
      </c>
      <c r="D92" s="99" t="s">
        <v>248</v>
      </c>
      <c r="E92" s="99"/>
      <c r="F92" s="99"/>
      <c r="I92" s="99"/>
      <c r="J92" s="99"/>
      <c r="K92" s="99"/>
      <c r="L92" s="99"/>
      <c r="M92" s="99"/>
      <c r="O92" s="99"/>
      <c r="Q92" s="99"/>
      <c r="S92" s="99"/>
      <c r="U92" s="99"/>
      <c r="W92" s="99"/>
      <c r="Y92" s="99"/>
      <c r="Z92" s="99"/>
      <c r="AA92" s="99"/>
    </row>
    <row r="93" spans="1:27" hidden="1" x14ac:dyDescent="0.2">
      <c r="A93" s="592"/>
      <c r="B93" s="99" t="s">
        <v>667</v>
      </c>
      <c r="C93" s="102"/>
      <c r="D93" s="99"/>
      <c r="E93" s="99"/>
      <c r="F93" s="99"/>
      <c r="I93" s="99"/>
      <c r="J93" s="99"/>
      <c r="K93" s="99"/>
      <c r="L93" s="99"/>
      <c r="M93" s="99"/>
      <c r="O93" s="99"/>
      <c r="Q93" s="99"/>
      <c r="S93" s="99"/>
      <c r="U93" s="99"/>
      <c r="W93" s="99"/>
      <c r="Y93" s="99"/>
      <c r="Z93" s="99"/>
      <c r="AA93" s="99"/>
    </row>
    <row r="94" spans="1:27" hidden="1" x14ac:dyDescent="0.2">
      <c r="A94" s="592"/>
      <c r="B94" s="99" t="s">
        <v>630</v>
      </c>
      <c r="C94" s="102">
        <v>520</v>
      </c>
      <c r="D94" s="99" t="s">
        <v>248</v>
      </c>
      <c r="E94" s="99"/>
      <c r="F94" s="99"/>
      <c r="I94" s="99"/>
      <c r="J94" s="99"/>
      <c r="K94" s="99"/>
      <c r="L94" s="99"/>
      <c r="M94" s="99"/>
      <c r="O94" s="99"/>
      <c r="Q94" s="99"/>
      <c r="S94" s="99"/>
      <c r="U94" s="99"/>
      <c r="W94" s="99"/>
      <c r="Y94" s="99"/>
      <c r="Z94" s="99"/>
      <c r="AA94" s="99"/>
    </row>
    <row r="95" spans="1:27" hidden="1" x14ac:dyDescent="0.2">
      <c r="A95" s="592"/>
      <c r="B95" s="99" t="s">
        <v>631</v>
      </c>
      <c r="C95" s="102">
        <v>530</v>
      </c>
      <c r="D95" s="99" t="s">
        <v>248</v>
      </c>
      <c r="E95" s="99"/>
      <c r="F95" s="99"/>
      <c r="I95" s="99"/>
      <c r="J95" s="99"/>
      <c r="K95" s="99"/>
      <c r="L95" s="99"/>
      <c r="M95" s="99"/>
      <c r="O95" s="99"/>
      <c r="Q95" s="99"/>
      <c r="S95" s="99"/>
      <c r="U95" s="99"/>
      <c r="W95" s="99"/>
      <c r="Y95" s="99"/>
      <c r="Z95" s="99"/>
      <c r="AA95" s="99"/>
    </row>
    <row r="96" spans="1:27" hidden="1" x14ac:dyDescent="0.2">
      <c r="A96" s="592"/>
      <c r="B96" s="99" t="s">
        <v>340</v>
      </c>
      <c r="C96" s="102">
        <v>540</v>
      </c>
      <c r="D96" s="99" t="s">
        <v>248</v>
      </c>
      <c r="E96" s="99"/>
      <c r="F96" s="99"/>
      <c r="I96" s="99"/>
      <c r="J96" s="99"/>
      <c r="K96" s="99"/>
      <c r="L96" s="99"/>
      <c r="M96" s="99"/>
      <c r="O96" s="99"/>
      <c r="Q96" s="99"/>
      <c r="S96" s="99"/>
      <c r="U96" s="99"/>
      <c r="W96" s="99"/>
      <c r="Y96" s="99"/>
      <c r="Z96" s="99"/>
      <c r="AA96" s="99"/>
    </row>
    <row r="97" spans="1:27" hidden="1" x14ac:dyDescent="0.2">
      <c r="A97" s="592"/>
      <c r="B97" s="99" t="s">
        <v>668</v>
      </c>
      <c r="C97" s="102"/>
      <c r="D97" s="99"/>
      <c r="E97" s="99"/>
      <c r="F97" s="99"/>
      <c r="I97" s="99"/>
      <c r="J97" s="99"/>
      <c r="K97" s="99"/>
      <c r="L97" s="99"/>
      <c r="M97" s="99"/>
      <c r="O97" s="99"/>
      <c r="Q97" s="99"/>
      <c r="S97" s="99"/>
      <c r="U97" s="99"/>
      <c r="W97" s="99"/>
      <c r="Y97" s="99"/>
      <c r="Z97" s="99"/>
      <c r="AA97" s="99"/>
    </row>
    <row r="98" spans="1:27" hidden="1" x14ac:dyDescent="0.2">
      <c r="A98" s="592"/>
      <c r="B98" s="99" t="s">
        <v>669</v>
      </c>
      <c r="C98" s="102">
        <v>550</v>
      </c>
      <c r="D98" s="99" t="s">
        <v>248</v>
      </c>
      <c r="E98" s="99"/>
      <c r="F98" s="99"/>
      <c r="I98" s="99"/>
      <c r="J98" s="99"/>
      <c r="K98" s="99"/>
      <c r="L98" s="99"/>
      <c r="M98" s="99"/>
      <c r="O98" s="99"/>
      <c r="Q98" s="99"/>
      <c r="S98" s="99"/>
      <c r="U98" s="99"/>
      <c r="W98" s="99"/>
      <c r="Y98" s="99"/>
      <c r="Z98" s="99"/>
      <c r="AA98" s="99"/>
    </row>
    <row r="99" spans="1:27" hidden="1" x14ac:dyDescent="0.2">
      <c r="A99" s="592"/>
      <c r="B99" s="99" t="s">
        <v>670</v>
      </c>
      <c r="C99" s="102">
        <v>560</v>
      </c>
      <c r="D99" s="99" t="s">
        <v>248</v>
      </c>
      <c r="E99" s="99"/>
      <c r="F99" s="99"/>
      <c r="I99" s="99"/>
      <c r="J99" s="99"/>
      <c r="K99" s="99"/>
      <c r="L99" s="99"/>
      <c r="M99" s="99"/>
      <c r="O99" s="99"/>
      <c r="Q99" s="99"/>
      <c r="S99" s="99"/>
      <c r="U99" s="99"/>
      <c r="W99" s="99"/>
      <c r="Y99" s="99"/>
      <c r="Z99" s="99"/>
      <c r="AA99" s="99"/>
    </row>
    <row r="100" spans="1:27" hidden="1" x14ac:dyDescent="0.2">
      <c r="A100" s="592"/>
      <c r="B100" s="99" t="s">
        <v>340</v>
      </c>
      <c r="C100" s="102">
        <v>570</v>
      </c>
      <c r="D100" s="99" t="s">
        <v>248</v>
      </c>
      <c r="E100" s="99"/>
      <c r="F100" s="99"/>
      <c r="I100" s="99"/>
      <c r="J100" s="99"/>
      <c r="K100" s="99"/>
      <c r="L100" s="99"/>
      <c r="M100" s="99"/>
      <c r="O100" s="99"/>
      <c r="Q100" s="99"/>
      <c r="S100" s="99"/>
      <c r="U100" s="99"/>
      <c r="W100" s="99"/>
      <c r="Y100" s="99"/>
      <c r="Z100" s="99"/>
      <c r="AA100" s="99"/>
    </row>
    <row r="101" spans="1:27" ht="13.5" hidden="1" thickBot="1" x14ac:dyDescent="0.25">
      <c r="B101" s="99"/>
      <c r="C101" s="157"/>
      <c r="D101" s="157"/>
    </row>
    <row r="102" spans="1:27" ht="13.5" hidden="1" thickTop="1" x14ac:dyDescent="0.2">
      <c r="B102" s="111"/>
      <c r="C102" s="274"/>
      <c r="D102" s="274" t="s">
        <v>25</v>
      </c>
      <c r="E102" s="275" t="s">
        <v>235</v>
      </c>
      <c r="F102" s="275" t="s">
        <v>236</v>
      </c>
      <c r="I102" s="275" t="s">
        <v>293</v>
      </c>
      <c r="J102" s="276" t="s">
        <v>294</v>
      </c>
    </row>
    <row r="103" spans="1:27" ht="25.5" hidden="1" x14ac:dyDescent="0.2">
      <c r="B103" s="508" t="s">
        <v>671</v>
      </c>
      <c r="C103" s="199" t="s">
        <v>238</v>
      </c>
      <c r="D103" s="199"/>
      <c r="E103" s="201" t="s">
        <v>239</v>
      </c>
      <c r="F103" s="201" t="s">
        <v>240</v>
      </c>
      <c r="I103" s="201" t="s">
        <v>606</v>
      </c>
      <c r="J103" s="277" t="s">
        <v>672</v>
      </c>
    </row>
    <row r="104" spans="1:27" ht="13.5" hidden="1" thickBot="1" x14ac:dyDescent="0.25">
      <c r="B104" s="136"/>
      <c r="C104" s="204" t="s">
        <v>242</v>
      </c>
      <c r="D104" s="204"/>
      <c r="E104" s="278" t="s">
        <v>243</v>
      </c>
      <c r="F104" s="278" t="s">
        <v>243</v>
      </c>
      <c r="I104" s="278" t="s">
        <v>243</v>
      </c>
      <c r="J104" s="279" t="s">
        <v>243</v>
      </c>
    </row>
    <row r="105" spans="1:27" ht="21.95" hidden="1" customHeight="1" x14ac:dyDescent="0.2">
      <c r="B105" s="280" t="s">
        <v>673</v>
      </c>
      <c r="C105" s="207">
        <v>430</v>
      </c>
      <c r="D105" s="206" t="s">
        <v>248</v>
      </c>
      <c r="E105" s="209">
        <f>SUM(I105:J105)</f>
        <v>0</v>
      </c>
      <c r="F105" s="593"/>
      <c r="I105" s="209">
        <f>I107-I106</f>
        <v>0</v>
      </c>
      <c r="J105" s="555">
        <f>J107-J106</f>
        <v>0</v>
      </c>
    </row>
    <row r="106" spans="1:27" ht="21.95" hidden="1" customHeight="1" x14ac:dyDescent="0.2">
      <c r="B106" s="522" t="s">
        <v>674</v>
      </c>
      <c r="C106" s="218">
        <v>440</v>
      </c>
      <c r="D106" s="217" t="s">
        <v>248</v>
      </c>
      <c r="E106" s="220">
        <f>SUM(I106:J106)</f>
        <v>0</v>
      </c>
      <c r="F106" s="334"/>
      <c r="I106" s="228"/>
      <c r="J106" s="594"/>
    </row>
    <row r="107" spans="1:27" ht="30" hidden="1" customHeight="1" thickBot="1" x14ac:dyDescent="0.25">
      <c r="B107" s="553" t="s">
        <v>675</v>
      </c>
      <c r="C107" s="289">
        <v>450</v>
      </c>
      <c r="D107" s="288" t="s">
        <v>248</v>
      </c>
      <c r="E107" s="591">
        <f>E11+E12</f>
        <v>0</v>
      </c>
      <c r="F107" s="595"/>
      <c r="I107" s="591">
        <f>J11</f>
        <v>0</v>
      </c>
      <c r="J107" s="596">
        <f>J12</f>
        <v>0</v>
      </c>
    </row>
    <row r="108" spans="1:27" x14ac:dyDescent="0.2">
      <c r="C108" s="157"/>
      <c r="D108" s="157"/>
    </row>
    <row r="109" spans="1:27" x14ac:dyDescent="0.2">
      <c r="C109" s="157"/>
      <c r="D109" s="157"/>
    </row>
    <row r="110" spans="1:27" x14ac:dyDescent="0.2">
      <c r="C110" s="157"/>
      <c r="D110" s="157"/>
    </row>
    <row r="111" spans="1:27" x14ac:dyDescent="0.2">
      <c r="C111" s="157"/>
      <c r="D111" s="157"/>
    </row>
    <row r="112" spans="1:27" x14ac:dyDescent="0.2">
      <c r="C112" s="157"/>
      <c r="D112" s="157"/>
    </row>
    <row r="113" spans="3:4" x14ac:dyDescent="0.2">
      <c r="C113" s="157"/>
      <c r="D113" s="157"/>
    </row>
    <row r="114" spans="3:4" x14ac:dyDescent="0.2">
      <c r="C114" s="157"/>
      <c r="D114" s="157"/>
    </row>
    <row r="115" spans="3:4" x14ac:dyDescent="0.2">
      <c r="C115" s="157"/>
      <c r="D115" s="157"/>
    </row>
    <row r="116" spans="3:4" x14ac:dyDescent="0.2">
      <c r="C116" s="157"/>
      <c r="D116" s="157"/>
    </row>
    <row r="117" spans="3:4" x14ac:dyDescent="0.2">
      <c r="C117" s="157"/>
      <c r="D117" s="157"/>
    </row>
    <row r="118" spans="3:4" x14ac:dyDescent="0.2">
      <c r="C118" s="157"/>
      <c r="D118" s="157"/>
    </row>
    <row r="119" spans="3:4" x14ac:dyDescent="0.2">
      <c r="C119" s="157"/>
      <c r="D119" s="157"/>
    </row>
    <row r="120" spans="3:4" x14ac:dyDescent="0.2">
      <c r="C120" s="157"/>
      <c r="D120" s="157"/>
    </row>
    <row r="121" spans="3:4" x14ac:dyDescent="0.2">
      <c r="C121" s="157"/>
      <c r="D121" s="157"/>
    </row>
    <row r="122" spans="3:4" x14ac:dyDescent="0.2">
      <c r="C122" s="157"/>
      <c r="D122" s="157"/>
    </row>
    <row r="123" spans="3:4" x14ac:dyDescent="0.2">
      <c r="C123" s="157"/>
      <c r="D123" s="157"/>
    </row>
    <row r="124" spans="3:4" x14ac:dyDescent="0.2">
      <c r="C124" s="157"/>
      <c r="D124" s="157"/>
    </row>
    <row r="125" spans="3:4" x14ac:dyDescent="0.2">
      <c r="C125" s="157"/>
      <c r="D125" s="157"/>
    </row>
  </sheetData>
  <sheetProtection password="8EBD" sheet="1" objects="1" scenarios="1"/>
  <dataValidations count="3">
    <dataValidation type="decimal" allowBlank="1" showErrorMessage="1" errorTitle="Number Only" error="Error : This cell can only accept a numeric value with a max of 12 digits." sqref="I107:J107 E105:F107 I105:J105 E75 Y58 W58 U58 S58 Q58 O58 I58:M58 Y56 W56 U56 S56 Q56 O56 I56:M56 Y54:Z54 W54 U54 S54 Q54 O54 I54:M54 Y52 W52 U52 S52 Q52 O52 I52:M52 I48:M50 Z49:Z50 Y48:Y50 W48:W50 U48:U50 S48:S50 Q48:Q50 O48:O50 E48:E50 Y45 W45 U45 S45 Q45 O45 I45:M45 E45 Y42 W42 U42 S42 Q42 O42 I42:M42 E42 F37:F50 Y35:Z35 W35 U35 S35 Q35 O35 I35:M35 E35 F33:F35 Y32:Z32 W32 U32 S32 Q32 O32 I32:M32 E32 E30 F27:F31 Y25:Z25 W25 U25 S25 Q25 O25 I25:M25 E25 F20:F25 Y18:Z18 W18 U18 S18 Q18 O18 I18:M18 E15:E20 E10:E12 F10:F18">
      <formula1>-1000000000000</formula1>
      <formula2>1000000000000</formula2>
    </dataValidation>
    <dataValidation type="whole" allowBlank="1" showErrorMessage="1" errorTitle="Number Only" error="Error : This cell can only accept a numeric value with a max of 12 digits." sqref="F74">
      <formula1>-1000000000000</formula1>
      <formula2>1000000000000</formula2>
    </dataValidation>
    <dataValidation type="whole" allowBlank="1" showErrorMessage="1" errorTitle="Decimal Entry Error" error="Decimal entry not allowed - please enter a whole number only" sqref="Q10 I106:J106 E73:E74 I46:M47 Y46:Y47 W46:W47 U46:U47 S46:S47 Q46:Q47 O46:O47 E46:E47 I43:M44 Y43:Y44 W43:W44 U43:U44 S43:S44 Q43:Q44 O43:O44 E43:E44 I38:M41 W38:W41 U38:U41 S38:S41 Q38:Q41 O38:O41 Y36:Y41 W36 U36 S36 Q36 O36 I36:M36 E36:E41 Y33:Z34 E33:E34 Y31 M31 E31 Z30 I27:M29 Y27:Y29 W27:W29 U27:U29 S27:S29 Q27:Q29 O27:O29 E27:E29 M24 E21:E24 Y20 O19 W17 U17 K17:M17 I17 O16 S15 J11:J12">
      <formula1>-9999999999</formula1>
      <formula2>9999999999</formula2>
    </dataValidation>
  </dataValidations>
  <pageMargins left="0.15748031496063" right="0.35433070866141703" top="0.196850393700787" bottom="0.196850393700787" header="0.11811023622047198" footer="0.11811023622047198"/>
  <pageSetup paperSize="9" scale="43" fitToHeight="2" orientation="landscape" horizontalDpi="90" verticalDpi="90" r:id="rId1"/>
  <rowBreaks count="1" manualBreakCount="1">
    <brk id="51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83</vt:i4>
      </vt:variant>
      <vt:variant>
        <vt:lpstr>Named Ranges</vt:lpstr>
      </vt:variant>
      <vt:variant>
        <vt:i4>57</vt:i4>
      </vt:variant>
    </vt:vector>
  </HeadingPairs>
  <TitlesOfParts>
    <vt:vector size="140" baseType="lpstr">
      <vt:lpstr>Data</vt:lpstr>
      <vt:lpstr>Template</vt:lpstr>
      <vt:lpstr>Introduction</vt:lpstr>
      <vt:lpstr>1415TRU_Index_P13</vt:lpstr>
      <vt:lpstr>1415TRU01_CNE_P13</vt:lpstr>
      <vt:lpstr>1415TRU02_SFP_P13</vt:lpstr>
      <vt:lpstr>1415TRU03_STE_P13</vt:lpstr>
      <vt:lpstr>1415TRU04_CF_P13</vt:lpstr>
      <vt:lpstr>1415TRU05_REV_P13</vt:lpstr>
      <vt:lpstr>1415TRU06_EXP_P13</vt:lpstr>
      <vt:lpstr>1415TRU08_OPL_P13</vt:lpstr>
      <vt:lpstr>1415TRU09_EMP_P13</vt:lpstr>
      <vt:lpstr>1415TRU10_EXT_P13</vt:lpstr>
      <vt:lpstr>1415TRU11_IGF_P13</vt:lpstr>
      <vt:lpstr>1415TRU12_PPE_P13</vt:lpstr>
      <vt:lpstr>1415TRU13_INT_P13</vt:lpstr>
      <vt:lpstr>1415TRU14_IMP_P13</vt:lpstr>
      <vt:lpstr>1415TRU15_ICG_P13</vt:lpstr>
      <vt:lpstr>1415TRU16_AST_P13</vt:lpstr>
      <vt:lpstr>1415TRU17_LIA_P13</vt:lpstr>
      <vt:lpstr>1415TRU18_FL_P13</vt:lpstr>
      <vt:lpstr>1415TRU19_PRV_P13</vt:lpstr>
      <vt:lpstr>1415TRU20_PFI_P13</vt:lpstr>
      <vt:lpstr>1415TRU21_FAL_P13</vt:lpstr>
      <vt:lpstr>1415TRU22_LSP_P13</vt:lpstr>
      <vt:lpstr>1415TRU23_CHF_P13</vt:lpstr>
      <vt:lpstr>1415TRU24_CFN_P13</vt:lpstr>
      <vt:lpstr>2014-15 NHS Trust example profo</vt:lpstr>
      <vt:lpstr>1314TRU01_CNE_MI_P16</vt:lpstr>
      <vt:lpstr>1314TRU01_CNE_P16</vt:lpstr>
      <vt:lpstr>1314TRU02_SFP_MI_P16</vt:lpstr>
      <vt:lpstr>1314TRU03_STE_P16</vt:lpstr>
      <vt:lpstr>1314TRU03_STE_P49</vt:lpstr>
      <vt:lpstr>1314TRU04_CF_P16</vt:lpstr>
      <vt:lpstr>1314TRU05_REV_P16</vt:lpstr>
      <vt:lpstr>1314TRU06_EXP_P16</vt:lpstr>
      <vt:lpstr>1314TRU08_OPL_P16</vt:lpstr>
      <vt:lpstr>1314TRU09_EMP_P16</vt:lpstr>
      <vt:lpstr>1314TRU10_EXT_P16</vt:lpstr>
      <vt:lpstr>1314TRU11_IGF_P16</vt:lpstr>
      <vt:lpstr>1314TRU12_PPE_P16</vt:lpstr>
      <vt:lpstr>1314TRU12_PPE_P49</vt:lpstr>
      <vt:lpstr>1314TRU13_INT_P16</vt:lpstr>
      <vt:lpstr>1314TRU13_INT_P49</vt:lpstr>
      <vt:lpstr>1314TRU15_ICG_P16</vt:lpstr>
      <vt:lpstr>1314TRU15_ICG_P49</vt:lpstr>
      <vt:lpstr>1314TRU16_AST_P16</vt:lpstr>
      <vt:lpstr>1314TRU16_AST_P49</vt:lpstr>
      <vt:lpstr>1314TRU17_LIA_P16</vt:lpstr>
      <vt:lpstr>1314TRU17_LIA_P49</vt:lpstr>
      <vt:lpstr>1314TRU18_FL_P16</vt:lpstr>
      <vt:lpstr>1314TRU19_PRV_P16</vt:lpstr>
      <vt:lpstr>1314TRU19_PRV_P49</vt:lpstr>
      <vt:lpstr>1314TRU20_PFI_P16</vt:lpstr>
      <vt:lpstr>1314TRU21_FAL_P16</vt:lpstr>
      <vt:lpstr>1314TRU25_BVN_P16</vt:lpstr>
      <vt:lpstr>1314TRU54_MI_P16</vt:lpstr>
      <vt:lpstr>1314TRU64_MI_P16</vt:lpstr>
      <vt:lpstr>1314TRU65_MI_P16</vt:lpstr>
      <vt:lpstr>1314TRU_Key Data_P16</vt:lpstr>
      <vt:lpstr>1415TRU01_CNE_P15</vt:lpstr>
      <vt:lpstr>1415TRU01_SCI_MI_P11</vt:lpstr>
      <vt:lpstr>1415TRU02_SFP_P15</vt:lpstr>
      <vt:lpstr>1415TRU04_CF_MI_P09</vt:lpstr>
      <vt:lpstr>1415TRU04_CF_P15</vt:lpstr>
      <vt:lpstr>1415TRU05_REV_P15</vt:lpstr>
      <vt:lpstr>1415TRU06_EXP_P15</vt:lpstr>
      <vt:lpstr>1415TRU14_IMP_P15</vt:lpstr>
      <vt:lpstr>1415TRU19_PRV_P15</vt:lpstr>
      <vt:lpstr>1415TRU20_PFI_MI_P11</vt:lpstr>
      <vt:lpstr>1415TRU20_PFI_P15</vt:lpstr>
      <vt:lpstr>1415TRU55_MI_P11</vt:lpstr>
      <vt:lpstr>1415TRU55_MI_P15</vt:lpstr>
      <vt:lpstr>1415TRU56_MI_P15</vt:lpstr>
      <vt:lpstr>1415TRU57_MI_P11</vt:lpstr>
      <vt:lpstr>1415TRU63_MI_P15</vt:lpstr>
      <vt:lpstr>1415TRU64_MI_P09</vt:lpstr>
      <vt:lpstr>1415TRU64_MI_P15</vt:lpstr>
      <vt:lpstr>1415TRU65_MI_P15</vt:lpstr>
      <vt:lpstr>1415TRU67_MI_P15</vt:lpstr>
      <vt:lpstr>1415TRU_Key Data_P11</vt:lpstr>
      <vt:lpstr>1415TRUb_Metrics_P11</vt:lpstr>
      <vt:lpstr>Sheet1</vt:lpstr>
      <vt:lpstr>C_Contact_List</vt:lpstr>
      <vt:lpstr>CollectionID</vt:lpstr>
      <vt:lpstr>CollectionName</vt:lpstr>
      <vt:lpstr>CollectionPeriodID</vt:lpstr>
      <vt:lpstr>Contact_FirstName</vt:lpstr>
      <vt:lpstr>Contact_Surname</vt:lpstr>
      <vt:lpstr>Contact_Title</vt:lpstr>
      <vt:lpstr>ContactEmail</vt:lpstr>
      <vt:lpstr>ContactFax</vt:lpstr>
      <vt:lpstr>ContactID</vt:lpstr>
      <vt:lpstr>ContactTelephone</vt:lpstr>
      <vt:lpstr>Ctitle</vt:lpstr>
      <vt:lpstr>DistributionName</vt:lpstr>
      <vt:lpstr>HACode</vt:lpstr>
      <vt:lpstr>ListofForms</vt:lpstr>
      <vt:lpstr>MandatoryErrors</vt:lpstr>
      <vt:lpstr>OptionalErrors</vt:lpstr>
      <vt:lpstr>Orgcode</vt:lpstr>
      <vt:lpstr>OrgName</vt:lpstr>
      <vt:lpstr>Period</vt:lpstr>
      <vt:lpstr>'1415TRU_Index_P13'!Print_Area</vt:lpstr>
      <vt:lpstr>'1415TRU01_CNE_P13'!Print_Area</vt:lpstr>
      <vt:lpstr>'1415TRU02_SFP_P13'!Print_Area</vt:lpstr>
      <vt:lpstr>'1415TRU03_STE_P13'!Print_Area</vt:lpstr>
      <vt:lpstr>'1415TRU04_CF_P13'!Print_Area</vt:lpstr>
      <vt:lpstr>'1415TRU05_REV_P13'!Print_Area</vt:lpstr>
      <vt:lpstr>'1415TRU06_EXP_P13'!Print_Area</vt:lpstr>
      <vt:lpstr>'1415TRU08_OPL_P13'!Print_Area</vt:lpstr>
      <vt:lpstr>'1415TRU09_EMP_P13'!Print_Area</vt:lpstr>
      <vt:lpstr>'1415TRU10_EXT_P13'!Print_Area</vt:lpstr>
      <vt:lpstr>'1415TRU11_IGF_P13'!Print_Area</vt:lpstr>
      <vt:lpstr>'1415TRU12_PPE_P13'!Print_Area</vt:lpstr>
      <vt:lpstr>'1415TRU13_INT_P13'!Print_Area</vt:lpstr>
      <vt:lpstr>'1415TRU14_IMP_P13'!Print_Area</vt:lpstr>
      <vt:lpstr>'1415TRU15_ICG_P13'!Print_Area</vt:lpstr>
      <vt:lpstr>'1415TRU16_AST_P13'!Print_Area</vt:lpstr>
      <vt:lpstr>'1415TRU17_LIA_P13'!Print_Area</vt:lpstr>
      <vt:lpstr>'1415TRU18_FL_P13'!Print_Area</vt:lpstr>
      <vt:lpstr>'1415TRU19_PRV_P13'!Print_Area</vt:lpstr>
      <vt:lpstr>'1415TRU20_PFI_P13'!Print_Area</vt:lpstr>
      <vt:lpstr>'1415TRU21_FAL_P13'!Print_Area</vt:lpstr>
      <vt:lpstr>'1415TRU22_LSP_P13'!Print_Area</vt:lpstr>
      <vt:lpstr>'1415TRU23_CHF_P13'!Print_Area</vt:lpstr>
      <vt:lpstr>'1415TRU24_CFN_P13'!Print_Area</vt:lpstr>
      <vt:lpstr>'2014-15 NHS Trust example profo'!Print_Area</vt:lpstr>
      <vt:lpstr>Introduction!Print_Area</vt:lpstr>
      <vt:lpstr>'1415TRU_Index_P13'!Print_Titles</vt:lpstr>
      <vt:lpstr>QHAddr1</vt:lpstr>
      <vt:lpstr>QHAddr2</vt:lpstr>
      <vt:lpstr>QHAddr3</vt:lpstr>
      <vt:lpstr>QHAddr4</vt:lpstr>
      <vt:lpstr>QHContact</vt:lpstr>
      <vt:lpstr>QHEmailAddress</vt:lpstr>
      <vt:lpstr>QHPostcode</vt:lpstr>
      <vt:lpstr>QHTelephone</vt:lpstr>
      <vt:lpstr>ROCode</vt:lpstr>
      <vt:lpstr>V_Contact_List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OISIII</dc:creator>
  <cp:lastModifiedBy>Timms, Mitchell</cp:lastModifiedBy>
  <cp:lastPrinted>2013-01-08T13:41:50Z</cp:lastPrinted>
  <dcterms:created xsi:type="dcterms:W3CDTF">2001-03-22T10:56:18Z</dcterms:created>
  <dcterms:modified xsi:type="dcterms:W3CDTF">2015-08-13T16:34:47Z</dcterms:modified>
</cp:coreProperties>
</file>