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NfJPZLQF9YIiPlVBW83nD5uJvHoZWQ2uGqcZ93Q+bATUUH5dp/FxdG3ylQy2P/B8hx+cRi6tTt6pRiu2IaKAw==" workbookSaltValue="s36MOdefH+osEW2N+zi8/Q==" workbookSpinCount="100000" lockStructure="1"/>
  <bookViews>
    <workbookView xWindow="480" yWindow="156" windowWidth="18192" windowHeight="12012"/>
  </bookViews>
  <sheets>
    <sheet name="Introduction" sheetId="7" r:id="rId1"/>
    <sheet name="Criteria" sheetId="1" r:id="rId2"/>
    <sheet name="Biomethane" sheetId="2" r:id="rId3"/>
    <sheet name="CHP" sheetId="3" r:id="rId4"/>
    <sheet name="Boiler" sheetId="4" r:id="rId5"/>
    <sheet name="Electricity" sheetId="6" r:id="rId6"/>
    <sheet name="Variables calculations" sheetId="5" r:id="rId7"/>
  </sheets>
  <calcPr calcId="152511"/>
</workbook>
</file>

<file path=xl/calcChain.xml><?xml version="1.0" encoding="utf-8"?>
<calcChain xmlns="http://schemas.openxmlformats.org/spreadsheetml/2006/main">
  <c r="D28" i="2" l="1"/>
  <c r="D52" i="5" l="1"/>
  <c r="D51" i="5"/>
  <c r="E68" i="5" s="1"/>
  <c r="H68" i="5" s="1"/>
  <c r="D49" i="5"/>
  <c r="D48" i="5"/>
  <c r="D46" i="5"/>
  <c r="D45" i="5"/>
  <c r="E62" i="5" s="1"/>
  <c r="H62" i="5" s="1"/>
  <c r="D43" i="5"/>
  <c r="D42" i="5"/>
  <c r="D40" i="5"/>
  <c r="D39" i="5"/>
  <c r="F62" i="5" l="1"/>
  <c r="G68" i="5"/>
  <c r="E48" i="5"/>
  <c r="H48" i="5" s="1"/>
  <c r="E65" i="5"/>
  <c r="F68" i="5"/>
  <c r="G62" i="5"/>
  <c r="E43" i="5"/>
  <c r="H43" i="5" s="1"/>
  <c r="E60" i="5"/>
  <c r="E52" i="5"/>
  <c r="E69" i="5"/>
  <c r="E39" i="5"/>
  <c r="F39" i="5" s="1"/>
  <c r="E56" i="5"/>
  <c r="E49" i="5"/>
  <c r="E66" i="5"/>
  <c r="E40" i="5"/>
  <c r="G40" i="5" s="1"/>
  <c r="E57" i="5"/>
  <c r="E45" i="5"/>
  <c r="H45" i="5" s="1"/>
  <c r="E42" i="5"/>
  <c r="H42" i="5" s="1"/>
  <c r="E59" i="5"/>
  <c r="E46" i="5"/>
  <c r="F46" i="5" s="1"/>
  <c r="E63" i="5"/>
  <c r="E51" i="5"/>
  <c r="H51" i="5" s="1"/>
  <c r="G52" i="5"/>
  <c r="H52" i="5"/>
  <c r="H53" i="5" s="1"/>
  <c r="F52" i="5"/>
  <c r="G51" i="5"/>
  <c r="G49" i="5"/>
  <c r="H49" i="5"/>
  <c r="H50" i="5" s="1"/>
  <c r="F49" i="5"/>
  <c r="G48" i="5"/>
  <c r="F48" i="5"/>
  <c r="H46" i="5"/>
  <c r="H47" i="5" s="1"/>
  <c r="G45" i="5"/>
  <c r="F45" i="5"/>
  <c r="G43" i="5"/>
  <c r="G42" i="5"/>
  <c r="F42" i="5"/>
  <c r="H40" i="5"/>
  <c r="B31" i="5"/>
  <c r="B32" i="5" s="1"/>
  <c r="B33" i="5" s="1"/>
  <c r="B34" i="5" s="1"/>
  <c r="J30" i="5" s="1"/>
  <c r="H44" i="5" l="1"/>
  <c r="G39" i="5"/>
  <c r="H57" i="5"/>
  <c r="G57" i="5"/>
  <c r="F57" i="5"/>
  <c r="H56" i="5"/>
  <c r="G56" i="5"/>
  <c r="F56" i="5"/>
  <c r="G44" i="5"/>
  <c r="H39" i="5"/>
  <c r="F50" i="5"/>
  <c r="H66" i="5"/>
  <c r="G66" i="5"/>
  <c r="F66" i="5"/>
  <c r="H69" i="5"/>
  <c r="H70" i="5" s="1"/>
  <c r="G69" i="5"/>
  <c r="G70" i="5" s="1"/>
  <c r="F69" i="5"/>
  <c r="F70" i="5" s="1"/>
  <c r="F60" i="5"/>
  <c r="G60" i="5"/>
  <c r="H60" i="5"/>
  <c r="F47" i="5"/>
  <c r="G46" i="5"/>
  <c r="F59" i="5"/>
  <c r="G59" i="5"/>
  <c r="G61" i="5" s="1"/>
  <c r="H59" i="5"/>
  <c r="F65" i="5"/>
  <c r="F67" i="5" s="1"/>
  <c r="H65" i="5"/>
  <c r="G65" i="5"/>
  <c r="F40" i="5"/>
  <c r="F41" i="5" s="1"/>
  <c r="F43" i="5"/>
  <c r="F44" i="5" s="1"/>
  <c r="F51" i="5"/>
  <c r="F53" i="5" s="1"/>
  <c r="H63" i="5"/>
  <c r="H64" i="5" s="1"/>
  <c r="F63" i="5"/>
  <c r="F64" i="5" s="1"/>
  <c r="G63" i="5"/>
  <c r="G64" i="5" s="1"/>
  <c r="G53" i="5"/>
  <c r="G50" i="5"/>
  <c r="G47" i="5"/>
  <c r="H41" i="5"/>
  <c r="G41" i="5"/>
  <c r="J24" i="5"/>
  <c r="J25" i="5" s="1"/>
  <c r="E17" i="2"/>
  <c r="F17" i="2"/>
  <c r="G17" i="2"/>
  <c r="H17" i="2"/>
  <c r="D17" i="2"/>
  <c r="F61" i="5" l="1"/>
  <c r="H61" i="5"/>
  <c r="J26" i="5"/>
  <c r="J27" i="5" s="1"/>
  <c r="K26" i="5"/>
  <c r="K27" i="5" s="1"/>
  <c r="G67" i="5"/>
  <c r="F58" i="5"/>
  <c r="H67" i="5"/>
  <c r="G58" i="5"/>
  <c r="H58" i="5"/>
  <c r="E21" i="5" l="1"/>
  <c r="E20" i="5"/>
  <c r="F18" i="5"/>
  <c r="D18" i="5"/>
  <c r="F17" i="5"/>
  <c r="D17" i="5"/>
  <c r="H15" i="5"/>
  <c r="G15" i="5"/>
  <c r="F15" i="5"/>
  <c r="E15" i="5"/>
  <c r="D15" i="5"/>
  <c r="H14" i="5"/>
  <c r="G14" i="5"/>
  <c r="F14" i="5"/>
  <c r="E14" i="5"/>
  <c r="D14" i="5"/>
  <c r="H12" i="5"/>
  <c r="G12" i="5"/>
  <c r="F12" i="5"/>
  <c r="E12" i="5"/>
  <c r="H11" i="5"/>
  <c r="G11" i="5"/>
  <c r="F11" i="5"/>
  <c r="E11" i="5"/>
  <c r="H10" i="5"/>
  <c r="G10" i="5"/>
  <c r="F10" i="5"/>
  <c r="E10" i="5"/>
  <c r="D12" i="5"/>
  <c r="D11" i="5"/>
  <c r="D10" i="5"/>
  <c r="D28" i="1" l="1"/>
  <c r="D26" i="1"/>
  <c r="D24" i="1"/>
  <c r="D22" i="1"/>
  <c r="D21" i="1"/>
  <c r="D15" i="1"/>
  <c r="D14" i="1"/>
  <c r="D50" i="1" l="1"/>
  <c r="D20" i="1"/>
  <c r="D19" i="1"/>
  <c r="D18" i="1"/>
  <c r="D17" i="1"/>
  <c r="D13" i="1"/>
  <c r="D11" i="1"/>
  <c r="D12" i="1"/>
  <c r="D10" i="1"/>
</calcChain>
</file>

<file path=xl/sharedStrings.xml><?xml version="1.0" encoding="utf-8"?>
<sst xmlns="http://schemas.openxmlformats.org/spreadsheetml/2006/main" count="403" uniqueCount="183">
  <si>
    <t>Maize</t>
  </si>
  <si>
    <t>Rye</t>
  </si>
  <si>
    <t>Wheat (whole crop)</t>
  </si>
  <si>
    <t>60% saving at 87gCO2eq/MJ</t>
  </si>
  <si>
    <t>70% saving at 87gCO2eq/MJ</t>
  </si>
  <si>
    <t>70% saving at 72gCO2eq/MJ</t>
  </si>
  <si>
    <t>Carbon capture</t>
  </si>
  <si>
    <t>Yes</t>
  </si>
  <si>
    <t>Yield</t>
  </si>
  <si>
    <t>High</t>
  </si>
  <si>
    <t>Low</t>
  </si>
  <si>
    <t>Digestate storage</t>
  </si>
  <si>
    <t>Open</t>
  </si>
  <si>
    <t>Methane leakage</t>
  </si>
  <si>
    <t>Fertiliser</t>
  </si>
  <si>
    <t>60% saving at 198gCO2eq/MJ</t>
  </si>
  <si>
    <t>70% saving at 198gCO2eq/MJ</t>
  </si>
  <si>
    <t>70% saving at 186gCO2eq/MJ</t>
  </si>
  <si>
    <t>60% saving at 186gCO2eq/MJ</t>
  </si>
  <si>
    <t>MJ/kg</t>
  </si>
  <si>
    <t>Nm3/MJ biogas to upgrading</t>
  </si>
  <si>
    <t>+20%</t>
  </si>
  <si>
    <t>Default</t>
  </si>
  <si>
    <t>-20%</t>
  </si>
  <si>
    <t>Biograce II</t>
  </si>
  <si>
    <t>Co-digestion plant (with methane credit for manure)</t>
  </si>
  <si>
    <t>50% crop/50% manure</t>
  </si>
  <si>
    <t>Crops</t>
  </si>
  <si>
    <t>Sugar beet</t>
  </si>
  <si>
    <t>Grass</t>
  </si>
  <si>
    <t>Wheat</t>
  </si>
  <si>
    <t>Digestate drying</t>
  </si>
  <si>
    <t>Not dried (default)</t>
  </si>
  <si>
    <t>No (default)</t>
  </si>
  <si>
    <t>Closed (default)</t>
  </si>
  <si>
    <t>Electrical CHP Efficiency</t>
  </si>
  <si>
    <t>Co-digestion</t>
  </si>
  <si>
    <t>Transport</t>
  </si>
  <si>
    <t>km</t>
  </si>
  <si>
    <t>Scenario</t>
  </si>
  <si>
    <t>&gt;28.8-34.8</t>
  </si>
  <si>
    <t>&gt;26.1-28.8</t>
  </si>
  <si>
    <t>&gt;34.8</t>
  </si>
  <si>
    <t>&gt;79.2</t>
  </si>
  <si>
    <t>&gt;21.6-26.1</t>
  </si>
  <si>
    <t>&gt;55.8-59.4</t>
  </si>
  <si>
    <t>&gt;59.4-74.4</t>
  </si>
  <si>
    <t>&gt;74.4-79.2</t>
  </si>
  <si>
    <t>80% saving at 72gCO2eq/MJ</t>
  </si>
  <si>
    <t>80% saving at 198gCO2eq/MJ</t>
  </si>
  <si>
    <t>80% saving at 186gCO2eq/MJ</t>
  </si>
  <si>
    <t>80% saving at 87gCO2eq/MJ</t>
  </si>
  <si>
    <t>&gt;17.4-21.6</t>
  </si>
  <si>
    <t>&gt;14.4-17.4</t>
  </si>
  <si>
    <t>&lt;=14.4</t>
  </si>
  <si>
    <t>&gt;39.6-55.8</t>
  </si>
  <si>
    <t>&gt;37.2-39.6</t>
  </si>
  <si>
    <t>&lt;=37.2</t>
  </si>
  <si>
    <t>Crops assessed</t>
  </si>
  <si>
    <t>Above threshold</t>
  </si>
  <si>
    <t>Biomethane GHG threshold</t>
  </si>
  <si>
    <t>Electricity GHG threshold</t>
  </si>
  <si>
    <t>Heat GHG threshold</t>
  </si>
  <si>
    <t>60% saving at 72gCO2eq/MJ</t>
  </si>
  <si>
    <t>60% saving at 80gCO2eq/MJ</t>
  </si>
  <si>
    <t>70% saving at 80gCO2eq/MJ</t>
  </si>
  <si>
    <t>80% saving at 80gCO2eq/MJ</t>
  </si>
  <si>
    <t>CHP thermal efficiency</t>
  </si>
  <si>
    <t>80% crop/20% manure</t>
  </si>
  <si>
    <t>Mechanically separated</t>
  </si>
  <si>
    <t>Dried</t>
  </si>
  <si>
    <t>Moisture content</t>
  </si>
  <si>
    <t>Yield relative to default</t>
  </si>
  <si>
    <t>N application relative to default</t>
  </si>
  <si>
    <t>gCO2eq/MJ biomethane</t>
  </si>
  <si>
    <t>(assumes 13.1gCO2eq/MJ biogas produced and 80% biogas to upgrading)</t>
  </si>
  <si>
    <t>Leakage relative to default</t>
  </si>
  <si>
    <t>Efficiency</t>
  </si>
  <si>
    <t>Biomethane Injection</t>
  </si>
  <si>
    <t>Boiler thermal efficiency</t>
  </si>
  <si>
    <t>Variables (all)</t>
  </si>
  <si>
    <t>Variables (CHP)</t>
  </si>
  <si>
    <t>Variables (Boiler)</t>
  </si>
  <si>
    <t>CO2 calculations</t>
  </si>
  <si>
    <t>20% crop/80% manure</t>
  </si>
  <si>
    <t>Typical</t>
  </si>
  <si>
    <t>Format</t>
  </si>
  <si>
    <t>&gt;26.1-32.0</t>
  </si>
  <si>
    <t>&gt;32.0-34.8</t>
  </si>
  <si>
    <t>&gt;24.0-26.1</t>
  </si>
  <si>
    <t>&gt;17.4-24.0</t>
  </si>
  <si>
    <t>&lt;=16.0</t>
  </si>
  <si>
    <t>&gt;16.0-17.4</t>
  </si>
  <si>
    <t>Mid</t>
  </si>
  <si>
    <t>N mid</t>
  </si>
  <si>
    <t>Digestate mid</t>
  </si>
  <si>
    <t>Digestate high</t>
  </si>
  <si>
    <t>Very Low</t>
  </si>
  <si>
    <t>-50%</t>
  </si>
  <si>
    <t>Urea mid</t>
  </si>
  <si>
    <t>Urea high</t>
  </si>
  <si>
    <t>Urea low</t>
  </si>
  <si>
    <t>Digestate low</t>
  </si>
  <si>
    <t>Very low</t>
  </si>
  <si>
    <t>N high</t>
  </si>
  <si>
    <t>N low</t>
  </si>
  <si>
    <t>Variables (biomethane)</t>
  </si>
  <si>
    <t>gCO2</t>
  </si>
  <si>
    <t>mol CO2</t>
  </si>
  <si>
    <t>mol biomethane</t>
  </si>
  <si>
    <t>MJ biomethane</t>
  </si>
  <si>
    <t>kg biomethane</t>
  </si>
  <si>
    <t>g/mol CO2</t>
  </si>
  <si>
    <t>g/mol CH4</t>
  </si>
  <si>
    <t>CH4 in biogas</t>
  </si>
  <si>
    <t>CO2 in biogas</t>
  </si>
  <si>
    <t>All CO2 captured</t>
  </si>
  <si>
    <t>50% CO2 captured</t>
  </si>
  <si>
    <t>Digestate</t>
  </si>
  <si>
    <t>85% of input produced as digestate at 12% dry matter</t>
  </si>
  <si>
    <t>0.113 tonnes of digestate (90% dry matter) per tonne of feedstock</t>
  </si>
  <si>
    <t>* the drier the product the higher the energy in the digestate co-product and therefore the more emissions can be allocated from the biogas to the digestate</t>
  </si>
  <si>
    <t>Boiler (typical efficiency - 85%)</t>
  </si>
  <si>
    <t>Boiler (high efficiency - 90%)</t>
  </si>
  <si>
    <t>Boiler (low efficiency - 80%)</t>
  </si>
  <si>
    <t>Electricity (typical efficiency -35%)</t>
  </si>
  <si>
    <t>Electricity (high efficiency - 40%)</t>
  </si>
  <si>
    <t>Electricity (low efficiency - 30%)</t>
  </si>
  <si>
    <t>Electricity</t>
  </si>
  <si>
    <t>Heat</t>
  </si>
  <si>
    <t>CHP</t>
  </si>
  <si>
    <t>Heat utilisation</t>
  </si>
  <si>
    <t>75% exportable heat utilised</t>
  </si>
  <si>
    <t>25% exportable heat utilised</t>
  </si>
  <si>
    <t>50% exportable heat utilised</t>
  </si>
  <si>
    <t>CHP (35% electrical efficiency; 40% thermal efficiency; 150°C heat; 100% exportable heat utilised)</t>
  </si>
  <si>
    <t>Carbon capture/digestate dried/high yield/0% methane leakage</t>
  </si>
  <si>
    <t>Carbon capture/0%methane leakage/onsite CHP for all energy requirements/methane credit</t>
  </si>
  <si>
    <t>Digestate calculations</t>
  </si>
  <si>
    <t>kg</t>
  </si>
  <si>
    <t>90% DM</t>
  </si>
  <si>
    <t>Manure</t>
  </si>
  <si>
    <t>Co-digestion calculations (2,000 tpa plant)</t>
  </si>
  <si>
    <t>Output</t>
  </si>
  <si>
    <t>50% crop; 50% manure</t>
  </si>
  <si>
    <t>80% crop; 20% manure</t>
  </si>
  <si>
    <t>20% crop; 80% manure</t>
  </si>
  <si>
    <t>Lowest crop scenario</t>
  </si>
  <si>
    <t>Lowest manure scenario</t>
  </si>
  <si>
    <t>kWh(electricity)/ tonne</t>
  </si>
  <si>
    <t>kWh(biomethane)/ tonne</t>
  </si>
  <si>
    <t>tonnes</t>
  </si>
  <si>
    <t>Grass (t/Ha)</t>
  </si>
  <si>
    <t>Sugar beet (t/Ha)</t>
  </si>
  <si>
    <t>Maize (t/Ha)</t>
  </si>
  <si>
    <t>Rye (t/Ha)</t>
  </si>
  <si>
    <t>Wheat (t/Ha)</t>
  </si>
  <si>
    <t>MJ(biogas)/ tonne</t>
  </si>
  <si>
    <t>kWh(biogas)/ tonne</t>
  </si>
  <si>
    <t>40% DM</t>
  </si>
  <si>
    <t>0.17 tonnes of digestate (40% dry matter) per tonne of feedstock</t>
  </si>
  <si>
    <r>
      <t>40% electrical efficiency; 40% thermal efficiency; 150</t>
    </r>
    <r>
      <rPr>
        <sz val="10"/>
        <color theme="1" tint="0.249977111117893"/>
        <rFont val="Calibri"/>
        <family val="2"/>
      </rPr>
      <t>°</t>
    </r>
    <r>
      <rPr>
        <sz val="10"/>
        <color theme="1" tint="0.249977111117893"/>
        <rFont val="Lao UI"/>
        <family val="2"/>
      </rPr>
      <t>C heat; 100% exportable heat utilised</t>
    </r>
  </si>
  <si>
    <r>
      <t>30% electrical efficiency; 40% thermal efficiency; 150</t>
    </r>
    <r>
      <rPr>
        <sz val="10"/>
        <color theme="1" tint="0.249977111117893"/>
        <rFont val="Calibri"/>
        <family val="2"/>
      </rPr>
      <t>°</t>
    </r>
    <r>
      <rPr>
        <sz val="10"/>
        <color theme="1" tint="0.249977111117893"/>
        <rFont val="Lao UI"/>
        <family val="2"/>
      </rPr>
      <t>C heat; 100% exportable heat utilised</t>
    </r>
  </si>
  <si>
    <r>
      <t>35% electrical efficiency; 45% thermal efficiency; 150</t>
    </r>
    <r>
      <rPr>
        <sz val="10"/>
        <color theme="1" tint="0.249977111117893"/>
        <rFont val="Calibri"/>
        <family val="2"/>
      </rPr>
      <t>°</t>
    </r>
    <r>
      <rPr>
        <sz val="10"/>
        <color theme="1" tint="0.249977111117893"/>
        <rFont val="Lao UI"/>
        <family val="2"/>
      </rPr>
      <t>C heat; 100% exportable heat utilised</t>
    </r>
  </si>
  <si>
    <r>
      <t>35% electrical efficiency; 35% thermal efficiency; 150</t>
    </r>
    <r>
      <rPr>
        <sz val="10"/>
        <color theme="1" tint="0.249977111117893"/>
        <rFont val="Calibri"/>
        <family val="2"/>
      </rPr>
      <t>°</t>
    </r>
    <r>
      <rPr>
        <sz val="10"/>
        <color theme="1" tint="0.249977111117893"/>
        <rFont val="Lao UI"/>
        <family val="2"/>
      </rPr>
      <t>C heat; 100% exportable heat utilised</t>
    </r>
  </si>
  <si>
    <r>
      <t>30% electrical efficiency; 35% thermal efficiency; 150</t>
    </r>
    <r>
      <rPr>
        <sz val="10"/>
        <color theme="1" tint="0.249977111117893"/>
        <rFont val="Calibri"/>
        <family val="2"/>
      </rPr>
      <t>°</t>
    </r>
    <r>
      <rPr>
        <sz val="10"/>
        <color theme="1" tint="0.249977111117893"/>
        <rFont val="Lao UI"/>
        <family val="2"/>
      </rPr>
      <t>C heat; 100% exportable heat utilised</t>
    </r>
  </si>
  <si>
    <r>
      <t>40% electrical efficiency; 45% thermal efficiency; 150</t>
    </r>
    <r>
      <rPr>
        <sz val="10"/>
        <color theme="1" tint="0.249977111117893"/>
        <rFont val="Calibri"/>
        <family val="2"/>
      </rPr>
      <t>°</t>
    </r>
    <r>
      <rPr>
        <sz val="10"/>
        <color theme="1" tint="0.249977111117893"/>
        <rFont val="Lao UI"/>
        <family val="2"/>
      </rPr>
      <t>C heat; 100% exportable heat utilised</t>
    </r>
  </si>
  <si>
    <t>Variables Calculations</t>
  </si>
  <si>
    <t>Assessment criteria</t>
  </si>
  <si>
    <t>Assessment Criteria</t>
  </si>
  <si>
    <t>Introduction</t>
  </si>
  <si>
    <t>Sustainability criteria were introduced in the RHI in October 2015 and are now being considered for the FIT Scheme. DECC wishes to align the criteria across schemes and is trying to understand, in the interests of achieving maximum value for money and decarbonisation at least cost, what the impact on biogas and biomethane producers would be if the GHG limit were tightened or the underlying assumptions changed. DECC wish to understand:</t>
  </si>
  <si>
    <r>
      <t>·</t>
    </r>
    <r>
      <rPr>
        <sz val="10"/>
        <color rgb="FF595959"/>
        <rFont val="Times New Roman"/>
        <family val="1"/>
      </rPr>
      <t xml:space="preserve">         </t>
    </r>
    <r>
      <rPr>
        <sz val="10"/>
        <color rgb="FF595959"/>
        <rFont val="Lao UI"/>
        <family val="2"/>
      </rPr>
      <t>What the impacts are of applying alternative fossil-fuel comparators for biomethane and biogas combustion</t>
    </r>
  </si>
  <si>
    <r>
      <t>·</t>
    </r>
    <r>
      <rPr>
        <sz val="10"/>
        <color rgb="FF595959"/>
        <rFont val="Times New Roman"/>
        <family val="1"/>
      </rPr>
      <t xml:space="preserve">         </t>
    </r>
    <r>
      <rPr>
        <sz val="10"/>
        <color rgb="FF595959"/>
        <rFont val="Lao UI"/>
        <family val="2"/>
      </rPr>
      <t>What the impacts are of applying alternative end-use efficiency assumptions for biomethane and biogas combustion</t>
    </r>
  </si>
  <si>
    <r>
      <t>·</t>
    </r>
    <r>
      <rPr>
        <sz val="10"/>
        <color rgb="FF595959"/>
        <rFont val="Times New Roman"/>
        <family val="1"/>
      </rPr>
      <t xml:space="preserve">         </t>
    </r>
    <r>
      <rPr>
        <sz val="10"/>
        <color rgb="FF595959"/>
        <rFont val="Lao UI"/>
        <family val="2"/>
      </rPr>
      <t>The costs/benefits of harmonising the lifecycle GHG emissions limit between schemes</t>
    </r>
  </si>
  <si>
    <r>
      <t>·</t>
    </r>
    <r>
      <rPr>
        <sz val="10"/>
        <color rgb="FF595959"/>
        <rFont val="Times New Roman"/>
        <family val="1"/>
      </rPr>
      <t xml:space="preserve">         </t>
    </r>
    <r>
      <rPr>
        <sz val="10"/>
        <color rgb="FF595959"/>
        <rFont val="Lao UI"/>
        <family val="2"/>
      </rPr>
      <t>The extent to which farm AD plants are resilient to fluctuations in crop yield</t>
    </r>
  </si>
  <si>
    <r>
      <t>·</t>
    </r>
    <r>
      <rPr>
        <sz val="10"/>
        <color rgb="FF595959"/>
        <rFont val="Times New Roman"/>
        <family val="1"/>
      </rPr>
      <t xml:space="preserve">         </t>
    </r>
    <r>
      <rPr>
        <sz val="10"/>
        <color rgb="FF595959"/>
        <rFont val="Lao UI"/>
        <family val="2"/>
      </rPr>
      <t>The key factors which could drive industry behaviour towards lowest carbon abatement costs</t>
    </r>
  </si>
  <si>
    <t xml:space="preserve">NNFCC were commissioned in November 2015 to run a series of default supply chains through our own RED-compliant Biogas and Biomethane Carbon Calculator, an to udnertake sesnsitivity analysis on key operating parameters and variables within each supply chain, for biomethane injection and biogas combustion for both heat and power generation. </t>
  </si>
  <si>
    <t xml:space="preserve">This spreadsheet presents the detailed results of this analysis, as well as listing the assessment criteria ("Criteria") and key variables and assumptions ("Variables Calculations") which underpin the analysis. The spreadsheet should be reviewed in conjunction with the accompanying summary report. </t>
  </si>
  <si>
    <t>Author:           Dr Michael Goldsworthy
Reviewer:        Lucy Hopwood, Lead Consultant - Bioenergy &amp; Anaerobic Digestion</t>
  </si>
  <si>
    <t>Date created:  February 2016</t>
  </si>
  <si>
    <t xml:space="preserve">Website:         www.nnfcc.co.uk
Email:             enquiries@nnfcc.co.uk
Tel:                 +44(0)1904 435182
Address:         Biocentre, York Science Park, Heslington, York, YO10 5DG
</t>
  </si>
  <si>
    <r>
      <rPr>
        <u/>
        <sz val="10"/>
        <color theme="1" tint="0.34998626667073579"/>
        <rFont val="Lao UI"/>
        <family val="2"/>
      </rPr>
      <t>Disclaimer:</t>
    </r>
    <r>
      <rPr>
        <sz val="10"/>
        <color theme="1" tint="0.34998626667073579"/>
        <rFont val="Lao UI"/>
        <family val="2"/>
      </rPr>
      <t xml:space="preserve"> 
While NNFCC considers that the information and opinions given in this work are sound, all parties must rely on their own skill and judgement when making use of it.  NNFCC does not make any representation or warranty, expressed or implied, as to the accuracy or completeness of the information contained in this document and assumes no responsibility for the accuracy or completeness of such information.  NNFCC will not assume any liability to anyone for any loss or damage arising out of the provision of this information.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</si>
</sst>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
  </numFmts>
  <fonts count="15" x14ac:knownFonts="1">
    <font>
      <sz val="11"/>
      <color theme="1"/>
      <name val="Calibri"/>
      <family val="2"/>
      <scheme val="minor"/>
    </font>
    <font>
      <sz val="11"/>
      <color theme="1"/>
      <name val="Calibri"/>
      <family val="2"/>
      <scheme val="minor"/>
    </font>
    <font>
      <sz val="10"/>
      <color theme="0"/>
      <name val="Lao UI"/>
      <family val="2"/>
    </font>
    <font>
      <sz val="10"/>
      <color theme="1" tint="0.249977111117893"/>
      <name val="Lao UI"/>
      <family val="2"/>
    </font>
    <font>
      <b/>
      <sz val="10"/>
      <color theme="1" tint="0.249977111117893"/>
      <name val="Lao UI"/>
      <family val="2"/>
    </font>
    <font>
      <sz val="10"/>
      <color theme="1" tint="0.249977111117893"/>
      <name val="Calibri"/>
      <family val="2"/>
    </font>
    <font>
      <b/>
      <sz val="11"/>
      <color rgb="FF595959"/>
      <name val="Lao UI"/>
      <family val="2"/>
    </font>
    <font>
      <b/>
      <sz val="10"/>
      <color rgb="FF595959"/>
      <name val="Lao UI"/>
      <family val="2"/>
    </font>
    <font>
      <sz val="10"/>
      <color theme="1"/>
      <name val="Lao UI"/>
      <family val="2"/>
    </font>
    <font>
      <sz val="10"/>
      <color rgb="FF595959"/>
      <name val="Lao UI"/>
      <family val="2"/>
    </font>
    <font>
      <sz val="10"/>
      <color rgb="FF595959"/>
      <name val="Symbol"/>
      <family val="1"/>
      <charset val="2"/>
    </font>
    <font>
      <sz val="10"/>
      <color rgb="FF595959"/>
      <name val="Times New Roman"/>
      <family val="1"/>
    </font>
    <font>
      <sz val="10"/>
      <color theme="1" tint="0.34998626667073579"/>
      <name val="Lao UI"/>
      <family val="2"/>
    </font>
    <font>
      <u/>
      <sz val="10"/>
      <color theme="1" tint="0.34998626667073579"/>
      <name val="Lao UI"/>
      <family val="2"/>
    </font>
    <font>
      <b/>
      <sz val="10"/>
      <color theme="1" tint="0.34998626667073579"/>
      <name val="Lao UI"/>
      <family val="2"/>
    </font>
  </fonts>
  <fills count="10">
    <fill>
      <patternFill patternType="none"/>
    </fill>
    <fill>
      <patternFill patternType="gray125"/>
    </fill>
    <fill>
      <patternFill patternType="solid">
        <fgColor rgb="FFDA2A2A"/>
        <bgColor indexed="64"/>
      </patternFill>
    </fill>
    <fill>
      <patternFill patternType="solid">
        <fgColor theme="1" tint="0.249977111117893"/>
        <bgColor indexed="64"/>
      </patternFill>
    </fill>
    <fill>
      <patternFill patternType="solid">
        <fgColor rgb="FFFF9933"/>
        <bgColor indexed="64"/>
      </patternFill>
    </fill>
    <fill>
      <patternFill patternType="solid">
        <fgColor rgb="FFF0DC4A"/>
        <bgColor indexed="64"/>
      </patternFill>
    </fill>
    <fill>
      <patternFill patternType="solid">
        <fgColor rgb="FFC4EB35"/>
        <bgColor indexed="64"/>
      </patternFill>
    </fill>
    <fill>
      <patternFill patternType="solid">
        <fgColor rgb="FF4DD3A6"/>
        <bgColor indexed="64"/>
      </patternFill>
    </fill>
    <fill>
      <patternFill patternType="solid">
        <fgColor rgb="FF6DABD5"/>
        <bgColor indexed="64"/>
      </patternFill>
    </fill>
    <fill>
      <patternFill patternType="solid">
        <fgColor theme="0"/>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3" fillId="9" borderId="0" xfId="0" applyFont="1" applyFill="1"/>
    <xf numFmtId="0" fontId="3" fillId="9" borderId="0" xfId="0" applyFont="1" applyFill="1" applyAlignment="1">
      <alignment horizontal="center" wrapText="1"/>
    </xf>
    <xf numFmtId="0" fontId="3" fillId="9" borderId="1" xfId="0" applyFont="1" applyFill="1" applyBorder="1"/>
    <xf numFmtId="0" fontId="2" fillId="3" borderId="1" xfId="0" applyFont="1" applyFill="1" applyBorder="1"/>
    <xf numFmtId="0" fontId="3" fillId="2" borderId="1" xfId="0" applyFont="1" applyFill="1" applyBorder="1"/>
    <xf numFmtId="0" fontId="3" fillId="4" borderId="1" xfId="0" applyFont="1" applyFill="1" applyBorder="1"/>
    <xf numFmtId="0" fontId="3" fillId="5" borderId="1" xfId="0" applyFont="1" applyFill="1" applyBorder="1"/>
    <xf numFmtId="0" fontId="3" fillId="6" borderId="1" xfId="0" applyFont="1" applyFill="1" applyBorder="1"/>
    <xf numFmtId="0" fontId="3" fillId="7" borderId="1" xfId="0" applyFont="1" applyFill="1" applyBorder="1"/>
    <xf numFmtId="0" fontId="3" fillId="8" borderId="1" xfId="0" applyFont="1" applyFill="1" applyBorder="1"/>
    <xf numFmtId="9" fontId="3" fillId="9" borderId="1" xfId="1" applyFont="1" applyFill="1" applyBorder="1"/>
    <xf numFmtId="0" fontId="3" fillId="9" borderId="1" xfId="0" applyFont="1" applyFill="1" applyBorder="1" applyAlignment="1">
      <alignment horizontal="center" wrapText="1"/>
    </xf>
    <xf numFmtId="0" fontId="3" fillId="9" borderId="0" xfId="0" applyFont="1" applyFill="1" applyBorder="1" applyAlignment="1">
      <alignment horizontal="center" vertical="center"/>
    </xf>
    <xf numFmtId="0" fontId="3" fillId="9" borderId="0" xfId="0" applyFont="1" applyFill="1" applyBorder="1"/>
    <xf numFmtId="9" fontId="3" fillId="9" borderId="0" xfId="0" quotePrefix="1" applyNumberFormat="1" applyFont="1" applyFill="1" applyBorder="1"/>
    <xf numFmtId="9" fontId="3" fillId="9" borderId="0" xfId="1" applyFont="1" applyFill="1" applyBorder="1"/>
    <xf numFmtId="0" fontId="3" fillId="9" borderId="0" xfId="0" applyFont="1" applyFill="1" applyBorder="1" applyAlignment="1">
      <alignment horizontal="center" vertical="center" wrapText="1"/>
    </xf>
    <xf numFmtId="1" fontId="3" fillId="9" borderId="0" xfId="0" applyNumberFormat="1" applyFont="1" applyFill="1" applyBorder="1"/>
    <xf numFmtId="0" fontId="3" fillId="9" borderId="1" xfId="0" applyFont="1" applyFill="1" applyBorder="1" applyAlignment="1">
      <alignment horizontal="center" vertical="center" wrapText="1"/>
    </xf>
    <xf numFmtId="9" fontId="3" fillId="9" borderId="1" xfId="0" quotePrefix="1" applyNumberFormat="1" applyFont="1" applyFill="1" applyBorder="1" applyAlignment="1">
      <alignment horizontal="right"/>
    </xf>
    <xf numFmtId="164" fontId="3" fillId="9" borderId="1" xfId="0" applyNumberFormat="1" applyFont="1" applyFill="1" applyBorder="1"/>
    <xf numFmtId="0" fontId="3" fillId="9" borderId="1" xfId="0" applyFont="1" applyFill="1" applyBorder="1" applyAlignment="1"/>
    <xf numFmtId="0" fontId="3" fillId="9" borderId="1" xfId="0" applyFont="1" applyFill="1" applyBorder="1" applyAlignment="1">
      <alignment horizontal="left" vertical="center"/>
    </xf>
    <xf numFmtId="9" fontId="3" fillId="9" borderId="1" xfId="0" applyNumberFormat="1" applyFont="1" applyFill="1" applyBorder="1"/>
    <xf numFmtId="0" fontId="4" fillId="9" borderId="0" xfId="0" applyFont="1" applyFill="1"/>
    <xf numFmtId="0" fontId="4" fillId="9" borderId="0" xfId="0" applyFont="1" applyFill="1" applyBorder="1" applyAlignment="1">
      <alignment horizontal="center" vertical="center"/>
    </xf>
    <xf numFmtId="9" fontId="3" fillId="9" borderId="0" xfId="0" quotePrefix="1" applyNumberFormat="1" applyFont="1" applyFill="1" applyBorder="1" applyAlignment="1">
      <alignment horizontal="right"/>
    </xf>
    <xf numFmtId="0" fontId="4" fillId="9" borderId="0" xfId="0" applyFont="1" applyFill="1" applyBorder="1" applyAlignment="1">
      <alignment horizontal="left" vertical="center"/>
    </xf>
    <xf numFmtId="0" fontId="3" fillId="9" borderId="0" xfId="0" applyFont="1" applyFill="1" applyBorder="1" applyAlignment="1">
      <alignment horizontal="center" wrapText="1"/>
    </xf>
    <xf numFmtId="0" fontId="3" fillId="9" borderId="0" xfId="0" applyFont="1" applyFill="1" applyBorder="1" applyAlignment="1">
      <alignment horizontal="center"/>
    </xf>
    <xf numFmtId="0" fontId="3" fillId="9" borderId="1" xfId="0" applyFont="1" applyFill="1" applyBorder="1" applyAlignment="1">
      <alignment horizontal="left" vertical="center"/>
    </xf>
    <xf numFmtId="2" fontId="3" fillId="9" borderId="1" xfId="0" applyNumberFormat="1" applyFont="1" applyFill="1" applyBorder="1"/>
    <xf numFmtId="0" fontId="3" fillId="9" borderId="1" xfId="0" applyFont="1" applyFill="1" applyBorder="1" applyAlignment="1">
      <alignment horizontal="left" vertical="center"/>
    </xf>
    <xf numFmtId="0" fontId="3" fillId="9" borderId="1" xfId="0" applyFont="1" applyFill="1" applyBorder="1" applyAlignment="1">
      <alignment horizontal="left"/>
    </xf>
    <xf numFmtId="0" fontId="3" fillId="9" borderId="2" xfId="0" applyFont="1" applyFill="1" applyBorder="1" applyAlignment="1">
      <alignment horizontal="left" vertical="center"/>
    </xf>
    <xf numFmtId="0" fontId="3" fillId="9" borderId="4" xfId="0" applyFont="1" applyFill="1" applyBorder="1" applyAlignment="1">
      <alignment horizontal="left" vertical="center"/>
    </xf>
    <xf numFmtId="0" fontId="3" fillId="9" borderId="3" xfId="0" applyFont="1" applyFill="1" applyBorder="1" applyAlignment="1">
      <alignment horizontal="left" vertical="center"/>
    </xf>
    <xf numFmtId="0" fontId="3" fillId="9" borderId="5" xfId="0" applyFont="1" applyFill="1" applyBorder="1"/>
    <xf numFmtId="0" fontId="3" fillId="9" borderId="9" xfId="0" applyFont="1" applyFill="1" applyBorder="1"/>
    <xf numFmtId="0" fontId="3" fillId="9" borderId="1" xfId="0" applyFont="1" applyFill="1" applyBorder="1" applyAlignment="1">
      <alignment wrapText="1"/>
    </xf>
    <xf numFmtId="165" fontId="3" fillId="9" borderId="1" xfId="0" applyNumberFormat="1" applyFont="1" applyFill="1" applyBorder="1"/>
    <xf numFmtId="165" fontId="3" fillId="9" borderId="5" xfId="0" applyNumberFormat="1" applyFont="1" applyFill="1" applyBorder="1"/>
    <xf numFmtId="165" fontId="3" fillId="9" borderId="9" xfId="0" applyNumberFormat="1" applyFont="1" applyFill="1" applyBorder="1"/>
    <xf numFmtId="165" fontId="3" fillId="9" borderId="0" xfId="0" applyNumberFormat="1" applyFont="1" applyFill="1"/>
    <xf numFmtId="9" fontId="3" fillId="9" borderId="0" xfId="0" applyNumberFormat="1" applyFont="1" applyFill="1"/>
    <xf numFmtId="3" fontId="3" fillId="9" borderId="1" xfId="0" applyNumberFormat="1" applyFont="1" applyFill="1" applyBorder="1"/>
    <xf numFmtId="0" fontId="3" fillId="9" borderId="0" xfId="0" applyFont="1" applyFill="1" applyAlignment="1">
      <alignment wrapText="1"/>
    </xf>
    <xf numFmtId="166" fontId="3" fillId="9" borderId="0" xfId="0" applyNumberFormat="1" applyFont="1" applyFill="1"/>
    <xf numFmtId="166" fontId="3" fillId="9" borderId="1" xfId="0" applyNumberFormat="1" applyFont="1" applyFill="1" applyBorder="1"/>
    <xf numFmtId="166" fontId="3" fillId="9" borderId="5" xfId="0" applyNumberFormat="1" applyFont="1" applyFill="1" applyBorder="1"/>
    <xf numFmtId="166" fontId="4" fillId="9" borderId="1" xfId="0" applyNumberFormat="1" applyFont="1" applyFill="1" applyBorder="1"/>
    <xf numFmtId="0" fontId="3" fillId="9" borderId="0" xfId="0" applyFont="1" applyFill="1" applyBorder="1" applyAlignment="1">
      <alignment horizontal="left" vertical="center"/>
    </xf>
    <xf numFmtId="165" fontId="3" fillId="9" borderId="0" xfId="0" applyNumberFormat="1" applyFont="1" applyFill="1" applyBorder="1"/>
    <xf numFmtId="165" fontId="3" fillId="9" borderId="1" xfId="0" applyNumberFormat="1" applyFont="1" applyFill="1" applyBorder="1" applyAlignment="1"/>
    <xf numFmtId="0" fontId="4" fillId="9" borderId="1" xfId="0" applyFont="1" applyFill="1" applyBorder="1"/>
    <xf numFmtId="0" fontId="4" fillId="9" borderId="1" xfId="0" applyFont="1" applyFill="1" applyBorder="1" applyAlignment="1">
      <alignment wrapText="1"/>
    </xf>
    <xf numFmtId="9" fontId="4" fillId="9" borderId="1" xfId="0" applyNumberFormat="1" applyFont="1" applyFill="1" applyBorder="1" applyAlignment="1">
      <alignment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0" borderId="12" xfId="0" applyFont="1" applyBorder="1" applyAlignment="1">
      <alignment horizontal="left" vertical="center"/>
    </xf>
    <xf numFmtId="0" fontId="8" fillId="0" borderId="13" xfId="0" applyFont="1" applyBorder="1"/>
    <xf numFmtId="0" fontId="8" fillId="0" borderId="13" xfId="0" applyFont="1" applyBorder="1" applyAlignment="1">
      <alignment wrapText="1"/>
    </xf>
    <xf numFmtId="0" fontId="9" fillId="0" borderId="13" xfId="0" applyFont="1" applyBorder="1" applyAlignment="1">
      <alignment vertical="center" wrapText="1"/>
    </xf>
    <xf numFmtId="0" fontId="10" fillId="0" borderId="13" xfId="0" applyFont="1" applyBorder="1" applyAlignment="1">
      <alignment horizontal="left" vertical="center" wrapText="1"/>
    </xf>
    <xf numFmtId="0" fontId="12" fillId="0" borderId="13" xfId="0" applyFont="1" applyBorder="1" applyAlignment="1">
      <alignment vertical="center" wrapText="1"/>
    </xf>
    <xf numFmtId="0" fontId="12" fillId="0" borderId="13" xfId="0" applyFont="1" applyBorder="1" applyAlignment="1">
      <alignment vertical="top" wrapText="1"/>
    </xf>
    <xf numFmtId="0" fontId="14" fillId="0" borderId="13" xfId="0" applyFont="1" applyBorder="1" applyAlignment="1">
      <alignment vertical="center" wrapText="1"/>
    </xf>
    <xf numFmtId="0" fontId="8" fillId="0" borderId="13" xfId="0" applyFont="1" applyBorder="1" applyAlignment="1">
      <alignment vertical="top"/>
    </xf>
    <xf numFmtId="0" fontId="3" fillId="9" borderId="1" xfId="0" applyFont="1" applyFill="1" applyBorder="1" applyAlignment="1">
      <alignment horizontal="center" vertical="center"/>
    </xf>
    <xf numFmtId="0" fontId="3" fillId="9" borderId="0" xfId="0" applyFont="1" applyFill="1" applyAlignment="1">
      <alignment horizontal="center" wrapText="1"/>
    </xf>
    <xf numFmtId="0" fontId="3" fillId="9" borderId="1" xfId="0" applyFont="1" applyFill="1" applyBorder="1" applyAlignment="1">
      <alignment horizontal="center" vertical="center" wrapText="1"/>
    </xf>
    <xf numFmtId="0" fontId="3" fillId="9" borderId="5" xfId="0" applyFont="1" applyFill="1" applyBorder="1" applyAlignment="1">
      <alignment horizontal="left"/>
    </xf>
    <xf numFmtId="0" fontId="3" fillId="9" borderId="6" xfId="0" applyFont="1" applyFill="1" applyBorder="1" applyAlignment="1">
      <alignment horizontal="left"/>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1" xfId="0" applyFont="1" applyFill="1" applyBorder="1" applyAlignment="1">
      <alignment horizontal="center" wrapText="1"/>
    </xf>
    <xf numFmtId="0" fontId="3" fillId="9" borderId="1" xfId="0" applyFont="1" applyFill="1" applyBorder="1" applyAlignment="1">
      <alignment horizontal="center"/>
    </xf>
    <xf numFmtId="0" fontId="3" fillId="9" borderId="1" xfId="0" applyFont="1" applyFill="1" applyBorder="1" applyAlignment="1">
      <alignment horizontal="left" vertical="center"/>
    </xf>
    <xf numFmtId="0" fontId="3" fillId="9" borderId="1" xfId="0" applyFont="1" applyFill="1" applyBorder="1" applyAlignment="1">
      <alignment horizontal="left"/>
    </xf>
    <xf numFmtId="0" fontId="3" fillId="9" borderId="2" xfId="0" applyFont="1" applyFill="1" applyBorder="1" applyAlignment="1">
      <alignment horizontal="left" vertical="center"/>
    </xf>
    <xf numFmtId="0" fontId="3" fillId="9" borderId="4" xfId="0" applyFont="1" applyFill="1" applyBorder="1" applyAlignment="1">
      <alignment horizontal="left" vertical="center"/>
    </xf>
    <xf numFmtId="0" fontId="3" fillId="9" borderId="3" xfId="0" applyFont="1" applyFill="1" applyBorder="1" applyAlignment="1">
      <alignment horizontal="left" vertical="center"/>
    </xf>
    <xf numFmtId="0" fontId="4" fillId="9" borderId="8" xfId="0" applyFont="1" applyFill="1" applyBorder="1" applyAlignment="1">
      <alignment horizontal="left" wrapText="1"/>
    </xf>
    <xf numFmtId="0" fontId="4" fillId="9" borderId="10" xfId="0" applyFont="1" applyFill="1" applyBorder="1" applyAlignment="1">
      <alignment horizontal="left" wrapText="1"/>
    </xf>
    <xf numFmtId="0" fontId="3" fillId="9" borderId="5" xfId="0" applyFont="1" applyFill="1" applyBorder="1" applyAlignment="1">
      <alignment horizontal="center"/>
    </xf>
    <xf numFmtId="0" fontId="3" fillId="9" borderId="9" xfId="0" applyFont="1" applyFill="1" applyBorder="1" applyAlignment="1">
      <alignment horizontal="center"/>
    </xf>
    <xf numFmtId="0" fontId="3" fillId="9" borderId="1" xfId="0" applyFont="1" applyFill="1" applyBorder="1" applyAlignment="1">
      <alignment horizontal="left" wrapText="1"/>
    </xf>
    <xf numFmtId="0" fontId="3" fillId="9" borderId="5" xfId="0" applyFont="1" applyFill="1" applyBorder="1" applyAlignment="1">
      <alignment horizontal="left" wrapText="1"/>
    </xf>
    <xf numFmtId="0" fontId="3" fillId="9" borderId="6" xfId="0" applyFont="1" applyFill="1" applyBorder="1" applyAlignment="1">
      <alignment horizontal="left" wrapText="1"/>
    </xf>
    <xf numFmtId="0" fontId="4" fillId="9" borderId="1" xfId="0" applyFont="1" applyFill="1" applyBorder="1" applyAlignment="1">
      <alignment horizontal="left" vertical="center"/>
    </xf>
    <xf numFmtId="0" fontId="3" fillId="9" borderId="7" xfId="0" applyFont="1" applyFill="1" applyBorder="1" applyAlignment="1">
      <alignment horizontal="left"/>
    </xf>
    <xf numFmtId="0" fontId="4" fillId="9" borderId="2" xfId="0" applyFont="1" applyFill="1" applyBorder="1" applyAlignment="1">
      <alignment horizontal="left" vertical="center"/>
    </xf>
    <xf numFmtId="0" fontId="4" fillId="9" borderId="3" xfId="0" applyFont="1" applyFill="1" applyBorder="1" applyAlignment="1">
      <alignment horizontal="left" vertical="center"/>
    </xf>
    <xf numFmtId="0" fontId="4" fillId="9" borderId="4" xfId="0" applyFont="1" applyFill="1" applyBorder="1" applyAlignment="1">
      <alignment horizontal="left" vertical="center"/>
    </xf>
  </cellXfs>
  <cellStyles count="2">
    <cellStyle name="Normal" xfId="0" builtinId="0"/>
    <cellStyle name="Percent" xfId="1" builtinId="5"/>
  </cellStyles>
  <dxfs count="192">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
      <fill>
        <patternFill>
          <bgColor rgb="FF6DABD5"/>
        </patternFill>
      </fill>
    </dxf>
    <dxf>
      <fill>
        <patternFill>
          <bgColor rgb="FF4DD3A6"/>
        </patternFill>
      </fill>
    </dxf>
    <dxf>
      <fill>
        <patternFill>
          <bgColor rgb="FFC4EB35"/>
        </patternFill>
      </fill>
    </dxf>
    <dxf>
      <fill>
        <patternFill>
          <bgColor rgb="FFF0DC4A"/>
        </patternFill>
      </fill>
    </dxf>
    <dxf>
      <fill>
        <patternFill>
          <bgColor rgb="FFFF9933"/>
        </patternFill>
      </fill>
    </dxf>
    <dxf>
      <fill>
        <patternFill>
          <bgColor rgb="FFDA2A2A"/>
        </patternFill>
      </fill>
    </dxf>
    <dxf>
      <font>
        <color theme="0"/>
      </font>
      <fill>
        <patternFill>
          <bgColor theme="1" tint="0.24994659260841701"/>
        </patternFill>
      </fill>
    </dxf>
    <dxf>
      <fill>
        <patternFill>
          <bgColor theme="0"/>
        </patternFill>
      </fill>
    </dxf>
  </dxfs>
  <tableStyles count="0" defaultTableStyle="TableStyleMedium2" defaultPivotStyle="PivotStyleLight16"/>
  <colors>
    <mruColors>
      <color rgb="FF6DABD5"/>
      <color rgb="FF4DD3A6"/>
      <color rgb="FF1BD3A6"/>
      <color rgb="FFC4EB35"/>
      <color rgb="FFF0DC4A"/>
      <color rgb="FFFF9933"/>
      <color rgb="FFDA2A2A"/>
      <color rgb="FF3A8DC6"/>
      <color rgb="FF00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2495550</xdr:colOff>
      <xdr:row>6</xdr:row>
      <xdr:rowOff>19050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1</xdr:col>
      <xdr:colOff>2743200</xdr:colOff>
      <xdr:row>0</xdr:row>
      <xdr:rowOff>142875</xdr:rowOff>
    </xdr:from>
    <xdr:to>
      <xdr:col>2</xdr:col>
      <xdr:colOff>219075</xdr:colOff>
      <xdr:row>4</xdr:row>
      <xdr:rowOff>141157</xdr:rowOff>
    </xdr:to>
    <xdr:sp macro="" textlink="">
      <xdr:nvSpPr>
        <xdr:cNvPr id="3" name="TextBox 2"/>
        <xdr:cNvSpPr txBox="1"/>
      </xdr:nvSpPr>
      <xdr:spPr>
        <a:xfrm>
          <a:off x="2990850" y="142875"/>
          <a:ext cx="4686300" cy="722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1257300</xdr:colOff>
      <xdr:row>5</xdr:row>
      <xdr:rowOff>142875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2</xdr:col>
      <xdr:colOff>1514475</xdr:colOff>
      <xdr:row>1</xdr:row>
      <xdr:rowOff>0</xdr:rowOff>
    </xdr:from>
    <xdr:to>
      <xdr:col>7</xdr:col>
      <xdr:colOff>704850</xdr:colOff>
      <xdr:row>4</xdr:row>
      <xdr:rowOff>169732</xdr:rowOff>
    </xdr:to>
    <xdr:sp macro="" textlink="">
      <xdr:nvSpPr>
        <xdr:cNvPr id="4" name="TextBox 3"/>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1028700</xdr:colOff>
      <xdr:row>5</xdr:row>
      <xdr:rowOff>142875</xdr:rowOff>
    </xdr:to>
    <xdr:pic>
      <xdr:nvPicPr>
        <xdr:cNvPr id="6" name="Picture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2</xdr:col>
      <xdr:colOff>1285875</xdr:colOff>
      <xdr:row>1</xdr:row>
      <xdr:rowOff>0</xdr:rowOff>
    </xdr:from>
    <xdr:to>
      <xdr:col>7</xdr:col>
      <xdr:colOff>552450</xdr:colOff>
      <xdr:row>4</xdr:row>
      <xdr:rowOff>169732</xdr:rowOff>
    </xdr:to>
    <xdr:sp macro="" textlink="">
      <xdr:nvSpPr>
        <xdr:cNvPr id="7" name="TextBox 6"/>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1152525</xdr:colOff>
      <xdr:row>6</xdr:row>
      <xdr:rowOff>19050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2</xdr:col>
      <xdr:colOff>1409700</xdr:colOff>
      <xdr:row>1</xdr:row>
      <xdr:rowOff>0</xdr:rowOff>
    </xdr:from>
    <xdr:to>
      <xdr:col>8</xdr:col>
      <xdr:colOff>304800</xdr:colOff>
      <xdr:row>5</xdr:row>
      <xdr:rowOff>45907</xdr:rowOff>
    </xdr:to>
    <xdr:sp macro="" textlink="">
      <xdr:nvSpPr>
        <xdr:cNvPr id="5" name="TextBox 4"/>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400050</xdr:colOff>
      <xdr:row>6</xdr:row>
      <xdr:rowOff>19050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2</xdr:col>
      <xdr:colOff>657225</xdr:colOff>
      <xdr:row>1</xdr:row>
      <xdr:rowOff>0</xdr:rowOff>
    </xdr:from>
    <xdr:to>
      <xdr:col>10</xdr:col>
      <xdr:colOff>85725</xdr:colOff>
      <xdr:row>5</xdr:row>
      <xdr:rowOff>45907</xdr:rowOff>
    </xdr:to>
    <xdr:sp macro="" textlink="">
      <xdr:nvSpPr>
        <xdr:cNvPr id="5" name="TextBox 4"/>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400050</xdr:colOff>
      <xdr:row>6</xdr:row>
      <xdr:rowOff>19050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2</xdr:col>
      <xdr:colOff>657225</xdr:colOff>
      <xdr:row>1</xdr:row>
      <xdr:rowOff>0</xdr:rowOff>
    </xdr:from>
    <xdr:to>
      <xdr:col>8</xdr:col>
      <xdr:colOff>685800</xdr:colOff>
      <xdr:row>5</xdr:row>
      <xdr:rowOff>45907</xdr:rowOff>
    </xdr:to>
    <xdr:sp macro="" textlink="">
      <xdr:nvSpPr>
        <xdr:cNvPr id="5" name="TextBox 4"/>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790575</xdr:colOff>
      <xdr:row>5</xdr:row>
      <xdr:rowOff>142875</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6" t="7994" r="5917" b="10736"/>
        <a:stretch/>
      </xdr:blipFill>
      <xdr:spPr>
        <a:xfrm>
          <a:off x="0" y="0"/>
          <a:ext cx="2743200" cy="1104900"/>
        </a:xfrm>
        <a:prstGeom prst="rect">
          <a:avLst/>
        </a:prstGeom>
      </xdr:spPr>
    </xdr:pic>
    <xdr:clientData/>
  </xdr:twoCellAnchor>
  <xdr:twoCellAnchor>
    <xdr:from>
      <xdr:col>4</xdr:col>
      <xdr:colOff>152400</xdr:colOff>
      <xdr:row>1</xdr:row>
      <xdr:rowOff>0</xdr:rowOff>
    </xdr:from>
    <xdr:to>
      <xdr:col>9</xdr:col>
      <xdr:colOff>542925</xdr:colOff>
      <xdr:row>4</xdr:row>
      <xdr:rowOff>169732</xdr:rowOff>
    </xdr:to>
    <xdr:sp macro="" textlink="">
      <xdr:nvSpPr>
        <xdr:cNvPr id="6" name="TextBox 5"/>
        <xdr:cNvSpPr txBox="1"/>
      </xdr:nvSpPr>
      <xdr:spPr>
        <a:xfrm>
          <a:off x="3000375" y="180975"/>
          <a:ext cx="4686300" cy="76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rgbClr val="595959"/>
              </a:solidFill>
              <a:effectLst/>
              <a:latin typeface="Lao UI" panose="020B0502040204020203" pitchFamily="34" charset="0"/>
            </a:rPr>
            <a:t>Assessment of impact on biogas producers of proposed changes to sustainability criteria </a:t>
          </a:r>
          <a:r>
            <a:rPr lang="en-GB">
              <a:effectLst/>
            </a:rPr>
            <a:t> </a:t>
          </a:r>
        </a:p>
        <a:p>
          <a:endParaRPr lang="en-GB" sz="400">
            <a:effectLst/>
          </a:endParaRPr>
        </a:p>
        <a:p>
          <a:r>
            <a:rPr lang="en-GB" sz="1050">
              <a:effectLst/>
            </a:rPr>
            <a:t>Project number: 16-015.6</a:t>
          </a:r>
          <a:endParaRPr lang="en-GB"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E21"/>
  <sheetViews>
    <sheetView tabSelected="1" workbookViewId="0">
      <selection activeCell="D20" sqref="D20"/>
    </sheetView>
  </sheetViews>
  <sheetFormatPr defaultColWidth="9.109375" defaultRowHeight="15" x14ac:dyDescent="0.35"/>
  <cols>
    <col min="1" max="1" width="3.6640625" style="61" customWidth="1"/>
    <col min="2" max="2" width="108.109375" style="62" customWidth="1"/>
    <col min="3" max="16384" width="9.109375" style="61"/>
  </cols>
  <sheetData>
    <row r="8" spans="2:5" ht="14.25" x14ac:dyDescent="0.25">
      <c r="B8" s="67" t="s">
        <v>170</v>
      </c>
    </row>
    <row r="9" spans="2:5" ht="60.75" customHeight="1" x14ac:dyDescent="0.25">
      <c r="B9" s="63" t="s">
        <v>171</v>
      </c>
    </row>
    <row r="10" spans="2:5" x14ac:dyDescent="0.35">
      <c r="B10" s="64" t="s">
        <v>172</v>
      </c>
    </row>
    <row r="11" spans="2:5" x14ac:dyDescent="0.35">
      <c r="B11" s="64" t="s">
        <v>173</v>
      </c>
    </row>
    <row r="12" spans="2:5" x14ac:dyDescent="0.35">
      <c r="B12" s="64" t="s">
        <v>174</v>
      </c>
    </row>
    <row r="13" spans="2:5" x14ac:dyDescent="0.35">
      <c r="B13" s="64" t="s">
        <v>175</v>
      </c>
    </row>
    <row r="14" spans="2:5" x14ac:dyDescent="0.35">
      <c r="B14" s="64" t="s">
        <v>176</v>
      </c>
    </row>
    <row r="15" spans="2:5" ht="48" customHeight="1" x14ac:dyDescent="0.25">
      <c r="B15" s="65" t="s">
        <v>177</v>
      </c>
      <c r="E15" s="68"/>
    </row>
    <row r="16" spans="2:5" ht="42.75" x14ac:dyDescent="0.25">
      <c r="B16" s="65" t="s">
        <v>178</v>
      </c>
    </row>
    <row r="18" spans="2:2" ht="14.25" x14ac:dyDescent="0.25">
      <c r="B18" s="65" t="s">
        <v>180</v>
      </c>
    </row>
    <row r="19" spans="2:2" ht="44.25" customHeight="1" x14ac:dyDescent="0.25">
      <c r="B19" s="66" t="s">
        <v>179</v>
      </c>
    </row>
    <row r="20" spans="2:2" ht="91.5" customHeight="1" x14ac:dyDescent="0.25">
      <c r="B20" s="66" t="s">
        <v>182</v>
      </c>
    </row>
    <row r="21" spans="2:2" ht="75" x14ac:dyDescent="0.35">
      <c r="B21" s="65" t="s">
        <v>181</v>
      </c>
    </row>
  </sheetData>
  <sheetProtection algorithmName="SHA-512" hashValue="ZhiQS8KRCg3CE9bashQyZ076HgYat/eGU/wYj2tS6IGsMo6PcLptiUAYB7tZ8u2hX4OQtChMbLNnFahQzTAa9g==" saltValue="FK8FUbSA4JtQ0L6DYSFM3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0"/>
  <sheetViews>
    <sheetView workbookViewId="0">
      <selection activeCell="G24" sqref="G24"/>
    </sheetView>
  </sheetViews>
  <sheetFormatPr defaultColWidth="9.109375" defaultRowHeight="15" x14ac:dyDescent="0.35"/>
  <cols>
    <col min="1" max="1" width="3.6640625" style="1" customWidth="1"/>
    <col min="2" max="2" width="18.5546875" style="1" customWidth="1"/>
    <col min="3" max="3" width="26.6640625" style="1" customWidth="1"/>
    <col min="4" max="4" width="21.5546875" style="1" customWidth="1"/>
    <col min="5" max="5" width="10.6640625" style="1" customWidth="1"/>
    <col min="6" max="6" width="9.109375" style="1"/>
    <col min="7" max="7" width="14.33203125" style="1" bestFit="1" customWidth="1"/>
    <col min="8" max="8" width="17.5546875" style="1" bestFit="1" customWidth="1"/>
    <col min="9" max="9" width="14" style="1" customWidth="1"/>
    <col min="10" max="11" width="9.109375" style="1"/>
    <col min="12" max="12" width="11.33203125" style="1" bestFit="1" customWidth="1"/>
    <col min="13" max="16384" width="9.109375" style="1"/>
  </cols>
  <sheetData>
    <row r="2" spans="1:8" ht="16.5" x14ac:dyDescent="0.25">
      <c r="D2" s="58"/>
    </row>
    <row r="3" spans="1:8" ht="16.5" x14ac:dyDescent="0.25">
      <c r="D3" s="59"/>
    </row>
    <row r="5" spans="1:8" ht="14.25" x14ac:dyDescent="0.25">
      <c r="D5" s="60" t="s">
        <v>168</v>
      </c>
    </row>
    <row r="8" spans="1:8" ht="14.25" x14ac:dyDescent="0.25">
      <c r="B8" s="25" t="s">
        <v>169</v>
      </c>
    </row>
    <row r="9" spans="1:8" x14ac:dyDescent="0.35">
      <c r="A9" s="70"/>
      <c r="B9" s="71" t="s">
        <v>60</v>
      </c>
      <c r="C9" s="3" t="s">
        <v>59</v>
      </c>
      <c r="D9" s="3"/>
      <c r="E9" s="4" t="s">
        <v>42</v>
      </c>
      <c r="G9" s="69" t="s">
        <v>58</v>
      </c>
      <c r="H9" s="3" t="s">
        <v>27</v>
      </c>
    </row>
    <row r="10" spans="1:8" x14ac:dyDescent="0.35">
      <c r="A10" s="70"/>
      <c r="B10" s="71"/>
      <c r="C10" s="3" t="s">
        <v>3</v>
      </c>
      <c r="D10" s="3">
        <f>87*0.4</f>
        <v>34.800000000000004</v>
      </c>
      <c r="E10" s="5" t="s">
        <v>40</v>
      </c>
      <c r="G10" s="69"/>
      <c r="H10" s="3" t="s">
        <v>0</v>
      </c>
    </row>
    <row r="11" spans="1:8" x14ac:dyDescent="0.35">
      <c r="A11" s="70"/>
      <c r="B11" s="71"/>
      <c r="C11" s="3" t="s">
        <v>63</v>
      </c>
      <c r="D11" s="3">
        <f>72*0.4</f>
        <v>28.8</v>
      </c>
      <c r="E11" s="6" t="s">
        <v>41</v>
      </c>
      <c r="G11" s="69"/>
      <c r="H11" s="3" t="s">
        <v>1</v>
      </c>
    </row>
    <row r="12" spans="1:8" x14ac:dyDescent="0.35">
      <c r="A12" s="70"/>
      <c r="B12" s="71"/>
      <c r="C12" s="3" t="s">
        <v>4</v>
      </c>
      <c r="D12" s="3">
        <f>87*0.3</f>
        <v>26.099999999999998</v>
      </c>
      <c r="E12" s="7" t="s">
        <v>44</v>
      </c>
      <c r="G12" s="69"/>
      <c r="H12" s="3" t="s">
        <v>2</v>
      </c>
    </row>
    <row r="13" spans="1:8" x14ac:dyDescent="0.35">
      <c r="A13" s="70"/>
      <c r="B13" s="71"/>
      <c r="C13" s="3" t="s">
        <v>5</v>
      </c>
      <c r="D13" s="3">
        <f>72*0.3</f>
        <v>21.599999999999998</v>
      </c>
      <c r="E13" s="8" t="s">
        <v>52</v>
      </c>
      <c r="G13" s="69"/>
      <c r="H13" s="3" t="s">
        <v>28</v>
      </c>
    </row>
    <row r="14" spans="1:8" x14ac:dyDescent="0.35">
      <c r="A14" s="70"/>
      <c r="B14" s="71"/>
      <c r="C14" s="3" t="s">
        <v>51</v>
      </c>
      <c r="D14" s="3">
        <f>87*0.2</f>
        <v>17.400000000000002</v>
      </c>
      <c r="E14" s="9" t="s">
        <v>53</v>
      </c>
    </row>
    <row r="15" spans="1:8" x14ac:dyDescent="0.35">
      <c r="A15" s="70"/>
      <c r="B15" s="71"/>
      <c r="C15" s="3" t="s">
        <v>48</v>
      </c>
      <c r="D15" s="3">
        <f>72*0.2</f>
        <v>14.4</v>
      </c>
      <c r="E15" s="10" t="s">
        <v>54</v>
      </c>
      <c r="G15" s="3" t="s">
        <v>86</v>
      </c>
    </row>
    <row r="16" spans="1:8" x14ac:dyDescent="0.35">
      <c r="A16" s="70"/>
      <c r="B16" s="71" t="s">
        <v>61</v>
      </c>
      <c r="C16" s="3" t="s">
        <v>59</v>
      </c>
      <c r="D16" s="3"/>
      <c r="E16" s="4" t="s">
        <v>43</v>
      </c>
    </row>
    <row r="17" spans="1:7" x14ac:dyDescent="0.35">
      <c r="A17" s="70"/>
      <c r="B17" s="71"/>
      <c r="C17" s="3" t="s">
        <v>15</v>
      </c>
      <c r="D17" s="3">
        <f>198*0.4</f>
        <v>79.2</v>
      </c>
      <c r="E17" s="5" t="s">
        <v>47</v>
      </c>
    </row>
    <row r="18" spans="1:7" x14ac:dyDescent="0.35">
      <c r="A18" s="70"/>
      <c r="B18" s="71"/>
      <c r="C18" s="3" t="s">
        <v>18</v>
      </c>
      <c r="D18" s="3">
        <f>186*0.4</f>
        <v>74.400000000000006</v>
      </c>
      <c r="E18" s="6" t="s">
        <v>46</v>
      </c>
    </row>
    <row r="19" spans="1:7" x14ac:dyDescent="0.35">
      <c r="A19" s="70"/>
      <c r="B19" s="71"/>
      <c r="C19" s="3" t="s">
        <v>16</v>
      </c>
      <c r="D19" s="3">
        <f>198*0.3</f>
        <v>59.4</v>
      </c>
      <c r="E19" s="7" t="s">
        <v>45</v>
      </c>
    </row>
    <row r="20" spans="1:7" x14ac:dyDescent="0.35">
      <c r="A20" s="70"/>
      <c r="B20" s="71"/>
      <c r="C20" s="3" t="s">
        <v>17</v>
      </c>
      <c r="D20" s="3">
        <f>186*0.3</f>
        <v>55.8</v>
      </c>
      <c r="E20" s="8" t="s">
        <v>55</v>
      </c>
    </row>
    <row r="21" spans="1:7" x14ac:dyDescent="0.35">
      <c r="A21" s="70"/>
      <c r="B21" s="71"/>
      <c r="C21" s="3" t="s">
        <v>49</v>
      </c>
      <c r="D21" s="3">
        <f>198*0.2</f>
        <v>39.6</v>
      </c>
      <c r="E21" s="9" t="s">
        <v>56</v>
      </c>
    </row>
    <row r="22" spans="1:7" x14ac:dyDescent="0.35">
      <c r="A22" s="70"/>
      <c r="B22" s="71"/>
      <c r="C22" s="3" t="s">
        <v>50</v>
      </c>
      <c r="D22" s="3">
        <f>186*0.2</f>
        <v>37.200000000000003</v>
      </c>
      <c r="E22" s="10" t="s">
        <v>57</v>
      </c>
      <c r="G22" s="3" t="s">
        <v>86</v>
      </c>
    </row>
    <row r="23" spans="1:7" x14ac:dyDescent="0.35">
      <c r="A23" s="2"/>
      <c r="B23" s="69" t="s">
        <v>62</v>
      </c>
      <c r="C23" s="3" t="s">
        <v>59</v>
      </c>
      <c r="D23" s="3"/>
      <c r="E23" s="4" t="s">
        <v>42</v>
      </c>
    </row>
    <row r="24" spans="1:7" x14ac:dyDescent="0.35">
      <c r="A24" s="2"/>
      <c r="B24" s="69"/>
      <c r="C24" s="3" t="s">
        <v>3</v>
      </c>
      <c r="D24" s="3">
        <f>87*0.4</f>
        <v>34.800000000000004</v>
      </c>
      <c r="E24" s="5" t="s">
        <v>88</v>
      </c>
    </row>
    <row r="25" spans="1:7" x14ac:dyDescent="0.35">
      <c r="A25" s="2"/>
      <c r="B25" s="69"/>
      <c r="C25" s="3" t="s">
        <v>64</v>
      </c>
      <c r="D25" s="3">
        <v>32</v>
      </c>
      <c r="E25" s="6" t="s">
        <v>87</v>
      </c>
    </row>
    <row r="26" spans="1:7" x14ac:dyDescent="0.35">
      <c r="A26" s="2"/>
      <c r="B26" s="69"/>
      <c r="C26" s="3" t="s">
        <v>4</v>
      </c>
      <c r="D26" s="3">
        <f>87*0.3</f>
        <v>26.099999999999998</v>
      </c>
      <c r="E26" s="7" t="s">
        <v>89</v>
      </c>
    </row>
    <row r="27" spans="1:7" x14ac:dyDescent="0.35">
      <c r="A27" s="2"/>
      <c r="B27" s="69"/>
      <c r="C27" s="3" t="s">
        <v>65</v>
      </c>
      <c r="D27" s="3">
        <v>24</v>
      </c>
      <c r="E27" s="8" t="s">
        <v>90</v>
      </c>
    </row>
    <row r="28" spans="1:7" x14ac:dyDescent="0.35">
      <c r="A28" s="2"/>
      <c r="B28" s="69"/>
      <c r="C28" s="3" t="s">
        <v>51</v>
      </c>
      <c r="D28" s="3">
        <f>87*0.2</f>
        <v>17.400000000000002</v>
      </c>
      <c r="E28" s="9" t="s">
        <v>92</v>
      </c>
    </row>
    <row r="29" spans="1:7" x14ac:dyDescent="0.35">
      <c r="A29" s="2"/>
      <c r="B29" s="69"/>
      <c r="C29" s="3" t="s">
        <v>66</v>
      </c>
      <c r="D29" s="3">
        <v>16</v>
      </c>
      <c r="E29" s="10" t="s">
        <v>91</v>
      </c>
      <c r="G29" s="3" t="s">
        <v>86</v>
      </c>
    </row>
    <row r="30" spans="1:7" ht="14.25" x14ac:dyDescent="0.25">
      <c r="A30" s="2"/>
      <c r="B30" s="13"/>
      <c r="C30" s="14"/>
      <c r="D30" s="14"/>
    </row>
    <row r="31" spans="1:7" ht="14.25" x14ac:dyDescent="0.25">
      <c r="A31" s="2"/>
      <c r="C31" s="14"/>
      <c r="D31" s="14"/>
    </row>
    <row r="32" spans="1:7" ht="14.25" customHeight="1" x14ac:dyDescent="0.25">
      <c r="B32" s="28" t="s">
        <v>80</v>
      </c>
    </row>
    <row r="33" spans="2:4" x14ac:dyDescent="0.35">
      <c r="C33" s="3" t="s">
        <v>39</v>
      </c>
      <c r="D33" s="3" t="s">
        <v>72</v>
      </c>
    </row>
    <row r="34" spans="2:4" x14ac:dyDescent="0.35">
      <c r="B34" s="69" t="s">
        <v>8</v>
      </c>
      <c r="C34" s="3" t="s">
        <v>9</v>
      </c>
      <c r="D34" s="20" t="s">
        <v>21</v>
      </c>
    </row>
    <row r="35" spans="2:4" x14ac:dyDescent="0.35">
      <c r="B35" s="69"/>
      <c r="C35" s="3" t="s">
        <v>10</v>
      </c>
      <c r="D35" s="20" t="s">
        <v>23</v>
      </c>
    </row>
    <row r="36" spans="2:4" x14ac:dyDescent="0.35">
      <c r="B36" s="69"/>
      <c r="C36" s="3" t="s">
        <v>97</v>
      </c>
      <c r="D36" s="20" t="s">
        <v>98</v>
      </c>
    </row>
    <row r="38" spans="2:4" ht="30" x14ac:dyDescent="0.35">
      <c r="C38" s="3" t="s">
        <v>39</v>
      </c>
      <c r="D38" s="19" t="s">
        <v>73</v>
      </c>
    </row>
    <row r="39" spans="2:4" ht="14.25" customHeight="1" x14ac:dyDescent="0.35">
      <c r="B39" s="74" t="s">
        <v>14</v>
      </c>
      <c r="C39" s="3" t="s">
        <v>9</v>
      </c>
      <c r="D39" s="20" t="s">
        <v>21</v>
      </c>
    </row>
    <row r="40" spans="2:4" x14ac:dyDescent="0.35">
      <c r="B40" s="75"/>
      <c r="C40" s="3" t="s">
        <v>22</v>
      </c>
      <c r="D40" s="20">
        <v>0</v>
      </c>
    </row>
    <row r="41" spans="2:4" x14ac:dyDescent="0.35">
      <c r="B41" s="76"/>
      <c r="C41" s="3" t="s">
        <v>10</v>
      </c>
      <c r="D41" s="20" t="s">
        <v>23</v>
      </c>
    </row>
    <row r="42" spans="2:4" x14ac:dyDescent="0.35">
      <c r="B42" s="13"/>
      <c r="C42" s="14"/>
      <c r="D42" s="27"/>
    </row>
    <row r="43" spans="2:4" x14ac:dyDescent="0.35">
      <c r="C43" s="3" t="s">
        <v>39</v>
      </c>
      <c r="D43" s="3" t="s">
        <v>38</v>
      </c>
    </row>
    <row r="44" spans="2:4" x14ac:dyDescent="0.35">
      <c r="B44" s="77" t="s">
        <v>37</v>
      </c>
      <c r="C44" s="3" t="s">
        <v>22</v>
      </c>
      <c r="D44" s="3">
        <v>20</v>
      </c>
    </row>
    <row r="45" spans="2:4" x14ac:dyDescent="0.35">
      <c r="B45" s="78"/>
      <c r="C45" s="3" t="s">
        <v>9</v>
      </c>
      <c r="D45" s="3">
        <v>50</v>
      </c>
    </row>
    <row r="46" spans="2:4" x14ac:dyDescent="0.35">
      <c r="B46" s="17"/>
      <c r="C46" s="14"/>
      <c r="D46" s="14"/>
    </row>
    <row r="47" spans="2:4" x14ac:dyDescent="0.35">
      <c r="B47" s="13"/>
      <c r="C47" s="14"/>
      <c r="D47" s="27"/>
    </row>
    <row r="48" spans="2:4" x14ac:dyDescent="0.35">
      <c r="B48" s="26" t="s">
        <v>106</v>
      </c>
      <c r="C48" s="14"/>
      <c r="D48" s="27"/>
    </row>
    <row r="49" spans="2:5" ht="30" x14ac:dyDescent="0.35">
      <c r="C49" s="3" t="s">
        <v>39</v>
      </c>
      <c r="D49" s="12" t="s">
        <v>20</v>
      </c>
    </row>
    <row r="50" spans="2:5" x14ac:dyDescent="0.35">
      <c r="B50" s="69" t="s">
        <v>6</v>
      </c>
      <c r="C50" s="3" t="s">
        <v>7</v>
      </c>
      <c r="D50" s="21">
        <f>'Variables calculations'!B34</f>
        <v>39.111111111111114</v>
      </c>
    </row>
    <row r="51" spans="2:5" x14ac:dyDescent="0.35">
      <c r="B51" s="69"/>
      <c r="C51" s="3" t="s">
        <v>33</v>
      </c>
      <c r="D51" s="3">
        <v>0</v>
      </c>
    </row>
    <row r="53" spans="2:5" x14ac:dyDescent="0.35">
      <c r="B53" s="13"/>
      <c r="C53" s="14"/>
      <c r="D53" s="15"/>
    </row>
    <row r="54" spans="2:5" x14ac:dyDescent="0.35">
      <c r="C54" s="3" t="s">
        <v>39</v>
      </c>
      <c r="D54" s="22" t="s">
        <v>74</v>
      </c>
    </row>
    <row r="55" spans="2:5" x14ac:dyDescent="0.35">
      <c r="B55" s="69" t="s">
        <v>11</v>
      </c>
      <c r="C55" s="3" t="s">
        <v>12</v>
      </c>
      <c r="D55" s="3">
        <v>16.399999999999999</v>
      </c>
      <c r="E55" s="1" t="s">
        <v>75</v>
      </c>
    </row>
    <row r="56" spans="2:5" x14ac:dyDescent="0.35">
      <c r="B56" s="69"/>
      <c r="C56" s="3" t="s">
        <v>34</v>
      </c>
      <c r="D56" s="3">
        <v>0</v>
      </c>
    </row>
    <row r="57" spans="2:5" x14ac:dyDescent="0.35">
      <c r="B57" s="13"/>
      <c r="C57" s="14"/>
      <c r="D57" s="14"/>
    </row>
    <row r="58" spans="2:5" x14ac:dyDescent="0.35">
      <c r="C58" s="3" t="s">
        <v>39</v>
      </c>
      <c r="D58" s="3" t="s">
        <v>76</v>
      </c>
    </row>
    <row r="59" spans="2:5" x14ac:dyDescent="0.35">
      <c r="B59" s="69" t="s">
        <v>13</v>
      </c>
      <c r="C59" s="3" t="s">
        <v>10</v>
      </c>
      <c r="D59" s="11">
        <v>0</v>
      </c>
    </row>
    <row r="60" spans="2:5" x14ac:dyDescent="0.35">
      <c r="B60" s="69"/>
      <c r="C60" s="3" t="s">
        <v>22</v>
      </c>
      <c r="D60" s="11">
        <v>0.02</v>
      </c>
    </row>
    <row r="61" spans="2:5" x14ac:dyDescent="0.35">
      <c r="B61" s="69"/>
      <c r="C61" s="3" t="s">
        <v>24</v>
      </c>
      <c r="D61" s="11">
        <v>0.03</v>
      </c>
    </row>
    <row r="62" spans="2:5" x14ac:dyDescent="0.35">
      <c r="B62" s="13"/>
      <c r="C62" s="14"/>
      <c r="D62" s="16"/>
    </row>
    <row r="63" spans="2:5" x14ac:dyDescent="0.35">
      <c r="C63" s="3" t="s">
        <v>39</v>
      </c>
      <c r="D63" s="3" t="s">
        <v>71</v>
      </c>
    </row>
    <row r="64" spans="2:5" x14ac:dyDescent="0.35">
      <c r="B64" s="69" t="s">
        <v>31</v>
      </c>
      <c r="C64" s="3" t="s">
        <v>69</v>
      </c>
      <c r="D64" s="11">
        <v>0.6</v>
      </c>
      <c r="E64" s="1" t="s">
        <v>121</v>
      </c>
    </row>
    <row r="65" spans="2:4" x14ac:dyDescent="0.35">
      <c r="B65" s="69"/>
      <c r="C65" s="3" t="s">
        <v>70</v>
      </c>
      <c r="D65" s="11">
        <v>0.1</v>
      </c>
    </row>
    <row r="66" spans="2:4" x14ac:dyDescent="0.35">
      <c r="B66" s="69"/>
      <c r="C66" s="3" t="s">
        <v>32</v>
      </c>
      <c r="D66" s="11">
        <v>0.88</v>
      </c>
    </row>
    <row r="67" spans="2:4" x14ac:dyDescent="0.35">
      <c r="B67" s="13"/>
      <c r="C67" s="14"/>
      <c r="D67" s="16"/>
    </row>
    <row r="68" spans="2:4" x14ac:dyDescent="0.35">
      <c r="B68" s="13"/>
      <c r="C68" s="72" t="s">
        <v>39</v>
      </c>
      <c r="D68" s="73"/>
    </row>
    <row r="69" spans="2:4" x14ac:dyDescent="0.35">
      <c r="B69" s="80" t="s">
        <v>25</v>
      </c>
      <c r="C69" s="81" t="s">
        <v>68</v>
      </c>
      <c r="D69" s="81"/>
    </row>
    <row r="70" spans="2:4" x14ac:dyDescent="0.35">
      <c r="B70" s="80"/>
      <c r="C70" s="81" t="s">
        <v>26</v>
      </c>
      <c r="D70" s="81"/>
    </row>
    <row r="71" spans="2:4" x14ac:dyDescent="0.35">
      <c r="B71" s="80"/>
      <c r="C71" s="81" t="s">
        <v>68</v>
      </c>
      <c r="D71" s="81"/>
    </row>
    <row r="72" spans="2:4" x14ac:dyDescent="0.35">
      <c r="B72" s="29"/>
      <c r="C72" s="30"/>
      <c r="D72" s="30"/>
    </row>
    <row r="73" spans="2:4" x14ac:dyDescent="0.35">
      <c r="B73" s="13"/>
      <c r="C73" s="14"/>
      <c r="D73" s="16"/>
    </row>
    <row r="74" spans="2:4" x14ac:dyDescent="0.35">
      <c r="B74" s="28" t="s">
        <v>81</v>
      </c>
      <c r="C74" s="14"/>
      <c r="D74" s="16"/>
    </row>
    <row r="75" spans="2:4" x14ac:dyDescent="0.35">
      <c r="C75" s="3" t="s">
        <v>39</v>
      </c>
      <c r="D75" s="3" t="s">
        <v>77</v>
      </c>
    </row>
    <row r="76" spans="2:4" x14ac:dyDescent="0.35">
      <c r="B76" s="77" t="s">
        <v>35</v>
      </c>
      <c r="C76" s="3" t="s">
        <v>9</v>
      </c>
      <c r="D76" s="11">
        <v>0.4</v>
      </c>
    </row>
    <row r="77" spans="2:4" x14ac:dyDescent="0.35">
      <c r="B77" s="79"/>
      <c r="C77" s="3" t="s">
        <v>85</v>
      </c>
      <c r="D77" s="11">
        <v>0.35</v>
      </c>
    </row>
    <row r="78" spans="2:4" x14ac:dyDescent="0.35">
      <c r="B78" s="78"/>
      <c r="C78" s="3" t="s">
        <v>10</v>
      </c>
      <c r="D78" s="11">
        <v>0.3</v>
      </c>
    </row>
    <row r="79" spans="2:4" x14ac:dyDescent="0.35">
      <c r="B79" s="17"/>
      <c r="C79" s="14"/>
      <c r="D79" s="18"/>
    </row>
    <row r="80" spans="2:4" x14ac:dyDescent="0.35">
      <c r="C80" s="3" t="s">
        <v>39</v>
      </c>
      <c r="D80" s="3" t="s">
        <v>77</v>
      </c>
    </row>
    <row r="81" spans="2:4" x14ac:dyDescent="0.35">
      <c r="B81" s="77" t="s">
        <v>67</v>
      </c>
      <c r="C81" s="3" t="s">
        <v>9</v>
      </c>
      <c r="D81" s="11">
        <v>0.5</v>
      </c>
    </row>
    <row r="82" spans="2:4" x14ac:dyDescent="0.35">
      <c r="B82" s="79"/>
      <c r="C82" s="3" t="s">
        <v>85</v>
      </c>
      <c r="D82" s="11">
        <v>0.45</v>
      </c>
    </row>
    <row r="83" spans="2:4" x14ac:dyDescent="0.35">
      <c r="B83" s="78"/>
      <c r="C83" s="3" t="s">
        <v>10</v>
      </c>
      <c r="D83" s="11">
        <v>0.4</v>
      </c>
    </row>
    <row r="84" spans="2:4" x14ac:dyDescent="0.35">
      <c r="B84" s="13"/>
      <c r="C84" s="14"/>
      <c r="D84" s="16"/>
    </row>
    <row r="86" spans="2:4" x14ac:dyDescent="0.35">
      <c r="B86" s="28" t="s">
        <v>82</v>
      </c>
    </row>
    <row r="87" spans="2:4" x14ac:dyDescent="0.35">
      <c r="C87" s="3" t="s">
        <v>39</v>
      </c>
      <c r="D87" s="3" t="s">
        <v>77</v>
      </c>
    </row>
    <row r="88" spans="2:4" x14ac:dyDescent="0.35">
      <c r="B88" s="77" t="s">
        <v>79</v>
      </c>
      <c r="C88" s="3" t="s">
        <v>9</v>
      </c>
      <c r="D88" s="11">
        <v>0.9</v>
      </c>
    </row>
    <row r="89" spans="2:4" x14ac:dyDescent="0.35">
      <c r="B89" s="79"/>
      <c r="C89" s="3" t="s">
        <v>85</v>
      </c>
      <c r="D89" s="11">
        <v>0.85</v>
      </c>
    </row>
    <row r="90" spans="2:4" x14ac:dyDescent="0.35">
      <c r="B90" s="78"/>
      <c r="C90" s="3" t="s">
        <v>10</v>
      </c>
      <c r="D90" s="11">
        <v>0.8</v>
      </c>
    </row>
  </sheetData>
  <sheetProtection algorithmName="SHA-512" hashValue="U1EX4UFxxAlASJfVNmQbLtSAtdOs8IMKBBFgfF53BAU03fnVdC4fEKifqXMFuU71OQ4hWxvcCXOrrqq/Dq9QDw==" saltValue="CkEDlaCN/6SuQQ0cE2VfYg==" spinCount="100000" sheet="1" objects="1" scenarios="1"/>
  <mergeCells count="20">
    <mergeCell ref="B88:B90"/>
    <mergeCell ref="B76:B78"/>
    <mergeCell ref="B81:B83"/>
    <mergeCell ref="B69:B71"/>
    <mergeCell ref="C69:D69"/>
    <mergeCell ref="C70:D70"/>
    <mergeCell ref="C71:D71"/>
    <mergeCell ref="C68:D68"/>
    <mergeCell ref="B23:B29"/>
    <mergeCell ref="B55:B56"/>
    <mergeCell ref="B59:B61"/>
    <mergeCell ref="B50:B51"/>
    <mergeCell ref="B39:B41"/>
    <mergeCell ref="B44:B45"/>
    <mergeCell ref="B34:B36"/>
    <mergeCell ref="G9:G13"/>
    <mergeCell ref="A9:A22"/>
    <mergeCell ref="B9:B15"/>
    <mergeCell ref="B16:B22"/>
    <mergeCell ref="B64:B66"/>
  </mergeCells>
  <conditionalFormatting sqref="G15">
    <cfRule type="cellIs" dxfId="191" priority="3" operator="equal">
      <formula>0</formula>
    </cfRule>
    <cfRule type="cellIs" dxfId="190" priority="4" operator="greaterThan">
      <formula>34.8</formula>
    </cfRule>
    <cfRule type="cellIs" dxfId="189" priority="19" operator="greaterThan">
      <formula>28.8</formula>
    </cfRule>
    <cfRule type="cellIs" dxfId="188" priority="20" operator="greaterThan">
      <formula>26.1</formula>
    </cfRule>
    <cfRule type="cellIs" dxfId="187" priority="21" operator="greaterThan">
      <formula>21.6</formula>
    </cfRule>
    <cfRule type="cellIs" dxfId="186" priority="22" operator="greaterThan">
      <formula>17.4</formula>
    </cfRule>
    <cfRule type="cellIs" dxfId="185" priority="23" operator="greaterThan">
      <formula>14.4</formula>
    </cfRule>
    <cfRule type="cellIs" dxfId="184" priority="24" operator="lessThanOrEqual">
      <formula>14.4</formula>
    </cfRule>
  </conditionalFormatting>
  <conditionalFormatting sqref="G22">
    <cfRule type="cellIs" dxfId="183" priority="2" operator="equal">
      <formula>0</formula>
    </cfRule>
    <cfRule type="cellIs" dxfId="182" priority="12" operator="greaterThan">
      <formula>79.2</formula>
    </cfRule>
    <cfRule type="cellIs" dxfId="181" priority="13" operator="greaterThan">
      <formula>74.4</formula>
    </cfRule>
    <cfRule type="cellIs" dxfId="180" priority="14" operator="greaterThan">
      <formula>59.4</formula>
    </cfRule>
    <cfRule type="cellIs" dxfId="179" priority="15" operator="greaterThan">
      <formula>55.8</formula>
    </cfRule>
    <cfRule type="cellIs" dxfId="178" priority="16" operator="greaterThan">
      <formula>39.6</formula>
    </cfRule>
    <cfRule type="cellIs" dxfId="177" priority="17" operator="greaterThan">
      <formula>37.2</formula>
    </cfRule>
    <cfRule type="cellIs" dxfId="176" priority="18" operator="lessThanOrEqual">
      <formula>37.2</formula>
    </cfRule>
  </conditionalFormatting>
  <conditionalFormatting sqref="G29">
    <cfRule type="cellIs" dxfId="175" priority="1" operator="equal">
      <formula>0</formula>
    </cfRule>
    <cfRule type="cellIs" dxfId="174" priority="5" operator="greaterThan">
      <formula>34.8</formula>
    </cfRule>
    <cfRule type="cellIs" dxfId="173" priority="6" operator="greaterThan">
      <formula>32</formula>
    </cfRule>
    <cfRule type="cellIs" dxfId="172" priority="7" operator="greaterThan">
      <formula>26.1</formula>
    </cfRule>
    <cfRule type="cellIs" dxfId="171" priority="8" operator="greaterThan">
      <formula>24</formula>
    </cfRule>
    <cfRule type="cellIs" dxfId="170" priority="9" operator="greaterThan">
      <formula>17.4</formula>
    </cfRule>
    <cfRule type="cellIs" dxfId="169" priority="10" operator="greaterThan">
      <formula>16</formula>
    </cfRule>
    <cfRule type="cellIs" dxfId="168" priority="11" operator="lessThanOrEqual">
      <formula>16</formula>
    </cfRule>
  </conditionalFormatting>
  <pageMargins left="0.7" right="0.7" top="0.75" bottom="0.75" header="0.3" footer="0.3"/>
  <pageSetup paperSize="9" orientation="portrait" verticalDpi="0" r:id="rId1"/>
  <ignoredErrors>
    <ignoredError sqref="D39:D41 D34:D3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workbookViewId="0">
      <selection activeCell="K3" sqref="K3"/>
    </sheetView>
  </sheetViews>
  <sheetFormatPr defaultColWidth="9.109375" defaultRowHeight="15" x14ac:dyDescent="0.35"/>
  <cols>
    <col min="1" max="1" width="3.6640625" style="1" customWidth="1"/>
    <col min="2" max="2" width="22" style="1" customWidth="1"/>
    <col min="3" max="3" width="43.6640625" style="1" customWidth="1"/>
    <col min="4" max="4" width="9.109375" style="1"/>
    <col min="5" max="5" width="10.109375" style="1" bestFit="1" customWidth="1"/>
    <col min="6" max="7" width="9.109375" style="1"/>
    <col min="8" max="8" width="10.44140625" style="1" bestFit="1" customWidth="1"/>
    <col min="9" max="16384" width="9.109375" style="1"/>
  </cols>
  <sheetData>
    <row r="2" spans="2:8" ht="16.5" x14ac:dyDescent="0.25">
      <c r="D2" s="58"/>
    </row>
    <row r="3" spans="2:8" ht="16.5" x14ac:dyDescent="0.25">
      <c r="D3" s="59"/>
    </row>
    <row r="5" spans="2:8" ht="14.25" x14ac:dyDescent="0.25">
      <c r="D5" s="60"/>
    </row>
    <row r="8" spans="2:8" ht="14.25" x14ac:dyDescent="0.25">
      <c r="B8" s="25" t="s">
        <v>78</v>
      </c>
      <c r="D8" s="3" t="s">
        <v>29</v>
      </c>
      <c r="E8" s="3" t="s">
        <v>28</v>
      </c>
      <c r="F8" s="3" t="s">
        <v>0</v>
      </c>
      <c r="G8" s="3" t="s">
        <v>1</v>
      </c>
      <c r="H8" s="3" t="s">
        <v>30</v>
      </c>
    </row>
    <row r="9" spans="2:8" ht="14.25" x14ac:dyDescent="0.25">
      <c r="B9" s="83" t="s">
        <v>22</v>
      </c>
      <c r="C9" s="83"/>
      <c r="D9" s="41">
        <v>38.11</v>
      </c>
      <c r="E9" s="41">
        <v>25.83</v>
      </c>
      <c r="F9" s="41">
        <v>29.49</v>
      </c>
      <c r="G9" s="41">
        <v>33.19</v>
      </c>
      <c r="H9" s="41">
        <v>35.31</v>
      </c>
    </row>
    <row r="10" spans="2:8" x14ac:dyDescent="0.35">
      <c r="B10" s="84" t="s">
        <v>8</v>
      </c>
      <c r="C10" s="3" t="s">
        <v>9</v>
      </c>
      <c r="D10" s="41">
        <v>34.39</v>
      </c>
      <c r="E10" s="41">
        <v>24.08</v>
      </c>
      <c r="F10" s="41">
        <v>27.17</v>
      </c>
      <c r="G10" s="41">
        <v>30.25</v>
      </c>
      <c r="H10" s="41">
        <v>32.020000000000003</v>
      </c>
    </row>
    <row r="11" spans="2:8" x14ac:dyDescent="0.35">
      <c r="B11" s="86"/>
      <c r="C11" s="3" t="s">
        <v>10</v>
      </c>
      <c r="D11" s="41">
        <v>43.71</v>
      </c>
      <c r="E11" s="41">
        <v>28.46</v>
      </c>
      <c r="F11" s="41">
        <v>32.97</v>
      </c>
      <c r="G11" s="41">
        <v>37.6</v>
      </c>
      <c r="H11" s="41">
        <v>40.26</v>
      </c>
    </row>
    <row r="12" spans="2:8" x14ac:dyDescent="0.35">
      <c r="B12" s="85"/>
      <c r="C12" s="3" t="s">
        <v>97</v>
      </c>
      <c r="D12" s="41">
        <v>60.49</v>
      </c>
      <c r="E12" s="41">
        <v>36.340000000000003</v>
      </c>
      <c r="F12" s="41">
        <v>43.42</v>
      </c>
      <c r="G12" s="41">
        <v>50.84</v>
      </c>
      <c r="H12" s="41">
        <v>55.06</v>
      </c>
    </row>
    <row r="13" spans="2:8" x14ac:dyDescent="0.35">
      <c r="B13" s="82" t="s">
        <v>14</v>
      </c>
      <c r="C13" s="3" t="s">
        <v>9</v>
      </c>
      <c r="D13" s="41">
        <v>42.12</v>
      </c>
      <c r="E13" s="41">
        <v>26.75</v>
      </c>
      <c r="F13" s="41">
        <v>31.67</v>
      </c>
      <c r="G13" s="41">
        <v>35.68</v>
      </c>
      <c r="H13" s="41">
        <v>38.380000000000003</v>
      </c>
    </row>
    <row r="14" spans="2:8" x14ac:dyDescent="0.35">
      <c r="B14" s="82"/>
      <c r="C14" s="3" t="s">
        <v>10</v>
      </c>
      <c r="D14" s="41">
        <v>34.11</v>
      </c>
      <c r="E14" s="41">
        <v>24.92</v>
      </c>
      <c r="F14" s="41">
        <v>27.33</v>
      </c>
      <c r="G14" s="41">
        <v>30.71</v>
      </c>
      <c r="H14" s="41">
        <v>32.24</v>
      </c>
    </row>
    <row r="15" spans="2:8" x14ac:dyDescent="0.35">
      <c r="B15" s="84" t="s">
        <v>6</v>
      </c>
      <c r="C15" s="3" t="s">
        <v>116</v>
      </c>
      <c r="D15" s="41">
        <v>-1.39</v>
      </c>
      <c r="E15" s="41">
        <v>-13.67</v>
      </c>
      <c r="F15" s="41">
        <v>-10.01</v>
      </c>
      <c r="G15" s="41">
        <v>-6.31</v>
      </c>
      <c r="H15" s="41">
        <v>-4.1900000000000004</v>
      </c>
    </row>
    <row r="16" spans="2:8" x14ac:dyDescent="0.35">
      <c r="B16" s="85"/>
      <c r="C16" s="3" t="s">
        <v>117</v>
      </c>
      <c r="D16" s="41">
        <v>18.36</v>
      </c>
      <c r="E16" s="41">
        <v>6.08</v>
      </c>
      <c r="F16" s="41">
        <v>9.74</v>
      </c>
      <c r="G16" s="41">
        <v>13.44</v>
      </c>
      <c r="H16" s="41">
        <v>15.56</v>
      </c>
    </row>
    <row r="17" spans="2:10" ht="14.25" x14ac:dyDescent="0.25">
      <c r="B17" s="23" t="s">
        <v>11</v>
      </c>
      <c r="C17" s="3" t="s">
        <v>12</v>
      </c>
      <c r="D17" s="41">
        <f>D9+Criteria!$D$55</f>
        <v>54.51</v>
      </c>
      <c r="E17" s="41">
        <f>E9+Criteria!$D$55</f>
        <v>42.23</v>
      </c>
      <c r="F17" s="41">
        <f>F9+Criteria!$D$55</f>
        <v>45.89</v>
      </c>
      <c r="G17" s="41">
        <f>G9+Criteria!$D$55</f>
        <v>49.589999999999996</v>
      </c>
      <c r="H17" s="41">
        <f>H9+Criteria!$D$55</f>
        <v>51.71</v>
      </c>
    </row>
    <row r="18" spans="2:10" ht="14.25" x14ac:dyDescent="0.25">
      <c r="B18" s="23" t="s">
        <v>37</v>
      </c>
      <c r="C18" s="3" t="s">
        <v>9</v>
      </c>
      <c r="D18" s="41">
        <v>38.82</v>
      </c>
      <c r="E18" s="41">
        <v>26.53</v>
      </c>
      <c r="F18" s="41">
        <v>30.06</v>
      </c>
      <c r="G18" s="41">
        <v>33.75</v>
      </c>
      <c r="H18" s="41">
        <v>35.869999999999997</v>
      </c>
      <c r="J18" s="44"/>
    </row>
    <row r="19" spans="2:10" x14ac:dyDescent="0.35">
      <c r="B19" s="82" t="s">
        <v>13</v>
      </c>
      <c r="C19" s="24" t="s">
        <v>10</v>
      </c>
      <c r="D19" s="41">
        <v>28.82</v>
      </c>
      <c r="E19" s="41">
        <v>16.54</v>
      </c>
      <c r="F19" s="41">
        <v>20.2</v>
      </c>
      <c r="G19" s="41">
        <v>23.9</v>
      </c>
      <c r="H19" s="41">
        <v>26.02</v>
      </c>
    </row>
    <row r="20" spans="2:10" x14ac:dyDescent="0.35">
      <c r="B20" s="82"/>
      <c r="C20" s="24" t="s">
        <v>9</v>
      </c>
      <c r="D20" s="41">
        <v>42.62</v>
      </c>
      <c r="E20" s="41">
        <v>30.34</v>
      </c>
      <c r="F20" s="41">
        <v>34</v>
      </c>
      <c r="G20" s="41">
        <v>37.700000000000003</v>
      </c>
      <c r="H20" s="41">
        <v>39.82</v>
      </c>
    </row>
    <row r="21" spans="2:10" x14ac:dyDescent="0.35">
      <c r="B21" s="84" t="s">
        <v>31</v>
      </c>
      <c r="C21" s="24" t="s">
        <v>69</v>
      </c>
      <c r="D21" s="41">
        <v>31.24</v>
      </c>
      <c r="E21" s="41">
        <v>21.98</v>
      </c>
      <c r="F21" s="41">
        <v>24.74</v>
      </c>
      <c r="G21" s="41">
        <v>27.53</v>
      </c>
      <c r="H21" s="41">
        <v>29.13</v>
      </c>
    </row>
    <row r="22" spans="2:10" x14ac:dyDescent="0.35">
      <c r="B22" s="85"/>
      <c r="C22" s="24" t="s">
        <v>70</v>
      </c>
      <c r="D22" s="41">
        <v>27.56</v>
      </c>
      <c r="E22" s="41">
        <v>19.920000000000002</v>
      </c>
      <c r="F22" s="41">
        <v>22.2</v>
      </c>
      <c r="G22" s="41">
        <v>24.5</v>
      </c>
      <c r="H22" s="41">
        <v>25.82</v>
      </c>
    </row>
    <row r="23" spans="2:10" x14ac:dyDescent="0.35">
      <c r="B23" s="82" t="s">
        <v>36</v>
      </c>
      <c r="C23" s="3" t="s">
        <v>68</v>
      </c>
      <c r="D23" s="41">
        <v>33.67</v>
      </c>
      <c r="E23" s="41">
        <v>21.81</v>
      </c>
      <c r="F23" s="41">
        <v>26.13</v>
      </c>
      <c r="G23" s="41">
        <v>29.79</v>
      </c>
      <c r="H23" s="41">
        <v>31.86</v>
      </c>
    </row>
    <row r="24" spans="2:10" x14ac:dyDescent="0.35">
      <c r="B24" s="82"/>
      <c r="C24" s="3" t="s">
        <v>26</v>
      </c>
      <c r="D24" s="41">
        <v>21.71</v>
      </c>
      <c r="E24" s="41">
        <v>10.97</v>
      </c>
      <c r="F24" s="41">
        <v>16.829999999999998</v>
      </c>
      <c r="G24" s="41">
        <v>20.420000000000002</v>
      </c>
      <c r="H24" s="41">
        <v>22.36</v>
      </c>
    </row>
    <row r="25" spans="2:10" x14ac:dyDescent="0.35">
      <c r="B25" s="82"/>
      <c r="C25" s="3" t="s">
        <v>84</v>
      </c>
      <c r="D25" s="41">
        <v>-12.17</v>
      </c>
      <c r="E25" s="41">
        <v>-19.920000000000002</v>
      </c>
      <c r="F25" s="41">
        <v>-11.1</v>
      </c>
      <c r="G25" s="41">
        <v>-7.84</v>
      </c>
      <c r="H25" s="41">
        <v>-6.27</v>
      </c>
    </row>
    <row r="26" spans="2:10" ht="28.5" x14ac:dyDescent="0.25">
      <c r="B26" s="3" t="s">
        <v>147</v>
      </c>
      <c r="C26" s="40" t="s">
        <v>136</v>
      </c>
      <c r="D26" s="41">
        <v>-21.44</v>
      </c>
      <c r="E26" s="41">
        <v>-27.83</v>
      </c>
      <c r="F26" s="41">
        <v>-25.91</v>
      </c>
      <c r="G26" s="41">
        <v>-24</v>
      </c>
      <c r="H26" s="41">
        <v>-22.9</v>
      </c>
    </row>
    <row r="27" spans="2:10" ht="29.25" customHeight="1" x14ac:dyDescent="0.25">
      <c r="D27" s="44"/>
      <c r="E27" s="44"/>
      <c r="F27" s="44"/>
      <c r="G27" s="44"/>
      <c r="H27" s="44"/>
    </row>
    <row r="28" spans="2:10" ht="28.5" x14ac:dyDescent="0.25">
      <c r="B28" s="3" t="s">
        <v>148</v>
      </c>
      <c r="C28" s="40" t="s">
        <v>137</v>
      </c>
      <c r="D28" s="54">
        <f>-39.5+-131.78</f>
        <v>-171.28</v>
      </c>
    </row>
  </sheetData>
  <sheetProtection algorithmName="SHA-512" hashValue="j+DUqNqc7UqSQfMuvvhPahTSbocTy3QLWkHQXuTDoZzgvcEF6Ma2s4KuolthGH1hCXJx2X9bcBvYDgmz7Pyw1A==" saltValue="zHpi5Z46yjEuQtiW+lGGWQ==" spinCount="100000" sheet="1" objects="1" scenarios="1"/>
  <mergeCells count="7">
    <mergeCell ref="B13:B14"/>
    <mergeCell ref="B19:B20"/>
    <mergeCell ref="B23:B25"/>
    <mergeCell ref="B9:C9"/>
    <mergeCell ref="B21:B22"/>
    <mergeCell ref="B10:B12"/>
    <mergeCell ref="B15:B16"/>
  </mergeCells>
  <conditionalFormatting sqref="D9:H25">
    <cfRule type="cellIs" dxfId="167" priority="17" operator="equal">
      <formula>0</formula>
    </cfRule>
    <cfRule type="cellIs" dxfId="166" priority="18" operator="greaterThan">
      <formula>34.8</formula>
    </cfRule>
    <cfRule type="cellIs" dxfId="165" priority="19" operator="greaterThan">
      <formula>28.8</formula>
    </cfRule>
    <cfRule type="cellIs" dxfId="164" priority="20" operator="greaterThan">
      <formula>26.1</formula>
    </cfRule>
    <cfRule type="cellIs" dxfId="163" priority="21" operator="greaterThan">
      <formula>21.6</formula>
    </cfRule>
    <cfRule type="cellIs" dxfId="162" priority="22" operator="greaterThan">
      <formula>17.4</formula>
    </cfRule>
    <cfRule type="cellIs" dxfId="161" priority="23" operator="greaterThan">
      <formula>14.4</formula>
    </cfRule>
    <cfRule type="cellIs" dxfId="160" priority="24" operator="lessThanOrEqual">
      <formula>14.4</formula>
    </cfRule>
  </conditionalFormatting>
  <conditionalFormatting sqref="D26:H26">
    <cfRule type="cellIs" dxfId="159" priority="9" operator="equal">
      <formula>0</formula>
    </cfRule>
    <cfRule type="cellIs" dxfId="158" priority="10" operator="greaterThan">
      <formula>34.8</formula>
    </cfRule>
    <cfRule type="cellIs" dxfId="157" priority="11" operator="greaterThan">
      <formula>28.8</formula>
    </cfRule>
    <cfRule type="cellIs" dxfId="156" priority="12" operator="greaterThan">
      <formula>26.1</formula>
    </cfRule>
    <cfRule type="cellIs" dxfId="155" priority="13" operator="greaterThan">
      <formula>21.6</formula>
    </cfRule>
    <cfRule type="cellIs" dxfId="154" priority="14" operator="greaterThan">
      <formula>17.4</formula>
    </cfRule>
    <cfRule type="cellIs" dxfId="153" priority="15" operator="greaterThan">
      <formula>14.4</formula>
    </cfRule>
    <cfRule type="cellIs" dxfId="152" priority="16" operator="lessThanOrEqual">
      <formula>14.4</formula>
    </cfRule>
  </conditionalFormatting>
  <conditionalFormatting sqref="D28">
    <cfRule type="cellIs" dxfId="151" priority="1" operator="equal">
      <formula>0</formula>
    </cfRule>
    <cfRule type="cellIs" dxfId="150" priority="2" operator="greaterThan">
      <formula>34.8</formula>
    </cfRule>
    <cfRule type="cellIs" dxfId="149" priority="3" operator="greaterThan">
      <formula>28.8</formula>
    </cfRule>
    <cfRule type="cellIs" dxfId="148" priority="4" operator="greaterThan">
      <formula>26.1</formula>
    </cfRule>
    <cfRule type="cellIs" dxfId="147" priority="5" operator="greaterThan">
      <formula>21.6</formula>
    </cfRule>
    <cfRule type="cellIs" dxfId="146" priority="6" operator="greaterThan">
      <formula>17.4</formula>
    </cfRule>
    <cfRule type="cellIs" dxfId="145" priority="7" operator="greaterThan">
      <formula>14.4</formula>
    </cfRule>
    <cfRule type="cellIs" dxfId="144" priority="8" operator="lessThanOrEqual">
      <formula>14.4</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26"/>
  <sheetViews>
    <sheetView zoomScaleNormal="100" workbookViewId="0">
      <selection activeCell="M3" sqref="M3"/>
    </sheetView>
  </sheetViews>
  <sheetFormatPr defaultColWidth="9.109375" defaultRowHeight="15" x14ac:dyDescent="0.35"/>
  <cols>
    <col min="1" max="1" width="3.6640625" style="1" customWidth="1"/>
    <col min="2" max="2" width="20.109375" style="1" bestFit="1" customWidth="1"/>
    <col min="3" max="3" width="39.109375" style="1" customWidth="1"/>
    <col min="4" max="4" width="9.109375" style="1"/>
    <col min="5" max="5" width="10.109375" style="1" bestFit="1" customWidth="1"/>
    <col min="6" max="7" width="9.109375" style="1"/>
    <col min="8" max="8" width="10.109375" style="1" bestFit="1" customWidth="1"/>
    <col min="9" max="9" width="9.109375" style="1"/>
    <col min="10" max="10" width="10.109375" style="1" bestFit="1" customWidth="1"/>
    <col min="11" max="12" width="9.109375" style="1"/>
    <col min="13" max="13" width="10.109375" style="1" bestFit="1" customWidth="1"/>
    <col min="14" max="16384" width="9.109375" style="1"/>
  </cols>
  <sheetData>
    <row r="7" spans="2:13" ht="14.25" x14ac:dyDescent="0.25">
      <c r="D7" s="81" t="s">
        <v>129</v>
      </c>
      <c r="E7" s="81"/>
      <c r="F7" s="81"/>
      <c r="G7" s="81"/>
      <c r="H7" s="89"/>
      <c r="I7" s="90" t="s">
        <v>128</v>
      </c>
      <c r="J7" s="81"/>
      <c r="K7" s="81"/>
      <c r="L7" s="81"/>
      <c r="M7" s="81"/>
    </row>
    <row r="8" spans="2:13" ht="32.25" customHeight="1" x14ac:dyDescent="0.35">
      <c r="B8" s="87" t="s">
        <v>135</v>
      </c>
      <c r="C8" s="88"/>
      <c r="D8" s="3" t="s">
        <v>29</v>
      </c>
      <c r="E8" s="3" t="s">
        <v>28</v>
      </c>
      <c r="F8" s="3" t="s">
        <v>0</v>
      </c>
      <c r="G8" s="3" t="s">
        <v>1</v>
      </c>
      <c r="H8" s="38" t="s">
        <v>30</v>
      </c>
      <c r="I8" s="39" t="s">
        <v>29</v>
      </c>
      <c r="J8" s="3" t="s">
        <v>28</v>
      </c>
      <c r="K8" s="3" t="s">
        <v>0</v>
      </c>
      <c r="L8" s="3" t="s">
        <v>1</v>
      </c>
      <c r="M8" s="3" t="s">
        <v>30</v>
      </c>
    </row>
    <row r="9" spans="2:13" ht="14.25" x14ac:dyDescent="0.25">
      <c r="B9" s="92" t="s">
        <v>22</v>
      </c>
      <c r="C9" s="93"/>
      <c r="D9" s="41">
        <v>19.95</v>
      </c>
      <c r="E9" s="41">
        <v>11.18</v>
      </c>
      <c r="F9" s="41">
        <v>13.79</v>
      </c>
      <c r="G9" s="41">
        <v>16.43</v>
      </c>
      <c r="H9" s="42">
        <v>17.95</v>
      </c>
      <c r="I9" s="43">
        <v>56.25</v>
      </c>
      <c r="J9" s="41">
        <v>31.53</v>
      </c>
      <c r="K9" s="41">
        <v>38.9</v>
      </c>
      <c r="L9" s="41">
        <v>46.35</v>
      </c>
      <c r="M9" s="41">
        <v>50.61</v>
      </c>
    </row>
    <row r="10" spans="2:13" x14ac:dyDescent="0.35">
      <c r="B10" s="84" t="s">
        <v>8</v>
      </c>
      <c r="C10" s="3" t="s">
        <v>9</v>
      </c>
      <c r="D10" s="41">
        <v>17.29</v>
      </c>
      <c r="E10" s="41">
        <v>9.93</v>
      </c>
      <c r="F10" s="41">
        <v>12.14</v>
      </c>
      <c r="G10" s="41">
        <v>14.34</v>
      </c>
      <c r="H10" s="42">
        <v>15.6</v>
      </c>
      <c r="I10" s="43">
        <v>48.75</v>
      </c>
      <c r="J10" s="41">
        <v>28.01</v>
      </c>
      <c r="K10" s="41">
        <v>34.22</v>
      </c>
      <c r="L10" s="41">
        <v>40.43</v>
      </c>
      <c r="M10" s="41">
        <v>43.98</v>
      </c>
    </row>
    <row r="11" spans="2:13" x14ac:dyDescent="0.35">
      <c r="B11" s="86"/>
      <c r="C11" s="3" t="s">
        <v>10</v>
      </c>
      <c r="D11" s="41">
        <v>23.94</v>
      </c>
      <c r="E11" s="41">
        <v>13.06</v>
      </c>
      <c r="F11" s="41">
        <v>16.28</v>
      </c>
      <c r="G11" s="41">
        <v>19.579999999999998</v>
      </c>
      <c r="H11" s="42">
        <v>21.48</v>
      </c>
      <c r="I11" s="43">
        <v>67.510000000000005</v>
      </c>
      <c r="J11" s="41">
        <v>36.82</v>
      </c>
      <c r="K11" s="41">
        <v>45.9</v>
      </c>
      <c r="L11" s="41">
        <v>55.22</v>
      </c>
      <c r="M11" s="41">
        <v>60.57</v>
      </c>
    </row>
    <row r="12" spans="2:13" x14ac:dyDescent="0.35">
      <c r="B12" s="85"/>
      <c r="C12" s="3" t="s">
        <v>97</v>
      </c>
      <c r="D12" s="41">
        <v>35.92</v>
      </c>
      <c r="E12" s="41">
        <v>18.68</v>
      </c>
      <c r="F12" s="41">
        <v>23.73</v>
      </c>
      <c r="G12" s="41">
        <v>29.03</v>
      </c>
      <c r="H12" s="42">
        <v>32.049999999999997</v>
      </c>
      <c r="I12" s="43">
        <v>101.29</v>
      </c>
      <c r="J12" s="41">
        <v>52.69</v>
      </c>
      <c r="K12" s="41">
        <v>66.930000000000007</v>
      </c>
      <c r="L12" s="41">
        <v>81.86</v>
      </c>
      <c r="M12" s="41">
        <v>90.37</v>
      </c>
    </row>
    <row r="13" spans="2:13" x14ac:dyDescent="0.35">
      <c r="B13" s="82" t="s">
        <v>14</v>
      </c>
      <c r="C13" s="3" t="s">
        <v>9</v>
      </c>
      <c r="D13" s="41">
        <v>22.8</v>
      </c>
      <c r="E13" s="41">
        <v>11.83</v>
      </c>
      <c r="F13" s="41">
        <v>15.34</v>
      </c>
      <c r="G13" s="41">
        <v>18.21</v>
      </c>
      <c r="H13" s="42">
        <v>20.14</v>
      </c>
      <c r="I13" s="43">
        <v>64.31</v>
      </c>
      <c r="J13" s="41">
        <v>33.369999999999997</v>
      </c>
      <c r="K13" s="41">
        <v>43.27</v>
      </c>
      <c r="L13" s="41">
        <v>51.35</v>
      </c>
      <c r="M13" s="41">
        <v>56.79</v>
      </c>
    </row>
    <row r="14" spans="2:13" x14ac:dyDescent="0.35">
      <c r="B14" s="82"/>
      <c r="C14" s="3" t="s">
        <v>10</v>
      </c>
      <c r="D14" s="41">
        <v>17.09</v>
      </c>
      <c r="E14" s="41">
        <v>10.53</v>
      </c>
      <c r="F14" s="41">
        <v>12.25</v>
      </c>
      <c r="G14" s="41">
        <v>14.66</v>
      </c>
      <c r="H14" s="42">
        <v>15.76</v>
      </c>
      <c r="I14" s="43">
        <v>48.18</v>
      </c>
      <c r="J14" s="41">
        <v>29.69</v>
      </c>
      <c r="K14" s="41">
        <v>34.549999999999997</v>
      </c>
      <c r="L14" s="41">
        <v>41.34</v>
      </c>
      <c r="M14" s="41">
        <v>44.43</v>
      </c>
    </row>
    <row r="15" spans="2:13" ht="14.25" x14ac:dyDescent="0.25">
      <c r="B15" s="33" t="s">
        <v>37</v>
      </c>
      <c r="C15" s="3" t="s">
        <v>9</v>
      </c>
      <c r="D15" s="41">
        <v>20.45</v>
      </c>
      <c r="E15" s="41">
        <v>11.68</v>
      </c>
      <c r="F15" s="41">
        <v>14.2</v>
      </c>
      <c r="G15" s="41">
        <v>16.829999999999998</v>
      </c>
      <c r="H15" s="42">
        <v>18.34</v>
      </c>
      <c r="I15" s="43">
        <v>57.68</v>
      </c>
      <c r="J15" s="41">
        <v>32.93</v>
      </c>
      <c r="K15" s="41">
        <v>40.04</v>
      </c>
      <c r="L15" s="41">
        <v>47.47</v>
      </c>
      <c r="M15" s="41">
        <v>51.73</v>
      </c>
    </row>
    <row r="16" spans="2:13" ht="15" customHeight="1" x14ac:dyDescent="0.35">
      <c r="B16" s="82" t="s">
        <v>131</v>
      </c>
      <c r="C16" s="11" t="s">
        <v>132</v>
      </c>
      <c r="D16" s="41">
        <v>21.5</v>
      </c>
      <c r="E16" s="41">
        <v>12.05</v>
      </c>
      <c r="F16" s="41">
        <v>14.87</v>
      </c>
      <c r="G16" s="41">
        <v>17.71</v>
      </c>
      <c r="H16" s="42">
        <v>19.34</v>
      </c>
      <c r="I16" s="43">
        <v>60.62</v>
      </c>
      <c r="J16" s="41">
        <v>33.979999999999997</v>
      </c>
      <c r="K16" s="41">
        <v>41.92</v>
      </c>
      <c r="L16" s="41">
        <v>49.95</v>
      </c>
      <c r="M16" s="41">
        <v>54.54</v>
      </c>
    </row>
    <row r="17" spans="2:13" x14ac:dyDescent="0.35">
      <c r="B17" s="82"/>
      <c r="C17" s="11" t="s">
        <v>134</v>
      </c>
      <c r="D17" s="41">
        <v>23.31</v>
      </c>
      <c r="E17" s="41">
        <v>13.07</v>
      </c>
      <c r="F17" s="41">
        <v>16.12</v>
      </c>
      <c r="G17" s="41">
        <v>19.2</v>
      </c>
      <c r="H17" s="42">
        <v>20.97</v>
      </c>
      <c r="I17" s="43">
        <v>65.73</v>
      </c>
      <c r="J17" s="41">
        <v>36.840000000000003</v>
      </c>
      <c r="K17" s="41">
        <v>45.45</v>
      </c>
      <c r="L17" s="41">
        <v>54.16</v>
      </c>
      <c r="M17" s="41">
        <v>59.14</v>
      </c>
    </row>
    <row r="18" spans="2:13" x14ac:dyDescent="0.35">
      <c r="B18" s="82"/>
      <c r="C18" s="11" t="s">
        <v>133</v>
      </c>
      <c r="D18" s="41">
        <v>25.45</v>
      </c>
      <c r="E18" s="41">
        <v>14.27</v>
      </c>
      <c r="F18" s="41">
        <v>17.600000000000001</v>
      </c>
      <c r="G18" s="41">
        <v>20.97</v>
      </c>
      <c r="H18" s="42">
        <v>22.9</v>
      </c>
      <c r="I18" s="43">
        <v>71.78</v>
      </c>
      <c r="J18" s="41">
        <v>40.229999999999997</v>
      </c>
      <c r="K18" s="41">
        <v>49.63</v>
      </c>
      <c r="L18" s="41">
        <v>59.14</v>
      </c>
      <c r="M18" s="41">
        <v>64.58</v>
      </c>
    </row>
    <row r="20" spans="2:13" ht="14.25" x14ac:dyDescent="0.25">
      <c r="B20" s="25" t="s">
        <v>130</v>
      </c>
      <c r="D20" s="3" t="s">
        <v>29</v>
      </c>
      <c r="E20" s="3" t="s">
        <v>28</v>
      </c>
      <c r="F20" s="3" t="s">
        <v>0</v>
      </c>
      <c r="G20" s="3" t="s">
        <v>1</v>
      </c>
      <c r="H20" s="38" t="s">
        <v>30</v>
      </c>
      <c r="I20" s="39" t="s">
        <v>29</v>
      </c>
      <c r="J20" s="3" t="s">
        <v>28</v>
      </c>
      <c r="K20" s="3" t="s">
        <v>0</v>
      </c>
      <c r="L20" s="3" t="s">
        <v>1</v>
      </c>
      <c r="M20" s="3" t="s">
        <v>30</v>
      </c>
    </row>
    <row r="21" spans="2:13" ht="29.25" customHeight="1" x14ac:dyDescent="0.35">
      <c r="B21" s="91" t="s">
        <v>161</v>
      </c>
      <c r="C21" s="91"/>
      <c r="D21" s="41">
        <v>18.11</v>
      </c>
      <c r="E21" s="41">
        <v>10.15</v>
      </c>
      <c r="F21" s="41">
        <v>12.52</v>
      </c>
      <c r="G21" s="41">
        <v>14.92</v>
      </c>
      <c r="H21" s="42">
        <v>16.29</v>
      </c>
      <c r="I21" s="43">
        <v>51.06</v>
      </c>
      <c r="J21" s="41">
        <v>28.62</v>
      </c>
      <c r="K21" s="41">
        <v>35.31</v>
      </c>
      <c r="L21" s="41">
        <v>42.07</v>
      </c>
      <c r="M21" s="41">
        <v>45.94</v>
      </c>
    </row>
    <row r="22" spans="2:13" ht="30.75" customHeight="1" x14ac:dyDescent="0.35">
      <c r="B22" s="91" t="s">
        <v>162</v>
      </c>
      <c r="C22" s="91"/>
      <c r="D22" s="41">
        <v>22.2</v>
      </c>
      <c r="E22" s="41">
        <v>12.45</v>
      </c>
      <c r="F22" s="41">
        <v>15.35</v>
      </c>
      <c r="G22" s="41">
        <v>18.29</v>
      </c>
      <c r="H22" s="42">
        <v>19.98</v>
      </c>
      <c r="I22" s="43">
        <v>62.62</v>
      </c>
      <c r="J22" s="41">
        <v>35.1</v>
      </c>
      <c r="K22" s="41">
        <v>43.3</v>
      </c>
      <c r="L22" s="41">
        <v>51.59</v>
      </c>
      <c r="M22" s="41">
        <v>56.34</v>
      </c>
    </row>
    <row r="23" spans="2:13" ht="28.5" customHeight="1" x14ac:dyDescent="0.35">
      <c r="B23" s="91" t="s">
        <v>163</v>
      </c>
      <c r="C23" s="91"/>
      <c r="D23" s="41">
        <v>19.25</v>
      </c>
      <c r="E23" s="41">
        <v>10.79</v>
      </c>
      <c r="F23" s="41">
        <v>13.31</v>
      </c>
      <c r="G23" s="41">
        <v>15.86</v>
      </c>
      <c r="H23" s="42">
        <v>17.32</v>
      </c>
      <c r="I23" s="43">
        <v>54.29</v>
      </c>
      <c r="J23" s="41">
        <v>30.43</v>
      </c>
      <c r="K23" s="41">
        <v>37.549999999999997</v>
      </c>
      <c r="L23" s="41">
        <v>44.73</v>
      </c>
      <c r="M23" s="41">
        <v>48.85</v>
      </c>
    </row>
    <row r="24" spans="2:13" ht="30" customHeight="1" x14ac:dyDescent="0.35">
      <c r="B24" s="91" t="s">
        <v>164</v>
      </c>
      <c r="C24" s="91"/>
      <c r="D24" s="41">
        <v>20.69</v>
      </c>
      <c r="E24" s="41">
        <v>11.6</v>
      </c>
      <c r="F24" s="41">
        <v>14.31</v>
      </c>
      <c r="G24" s="41">
        <v>17.05</v>
      </c>
      <c r="H24" s="42">
        <v>18.62</v>
      </c>
      <c r="I24" s="43">
        <v>58.36</v>
      </c>
      <c r="J24" s="41">
        <v>32.71</v>
      </c>
      <c r="K24" s="41">
        <v>40.35</v>
      </c>
      <c r="L24" s="41">
        <v>48.08</v>
      </c>
      <c r="M24" s="41">
        <v>52.5</v>
      </c>
    </row>
    <row r="25" spans="2:13" ht="28.5" customHeight="1" x14ac:dyDescent="0.35">
      <c r="B25" s="91" t="s">
        <v>165</v>
      </c>
      <c r="C25" s="91"/>
      <c r="D25" s="41">
        <v>23.13</v>
      </c>
      <c r="E25" s="41">
        <v>12.97</v>
      </c>
      <c r="F25" s="41">
        <v>16</v>
      </c>
      <c r="G25" s="41">
        <v>19.059999999999999</v>
      </c>
      <c r="H25" s="42">
        <v>20.81</v>
      </c>
      <c r="I25" s="43">
        <v>65.239999999999995</v>
      </c>
      <c r="J25" s="41">
        <v>36.57</v>
      </c>
      <c r="K25" s="41">
        <v>45.11</v>
      </c>
      <c r="L25" s="41">
        <v>53.75</v>
      </c>
      <c r="M25" s="41">
        <v>58.69</v>
      </c>
    </row>
    <row r="26" spans="2:13" ht="27" customHeight="1" x14ac:dyDescent="0.35">
      <c r="B26" s="91" t="s">
        <v>166</v>
      </c>
      <c r="C26" s="91"/>
      <c r="D26" s="41">
        <v>17.53</v>
      </c>
      <c r="E26" s="41">
        <v>9.83</v>
      </c>
      <c r="F26" s="41">
        <v>12.12</v>
      </c>
      <c r="G26" s="41">
        <v>14.45</v>
      </c>
      <c r="H26" s="42">
        <v>15.77</v>
      </c>
      <c r="I26" s="43">
        <v>49.44</v>
      </c>
      <c r="J26" s="41">
        <v>27.72</v>
      </c>
      <c r="K26" s="41">
        <v>34.19</v>
      </c>
      <c r="L26" s="41">
        <v>40.74</v>
      </c>
      <c r="M26" s="41">
        <v>44.49</v>
      </c>
    </row>
  </sheetData>
  <sheetProtection algorithmName="SHA-512" hashValue="Q+8XxQ+y0vJBFayBmr6HhLKLx89iArA2HQsJbP0ItKwzCt9UseJljhTZIMKEHVMsnjrxsRw61AmalEtSOd3qTw==" saltValue="KeUDQ2KDWuCNyd8cR7QsvA==" spinCount="100000" sheet="1" objects="1" scenarios="1"/>
  <mergeCells count="13">
    <mergeCell ref="B22:C22"/>
    <mergeCell ref="B23:C23"/>
    <mergeCell ref="B25:C25"/>
    <mergeCell ref="B26:C26"/>
    <mergeCell ref="B24:C24"/>
    <mergeCell ref="B16:B18"/>
    <mergeCell ref="B8:C8"/>
    <mergeCell ref="D7:H7"/>
    <mergeCell ref="I7:M7"/>
    <mergeCell ref="B21:C21"/>
    <mergeCell ref="B9:C9"/>
    <mergeCell ref="B10:B12"/>
    <mergeCell ref="B13:B14"/>
  </mergeCells>
  <conditionalFormatting sqref="I9:M18">
    <cfRule type="cellIs" dxfId="143" priority="129" operator="equal">
      <formula>0</formula>
    </cfRule>
    <cfRule type="cellIs" dxfId="142" priority="130" operator="greaterThan">
      <formula>79.2</formula>
    </cfRule>
    <cfRule type="cellIs" dxfId="141" priority="131" operator="greaterThan">
      <formula>74.4</formula>
    </cfRule>
    <cfRule type="cellIs" dxfId="140" priority="132" operator="greaterThan">
      <formula>59.4</formula>
    </cfRule>
    <cfRule type="cellIs" dxfId="139" priority="133" operator="greaterThan">
      <formula>55.8</formula>
    </cfRule>
    <cfRule type="cellIs" dxfId="138" priority="134" operator="greaterThan">
      <formula>39.6</formula>
    </cfRule>
    <cfRule type="cellIs" dxfId="137" priority="135" operator="greaterThan">
      <formula>37.2</formula>
    </cfRule>
    <cfRule type="cellIs" dxfId="136" priority="136" operator="lessThanOrEqual">
      <formula>37.2</formula>
    </cfRule>
  </conditionalFormatting>
  <conditionalFormatting sqref="D26:H26">
    <cfRule type="cellIs" dxfId="135" priority="9" operator="equal">
      <formula>0</formula>
    </cfRule>
    <cfRule type="cellIs" dxfId="134" priority="10" operator="greaterThan">
      <formula>34.8</formula>
    </cfRule>
    <cfRule type="cellIs" dxfId="133" priority="11" operator="greaterThan">
      <formula>32</formula>
    </cfRule>
    <cfRule type="cellIs" dxfId="132" priority="12" operator="greaterThan">
      <formula>26.1</formula>
    </cfRule>
    <cfRule type="cellIs" dxfId="131" priority="13" operator="greaterThan">
      <formula>24</formula>
    </cfRule>
    <cfRule type="cellIs" dxfId="130" priority="14" operator="greaterThan">
      <formula>17.4</formula>
    </cfRule>
    <cfRule type="cellIs" dxfId="129" priority="15" operator="greaterThan">
      <formula>16</formula>
    </cfRule>
    <cfRule type="cellIs" dxfId="128" priority="16" operator="lessThanOrEqual">
      <formula>16</formula>
    </cfRule>
  </conditionalFormatting>
  <conditionalFormatting sqref="D9:H9">
    <cfRule type="cellIs" dxfId="127" priority="113" operator="equal">
      <formula>0</formula>
    </cfRule>
    <cfRule type="cellIs" dxfId="126" priority="114" operator="greaterThan">
      <formula>34.8</formula>
    </cfRule>
    <cfRule type="cellIs" dxfId="125" priority="115" operator="greaterThan">
      <formula>32</formula>
    </cfRule>
    <cfRule type="cellIs" dxfId="124" priority="116" operator="greaterThan">
      <formula>26.1</formula>
    </cfRule>
    <cfRule type="cellIs" dxfId="123" priority="117" operator="greaterThan">
      <formula>24</formula>
    </cfRule>
    <cfRule type="cellIs" dxfId="122" priority="118" operator="greaterThan">
      <formula>17.4</formula>
    </cfRule>
    <cfRule type="cellIs" dxfId="121" priority="119" operator="greaterThan">
      <formula>16</formula>
    </cfRule>
    <cfRule type="cellIs" dxfId="120" priority="120" operator="lessThanOrEqual">
      <formula>16</formula>
    </cfRule>
  </conditionalFormatting>
  <conditionalFormatting sqref="D10:H18">
    <cfRule type="cellIs" dxfId="119" priority="105" operator="equal">
      <formula>0</formula>
    </cfRule>
    <cfRule type="cellIs" dxfId="118" priority="106" operator="greaterThan">
      <formula>34.8</formula>
    </cfRule>
    <cfRule type="cellIs" dxfId="117" priority="107" operator="greaterThan">
      <formula>32</formula>
    </cfRule>
    <cfRule type="cellIs" dxfId="116" priority="108" operator="greaterThan">
      <formula>26.1</formula>
    </cfRule>
    <cfRule type="cellIs" dxfId="115" priority="109" operator="greaterThan">
      <formula>24</formula>
    </cfRule>
    <cfRule type="cellIs" dxfId="114" priority="110" operator="greaterThan">
      <formula>17.4</formula>
    </cfRule>
    <cfRule type="cellIs" dxfId="113" priority="111" operator="greaterThan">
      <formula>16</formula>
    </cfRule>
    <cfRule type="cellIs" dxfId="112" priority="112" operator="lessThanOrEqual">
      <formula>16</formula>
    </cfRule>
  </conditionalFormatting>
  <conditionalFormatting sqref="D21:H21">
    <cfRule type="cellIs" dxfId="111" priority="97" operator="equal">
      <formula>0</formula>
    </cfRule>
    <cfRule type="cellIs" dxfId="110" priority="98" operator="greaterThan">
      <formula>34.8</formula>
    </cfRule>
    <cfRule type="cellIs" dxfId="109" priority="99" operator="greaterThan">
      <formula>32</formula>
    </cfRule>
    <cfRule type="cellIs" dxfId="108" priority="100" operator="greaterThan">
      <formula>26.1</formula>
    </cfRule>
    <cfRule type="cellIs" dxfId="107" priority="101" operator="greaterThan">
      <formula>24</formula>
    </cfRule>
    <cfRule type="cellIs" dxfId="106" priority="102" operator="greaterThan">
      <formula>17.4</formula>
    </cfRule>
    <cfRule type="cellIs" dxfId="105" priority="103" operator="greaterThan">
      <formula>16</formula>
    </cfRule>
    <cfRule type="cellIs" dxfId="104" priority="104" operator="lessThanOrEqual">
      <formula>16</formula>
    </cfRule>
  </conditionalFormatting>
  <conditionalFormatting sqref="D22:H22">
    <cfRule type="cellIs" dxfId="103" priority="81" operator="equal">
      <formula>0</formula>
    </cfRule>
    <cfRule type="cellIs" dxfId="102" priority="82" operator="greaterThan">
      <formula>34.8</formula>
    </cfRule>
    <cfRule type="cellIs" dxfId="101" priority="83" operator="greaterThan">
      <formula>32</formula>
    </cfRule>
    <cfRule type="cellIs" dxfId="100" priority="84" operator="greaterThan">
      <formula>26.1</formula>
    </cfRule>
    <cfRule type="cellIs" dxfId="99" priority="85" operator="greaterThan">
      <formula>24</formula>
    </cfRule>
    <cfRule type="cellIs" dxfId="98" priority="86" operator="greaterThan">
      <formula>17.4</formula>
    </cfRule>
    <cfRule type="cellIs" dxfId="97" priority="87" operator="greaterThan">
      <formula>16</formula>
    </cfRule>
    <cfRule type="cellIs" dxfId="96" priority="88" operator="lessThanOrEqual">
      <formula>16</formula>
    </cfRule>
  </conditionalFormatting>
  <conditionalFormatting sqref="D23:H23">
    <cfRule type="cellIs" dxfId="95" priority="65" operator="equal">
      <formula>0</formula>
    </cfRule>
    <cfRule type="cellIs" dxfId="94" priority="66" operator="greaterThan">
      <formula>34.8</formula>
    </cfRule>
    <cfRule type="cellIs" dxfId="93" priority="67" operator="greaterThan">
      <formula>32</formula>
    </cfRule>
    <cfRule type="cellIs" dxfId="92" priority="68" operator="greaterThan">
      <formula>26.1</formula>
    </cfRule>
    <cfRule type="cellIs" dxfId="91" priority="69" operator="greaterThan">
      <formula>24</formula>
    </cfRule>
    <cfRule type="cellIs" dxfId="90" priority="70" operator="greaterThan">
      <formula>17.4</formula>
    </cfRule>
    <cfRule type="cellIs" dxfId="89" priority="71" operator="greaterThan">
      <formula>16</formula>
    </cfRule>
    <cfRule type="cellIs" dxfId="88" priority="72" operator="lessThanOrEqual">
      <formula>16</formula>
    </cfRule>
  </conditionalFormatting>
  <conditionalFormatting sqref="D25:H25">
    <cfRule type="cellIs" dxfId="87" priority="25" operator="equal">
      <formula>0</formula>
    </cfRule>
    <cfRule type="cellIs" dxfId="86" priority="26" operator="greaterThan">
      <formula>34.8</formula>
    </cfRule>
    <cfRule type="cellIs" dxfId="85" priority="27" operator="greaterThan">
      <formula>32</formula>
    </cfRule>
    <cfRule type="cellIs" dxfId="84" priority="28" operator="greaterThan">
      <formula>26.1</formula>
    </cfRule>
    <cfRule type="cellIs" dxfId="83" priority="29" operator="greaterThan">
      <formula>24</formula>
    </cfRule>
    <cfRule type="cellIs" dxfId="82" priority="30" operator="greaterThan">
      <formula>17.4</formula>
    </cfRule>
    <cfRule type="cellIs" dxfId="81" priority="31" operator="greaterThan">
      <formula>16</formula>
    </cfRule>
    <cfRule type="cellIs" dxfId="80" priority="32" operator="lessThanOrEqual">
      <formula>16</formula>
    </cfRule>
  </conditionalFormatting>
  <conditionalFormatting sqref="D24:H24">
    <cfRule type="cellIs" dxfId="79" priority="49" operator="equal">
      <formula>0</formula>
    </cfRule>
    <cfRule type="cellIs" dxfId="78" priority="50" operator="greaterThan">
      <formula>34.8</formula>
    </cfRule>
    <cfRule type="cellIs" dxfId="77" priority="51" operator="greaterThan">
      <formula>32</formula>
    </cfRule>
    <cfRule type="cellIs" dxfId="76" priority="52" operator="greaterThan">
      <formula>26.1</formula>
    </cfRule>
    <cfRule type="cellIs" dxfId="75" priority="53" operator="greaterThan">
      <formula>24</formula>
    </cfRule>
    <cfRule type="cellIs" dxfId="74" priority="54" operator="greaterThan">
      <formula>17.4</formula>
    </cfRule>
    <cfRule type="cellIs" dxfId="73" priority="55" operator="greaterThan">
      <formula>16</formula>
    </cfRule>
    <cfRule type="cellIs" dxfId="72" priority="56" operator="lessThanOrEqual">
      <formula>16</formula>
    </cfRule>
  </conditionalFormatting>
  <conditionalFormatting sqref="I21:M26">
    <cfRule type="cellIs" dxfId="71" priority="1" operator="equal">
      <formula>0</formula>
    </cfRule>
    <cfRule type="cellIs" dxfId="70" priority="2" operator="greaterThan">
      <formula>79.2</formula>
    </cfRule>
    <cfRule type="cellIs" dxfId="69" priority="3" operator="greaterThan">
      <formula>74.4</formula>
    </cfRule>
    <cfRule type="cellIs" dxfId="68" priority="4" operator="greaterThan">
      <formula>59.4</formula>
    </cfRule>
    <cfRule type="cellIs" dxfId="67" priority="5" operator="greaterThan">
      <formula>55.8</formula>
    </cfRule>
    <cfRule type="cellIs" dxfId="66" priority="6" operator="greaterThan">
      <formula>39.6</formula>
    </cfRule>
    <cfRule type="cellIs" dxfId="65" priority="7" operator="greaterThan">
      <formula>37.2</formula>
    </cfRule>
    <cfRule type="cellIs" dxfId="64" priority="8" operator="lessThanOrEqual">
      <formula>37.2</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H33"/>
  <sheetViews>
    <sheetView workbookViewId="0">
      <selection activeCell="N24" sqref="N24"/>
    </sheetView>
  </sheetViews>
  <sheetFormatPr defaultColWidth="9.109375" defaultRowHeight="15" x14ac:dyDescent="0.35"/>
  <cols>
    <col min="1" max="1" width="3.6640625" style="1" customWidth="1"/>
    <col min="2" max="2" width="31.44140625" style="1" bestFit="1" customWidth="1"/>
    <col min="3" max="3" width="12.5546875" style="1" bestFit="1" customWidth="1"/>
    <col min="4" max="4" width="9.109375" style="1"/>
    <col min="5" max="5" width="10.109375" style="1" bestFit="1" customWidth="1"/>
    <col min="6" max="7" width="9.109375" style="1"/>
    <col min="8" max="8" width="10.44140625" style="1" customWidth="1"/>
    <col min="9" max="16384" width="9.109375" style="1"/>
  </cols>
  <sheetData>
    <row r="8" spans="2:8" ht="14.25" x14ac:dyDescent="0.25">
      <c r="B8" s="25" t="s">
        <v>122</v>
      </c>
      <c r="D8" s="3" t="s">
        <v>29</v>
      </c>
      <c r="E8" s="3" t="s">
        <v>28</v>
      </c>
      <c r="F8" s="3" t="s">
        <v>0</v>
      </c>
      <c r="G8" s="3" t="s">
        <v>1</v>
      </c>
      <c r="H8" s="3" t="s">
        <v>30</v>
      </c>
    </row>
    <row r="9" spans="2:8" ht="14.25" x14ac:dyDescent="0.25">
      <c r="B9" s="83" t="s">
        <v>22</v>
      </c>
      <c r="C9" s="83"/>
      <c r="D9" s="41">
        <v>32.549999999999997</v>
      </c>
      <c r="E9" s="41">
        <v>18.25</v>
      </c>
      <c r="F9" s="41">
        <v>22.51</v>
      </c>
      <c r="G9" s="41">
        <v>26.82</v>
      </c>
      <c r="H9" s="41">
        <v>29.29</v>
      </c>
    </row>
    <row r="10" spans="2:8" x14ac:dyDescent="0.35">
      <c r="B10" s="84" t="s">
        <v>8</v>
      </c>
      <c r="C10" s="3" t="s">
        <v>9</v>
      </c>
      <c r="D10" s="41">
        <v>28.21</v>
      </c>
      <c r="E10" s="41">
        <v>16.21</v>
      </c>
      <c r="F10" s="41">
        <v>19.8</v>
      </c>
      <c r="G10" s="41">
        <v>23.39</v>
      </c>
      <c r="H10" s="41">
        <v>25.45</v>
      </c>
    </row>
    <row r="11" spans="2:8" x14ac:dyDescent="0.35">
      <c r="B11" s="86"/>
      <c r="C11" s="3" t="s">
        <v>10</v>
      </c>
      <c r="D11" s="41">
        <v>39.06</v>
      </c>
      <c r="E11" s="41">
        <v>21.3</v>
      </c>
      <c r="F11" s="41">
        <v>26.56</v>
      </c>
      <c r="G11" s="41">
        <v>31.95</v>
      </c>
      <c r="H11" s="41">
        <v>35.049999999999997</v>
      </c>
    </row>
    <row r="12" spans="2:8" x14ac:dyDescent="0.35">
      <c r="B12" s="85"/>
      <c r="C12" s="3" t="s">
        <v>97</v>
      </c>
      <c r="D12" s="41">
        <v>58.61</v>
      </c>
      <c r="E12" s="41">
        <v>30.49</v>
      </c>
      <c r="F12" s="41">
        <v>38.729999999999997</v>
      </c>
      <c r="G12" s="41">
        <v>47.37</v>
      </c>
      <c r="H12" s="41">
        <v>52.3</v>
      </c>
    </row>
    <row r="13" spans="2:8" x14ac:dyDescent="0.35">
      <c r="B13" s="82" t="s">
        <v>14</v>
      </c>
      <c r="C13" s="3" t="s">
        <v>9</v>
      </c>
      <c r="D13" s="41">
        <v>37.21</v>
      </c>
      <c r="E13" s="41">
        <v>19.309999999999999</v>
      </c>
      <c r="F13" s="41">
        <v>25.04</v>
      </c>
      <c r="G13" s="41">
        <v>29.71</v>
      </c>
      <c r="H13" s="41">
        <v>32.86</v>
      </c>
    </row>
    <row r="14" spans="2:8" x14ac:dyDescent="0.35">
      <c r="B14" s="82"/>
      <c r="C14" s="3" t="s">
        <v>10</v>
      </c>
      <c r="D14" s="41">
        <v>27.88</v>
      </c>
      <c r="E14" s="41">
        <v>17.18</v>
      </c>
      <c r="F14" s="41">
        <v>19.989999999999998</v>
      </c>
      <c r="G14" s="41">
        <v>23.92</v>
      </c>
      <c r="H14" s="41">
        <v>25.71</v>
      </c>
    </row>
    <row r="15" spans="2:8" ht="14.25" x14ac:dyDescent="0.25">
      <c r="B15" s="23" t="s">
        <v>37</v>
      </c>
      <c r="C15" s="3" t="s">
        <v>9</v>
      </c>
      <c r="D15" s="41">
        <v>33.369999999999997</v>
      </c>
      <c r="E15" s="41">
        <v>19.05</v>
      </c>
      <c r="F15" s="41">
        <v>23.17</v>
      </c>
      <c r="G15" s="41">
        <v>27.47</v>
      </c>
      <c r="H15" s="41">
        <v>29.93</v>
      </c>
    </row>
    <row r="17" spans="2:8" ht="14.25" x14ac:dyDescent="0.25">
      <c r="B17" s="25" t="s">
        <v>123</v>
      </c>
      <c r="D17" s="3" t="s">
        <v>29</v>
      </c>
      <c r="E17" s="3" t="s">
        <v>28</v>
      </c>
      <c r="F17" s="3" t="s">
        <v>0</v>
      </c>
      <c r="G17" s="3" t="s">
        <v>1</v>
      </c>
      <c r="H17" s="3" t="s">
        <v>30</v>
      </c>
    </row>
    <row r="18" spans="2:8" ht="14.25" x14ac:dyDescent="0.25">
      <c r="B18" s="83" t="s">
        <v>22</v>
      </c>
      <c r="C18" s="83"/>
      <c r="D18" s="41">
        <v>30.74</v>
      </c>
      <c r="E18" s="41">
        <v>17.23</v>
      </c>
      <c r="F18" s="41">
        <v>21.26</v>
      </c>
      <c r="G18" s="41">
        <v>25.33</v>
      </c>
      <c r="H18" s="41">
        <v>27.66</v>
      </c>
    </row>
    <row r="19" spans="2:8" x14ac:dyDescent="0.35">
      <c r="B19" s="84" t="s">
        <v>8</v>
      </c>
      <c r="C19" s="3" t="s">
        <v>9</v>
      </c>
      <c r="D19" s="41">
        <v>26.64</v>
      </c>
      <c r="E19" s="41">
        <v>15.31</v>
      </c>
      <c r="F19" s="41">
        <v>18.7</v>
      </c>
      <c r="G19" s="41">
        <v>22.09</v>
      </c>
      <c r="H19" s="41">
        <v>24.04</v>
      </c>
    </row>
    <row r="20" spans="2:8" x14ac:dyDescent="0.35">
      <c r="B20" s="86"/>
      <c r="C20" s="3" t="s">
        <v>10</v>
      </c>
      <c r="D20" s="41">
        <v>36.89</v>
      </c>
      <c r="E20" s="41">
        <v>20.12</v>
      </c>
      <c r="F20" s="41">
        <v>25.09</v>
      </c>
      <c r="G20" s="41">
        <v>30.18</v>
      </c>
      <c r="H20" s="41">
        <v>33.1</v>
      </c>
    </row>
    <row r="21" spans="2:8" x14ac:dyDescent="0.35">
      <c r="B21" s="85"/>
      <c r="C21" s="3" t="s">
        <v>97</v>
      </c>
      <c r="D21" s="41">
        <v>55.35</v>
      </c>
      <c r="E21" s="41">
        <v>28.79</v>
      </c>
      <c r="F21" s="41">
        <v>36.58</v>
      </c>
      <c r="G21" s="41">
        <v>44.73</v>
      </c>
      <c r="H21" s="41">
        <v>49.4</v>
      </c>
    </row>
    <row r="22" spans="2:8" x14ac:dyDescent="0.35">
      <c r="B22" s="82" t="s">
        <v>14</v>
      </c>
      <c r="C22" s="3" t="s">
        <v>9</v>
      </c>
      <c r="D22" s="41">
        <v>35.14</v>
      </c>
      <c r="E22" s="41">
        <v>18.239999999999998</v>
      </c>
      <c r="F22" s="41">
        <v>23.65</v>
      </c>
      <c r="G22" s="41">
        <v>28.06</v>
      </c>
      <c r="H22" s="41">
        <v>31.03</v>
      </c>
    </row>
    <row r="23" spans="2:8" x14ac:dyDescent="0.35">
      <c r="B23" s="82"/>
      <c r="C23" s="3" t="s">
        <v>10</v>
      </c>
      <c r="D23" s="41">
        <v>26.33</v>
      </c>
      <c r="E23" s="41">
        <v>13.23</v>
      </c>
      <c r="F23" s="41">
        <v>18.88</v>
      </c>
      <c r="G23" s="41">
        <v>22.59</v>
      </c>
      <c r="H23" s="41">
        <v>24.28</v>
      </c>
    </row>
    <row r="24" spans="2:8" ht="14.25" x14ac:dyDescent="0.25">
      <c r="B24" s="33" t="s">
        <v>37</v>
      </c>
      <c r="C24" s="3" t="s">
        <v>9</v>
      </c>
      <c r="D24" s="41">
        <v>31.52</v>
      </c>
      <c r="E24" s="41">
        <v>17.989999999999998</v>
      </c>
      <c r="F24" s="41">
        <v>21.88</v>
      </c>
      <c r="G24" s="41">
        <v>25.94</v>
      </c>
      <c r="H24" s="41">
        <v>28.27</v>
      </c>
    </row>
    <row r="26" spans="2:8" ht="14.25" x14ac:dyDescent="0.25">
      <c r="B26" s="25" t="s">
        <v>124</v>
      </c>
      <c r="D26" s="3" t="s">
        <v>29</v>
      </c>
      <c r="E26" s="3" t="s">
        <v>28</v>
      </c>
      <c r="F26" s="3" t="s">
        <v>0</v>
      </c>
      <c r="G26" s="3" t="s">
        <v>1</v>
      </c>
      <c r="H26" s="3" t="s">
        <v>30</v>
      </c>
    </row>
    <row r="27" spans="2:8" ht="14.25" x14ac:dyDescent="0.25">
      <c r="B27" s="34" t="s">
        <v>22</v>
      </c>
      <c r="C27" s="34"/>
      <c r="D27" s="41">
        <v>34.58</v>
      </c>
      <c r="E27" s="41">
        <v>19.39</v>
      </c>
      <c r="F27" s="41">
        <v>23.92</v>
      </c>
      <c r="G27" s="41">
        <v>28.49</v>
      </c>
      <c r="H27" s="41">
        <v>31.12</v>
      </c>
    </row>
    <row r="28" spans="2:8" ht="14.25" x14ac:dyDescent="0.25">
      <c r="B28" s="35" t="s">
        <v>8</v>
      </c>
      <c r="C28" s="3" t="s">
        <v>9</v>
      </c>
      <c r="D28" s="41">
        <v>29.97</v>
      </c>
      <c r="E28" s="41">
        <v>17.22</v>
      </c>
      <c r="F28" s="41">
        <v>21.04</v>
      </c>
      <c r="G28" s="41">
        <v>24.86</v>
      </c>
      <c r="H28" s="41">
        <v>27.04</v>
      </c>
    </row>
    <row r="29" spans="2:8" ht="14.25" x14ac:dyDescent="0.25">
      <c r="B29" s="37"/>
      <c r="C29" s="3" t="s">
        <v>10</v>
      </c>
      <c r="D29" s="41">
        <v>41.5</v>
      </c>
      <c r="E29" s="41">
        <v>22.64</v>
      </c>
      <c r="F29" s="41">
        <v>28.22</v>
      </c>
      <c r="G29" s="41">
        <v>33.950000000000003</v>
      </c>
      <c r="H29" s="41">
        <v>37.24</v>
      </c>
    </row>
    <row r="30" spans="2:8" ht="14.25" x14ac:dyDescent="0.25">
      <c r="B30" s="36"/>
      <c r="C30" s="3" t="s">
        <v>97</v>
      </c>
      <c r="D30" s="41">
        <v>62.27</v>
      </c>
      <c r="E30" s="41">
        <v>32.39</v>
      </c>
      <c r="F30" s="41">
        <v>41.15</v>
      </c>
      <c r="G30" s="41">
        <v>50.33</v>
      </c>
      <c r="H30" s="41">
        <v>55.57</v>
      </c>
    </row>
    <row r="31" spans="2:8" x14ac:dyDescent="0.35">
      <c r="B31" s="84" t="s">
        <v>14</v>
      </c>
      <c r="C31" s="3" t="s">
        <v>9</v>
      </c>
      <c r="D31" s="41">
        <v>39.54</v>
      </c>
      <c r="E31" s="41">
        <v>20.52</v>
      </c>
      <c r="F31" s="41">
        <v>26.6</v>
      </c>
      <c r="G31" s="41">
        <v>31.57</v>
      </c>
      <c r="H31" s="41">
        <v>34.909999999999997</v>
      </c>
    </row>
    <row r="32" spans="2:8" x14ac:dyDescent="0.35">
      <c r="B32" s="85"/>
      <c r="C32" s="3" t="s">
        <v>10</v>
      </c>
      <c r="D32" s="41">
        <v>29.62</v>
      </c>
      <c r="E32" s="41">
        <v>18.25</v>
      </c>
      <c r="F32" s="41">
        <v>21.24</v>
      </c>
      <c r="G32" s="41">
        <v>25.42</v>
      </c>
      <c r="H32" s="41">
        <v>27.32</v>
      </c>
    </row>
    <row r="33" spans="2:8" x14ac:dyDescent="0.35">
      <c r="B33" s="33" t="s">
        <v>37</v>
      </c>
      <c r="C33" s="3" t="s">
        <v>9</v>
      </c>
      <c r="D33" s="41">
        <v>35.46</v>
      </c>
      <c r="E33" s="41">
        <v>20.239999999999998</v>
      </c>
      <c r="F33" s="41">
        <v>24.62</v>
      </c>
      <c r="G33" s="41">
        <v>29.18</v>
      </c>
      <c r="H33" s="41">
        <v>31.8</v>
      </c>
    </row>
  </sheetData>
  <sheetProtection algorithmName="SHA-512" hashValue="kZphA3v+2KNNexDGgDfAJtInZ9t30DhBHAwGiyfyIRDdyAQy7I5tp8nEpAFbEPtLyQDhH9TzSTJ79I2E3CuoqQ==" saltValue="IgJKoEvNglTaQsBajoxpyg==" spinCount="100000" sheet="1" objects="1" scenarios="1"/>
  <mergeCells count="7">
    <mergeCell ref="B31:B32"/>
    <mergeCell ref="B22:B23"/>
    <mergeCell ref="B9:C9"/>
    <mergeCell ref="B13:B14"/>
    <mergeCell ref="B18:C18"/>
    <mergeCell ref="B10:B12"/>
    <mergeCell ref="B19:B21"/>
  </mergeCells>
  <conditionalFormatting sqref="D9:H15">
    <cfRule type="cellIs" dxfId="63" priority="25" operator="equal">
      <formula>0</formula>
    </cfRule>
    <cfRule type="cellIs" dxfId="62" priority="26" operator="greaterThan">
      <formula>34.8</formula>
    </cfRule>
    <cfRule type="cellIs" dxfId="61" priority="27" operator="greaterThan">
      <formula>32</formula>
    </cfRule>
    <cfRule type="cellIs" dxfId="60" priority="28" operator="greaterThan">
      <formula>26.1</formula>
    </cfRule>
    <cfRule type="cellIs" dxfId="59" priority="29" operator="greaterThan">
      <formula>24</formula>
    </cfRule>
    <cfRule type="cellIs" dxfId="58" priority="30" operator="greaterThan">
      <formula>17.4</formula>
    </cfRule>
    <cfRule type="cellIs" dxfId="57" priority="31" operator="greaterThan">
      <formula>16</formula>
    </cfRule>
    <cfRule type="cellIs" dxfId="56" priority="32" operator="lessThanOrEqual">
      <formula>16</formula>
    </cfRule>
  </conditionalFormatting>
  <conditionalFormatting sqref="D18:H24">
    <cfRule type="cellIs" dxfId="55" priority="17" operator="equal">
      <formula>0</formula>
    </cfRule>
    <cfRule type="cellIs" dxfId="54" priority="18" operator="greaterThan">
      <formula>34.8</formula>
    </cfRule>
    <cfRule type="cellIs" dxfId="53" priority="19" operator="greaterThan">
      <formula>32</formula>
    </cfRule>
    <cfRule type="cellIs" dxfId="52" priority="20" operator="greaterThan">
      <formula>26.1</formula>
    </cfRule>
    <cfRule type="cellIs" dxfId="51" priority="21" operator="greaterThan">
      <formula>24</formula>
    </cfRule>
    <cfRule type="cellIs" dxfId="50" priority="22" operator="greaterThan">
      <formula>17.4</formula>
    </cfRule>
    <cfRule type="cellIs" dxfId="49" priority="23" operator="greaterThan">
      <formula>16</formula>
    </cfRule>
    <cfRule type="cellIs" dxfId="48" priority="24" operator="lessThanOrEqual">
      <formula>16</formula>
    </cfRule>
  </conditionalFormatting>
  <conditionalFormatting sqref="D18:H24">
    <cfRule type="cellIs" dxfId="47" priority="9" operator="equal">
      <formula>0</formula>
    </cfRule>
    <cfRule type="cellIs" dxfId="46" priority="10" operator="greaterThan">
      <formula>34.8</formula>
    </cfRule>
    <cfRule type="cellIs" dxfId="45" priority="11" operator="greaterThan">
      <formula>32</formula>
    </cfRule>
    <cfRule type="cellIs" dxfId="44" priority="12" operator="greaterThan">
      <formula>26.1</formula>
    </cfRule>
    <cfRule type="cellIs" dxfId="43" priority="13" operator="greaterThan">
      <formula>24</formula>
    </cfRule>
    <cfRule type="cellIs" dxfId="42" priority="14" operator="greaterThan">
      <formula>17.4</formula>
    </cfRule>
    <cfRule type="cellIs" dxfId="41" priority="15" operator="greaterThan">
      <formula>16</formula>
    </cfRule>
    <cfRule type="cellIs" dxfId="40" priority="16" operator="lessThanOrEqual">
      <formula>16</formula>
    </cfRule>
  </conditionalFormatting>
  <conditionalFormatting sqref="D27:H33">
    <cfRule type="cellIs" dxfId="39" priority="1" operator="equal">
      <formula>0</formula>
    </cfRule>
    <cfRule type="cellIs" dxfId="38" priority="2" operator="greaterThan">
      <formula>34.8</formula>
    </cfRule>
    <cfRule type="cellIs" dxfId="37" priority="3" operator="greaterThan">
      <formula>32</formula>
    </cfRule>
    <cfRule type="cellIs" dxfId="36" priority="4" operator="greaterThan">
      <formula>26.1</formula>
    </cfRule>
    <cfRule type="cellIs" dxfId="35" priority="5" operator="greaterThan">
      <formula>24</formula>
    </cfRule>
    <cfRule type="cellIs" dxfId="34" priority="6" operator="greaterThan">
      <formula>17.4</formula>
    </cfRule>
    <cfRule type="cellIs" dxfId="33" priority="7" operator="greaterThan">
      <formula>16</formula>
    </cfRule>
    <cfRule type="cellIs" dxfId="32" priority="8" operator="lessThanOrEqual">
      <formula>16</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H37"/>
  <sheetViews>
    <sheetView workbookViewId="0">
      <selection activeCell="G41" sqref="G41"/>
    </sheetView>
  </sheetViews>
  <sheetFormatPr defaultColWidth="9.109375" defaultRowHeight="15" x14ac:dyDescent="0.35"/>
  <cols>
    <col min="1" max="1" width="3.6640625" style="1" customWidth="1"/>
    <col min="2" max="2" width="31.44140625" style="1" bestFit="1" customWidth="1"/>
    <col min="3" max="3" width="21" style="1" customWidth="1"/>
    <col min="4" max="4" width="9.109375" style="1"/>
    <col min="5" max="5" width="10.109375" style="1" bestFit="1" customWidth="1"/>
    <col min="6" max="6" width="9.109375" style="1"/>
    <col min="7" max="7" width="10" style="1" bestFit="1" customWidth="1"/>
    <col min="8" max="8" width="10.44140625" style="1" customWidth="1"/>
    <col min="9" max="9" width="11" style="1" bestFit="1" customWidth="1"/>
    <col min="10" max="10" width="10" style="1" bestFit="1" customWidth="1"/>
    <col min="11" max="11" width="9.109375" style="1"/>
    <col min="12" max="12" width="10" style="1" bestFit="1" customWidth="1"/>
    <col min="13" max="13" width="9.109375" style="1"/>
    <col min="14" max="14" width="10.6640625" style="1" bestFit="1" customWidth="1"/>
    <col min="15" max="16384" width="9.109375" style="1"/>
  </cols>
  <sheetData>
    <row r="8" spans="2:8" ht="14.25" x14ac:dyDescent="0.25">
      <c r="B8" s="25" t="s">
        <v>125</v>
      </c>
      <c r="D8" s="3" t="s">
        <v>29</v>
      </c>
      <c r="E8" s="3" t="s">
        <v>28</v>
      </c>
      <c r="F8" s="3" t="s">
        <v>0</v>
      </c>
      <c r="G8" s="3" t="s">
        <v>1</v>
      </c>
      <c r="H8" s="3" t="s">
        <v>30</v>
      </c>
    </row>
    <row r="9" spans="2:8" ht="14.25" x14ac:dyDescent="0.25">
      <c r="B9" s="83" t="s">
        <v>22</v>
      </c>
      <c r="C9" s="83"/>
      <c r="D9" s="41">
        <v>79.05</v>
      </c>
      <c r="E9" s="41">
        <v>44.31</v>
      </c>
      <c r="F9" s="41">
        <v>54.66</v>
      </c>
      <c r="G9" s="41">
        <v>65.13</v>
      </c>
      <c r="H9" s="41">
        <v>71.12</v>
      </c>
    </row>
    <row r="10" spans="2:8" x14ac:dyDescent="0.35">
      <c r="B10" s="84" t="s">
        <v>8</v>
      </c>
      <c r="C10" s="3" t="s">
        <v>9</v>
      </c>
      <c r="D10" s="41">
        <v>68.5</v>
      </c>
      <c r="E10" s="41">
        <v>39.36</v>
      </c>
      <c r="F10" s="41">
        <v>48.09</v>
      </c>
      <c r="G10" s="41">
        <v>56.81</v>
      </c>
      <c r="H10" s="41">
        <v>61.8</v>
      </c>
    </row>
    <row r="11" spans="2:8" x14ac:dyDescent="0.35">
      <c r="B11" s="86"/>
      <c r="C11" s="3" t="s">
        <v>10</v>
      </c>
      <c r="D11" s="41">
        <v>94.87</v>
      </c>
      <c r="E11" s="41">
        <v>51.74</v>
      </c>
      <c r="F11" s="41">
        <v>64.510000000000005</v>
      </c>
      <c r="G11" s="41">
        <v>77.599999999999994</v>
      </c>
      <c r="H11" s="41">
        <v>85.11</v>
      </c>
    </row>
    <row r="12" spans="2:8" x14ac:dyDescent="0.35">
      <c r="B12" s="85"/>
      <c r="C12" s="3" t="s">
        <v>97</v>
      </c>
      <c r="D12" s="41">
        <v>142.34</v>
      </c>
      <c r="E12" s="41">
        <v>74.040000000000006</v>
      </c>
      <c r="F12" s="41">
        <v>94.06</v>
      </c>
      <c r="G12" s="41">
        <v>115.03</v>
      </c>
      <c r="H12" s="41">
        <v>126.99</v>
      </c>
    </row>
    <row r="13" spans="2:8" x14ac:dyDescent="0.35">
      <c r="B13" s="82" t="s">
        <v>14</v>
      </c>
      <c r="C13" s="3" t="s">
        <v>9</v>
      </c>
      <c r="D13" s="41">
        <v>90.37</v>
      </c>
      <c r="E13" s="41">
        <v>46.9</v>
      </c>
      <c r="F13" s="41">
        <v>60.81</v>
      </c>
      <c r="G13" s="41">
        <v>72.16</v>
      </c>
      <c r="H13" s="41">
        <v>79.8</v>
      </c>
    </row>
    <row r="14" spans="2:8" x14ac:dyDescent="0.35">
      <c r="B14" s="82"/>
      <c r="C14" s="3" t="s">
        <v>10</v>
      </c>
      <c r="D14" s="41">
        <v>67.709999999999994</v>
      </c>
      <c r="E14" s="41">
        <v>41.72</v>
      </c>
      <c r="F14" s="41">
        <v>48.55</v>
      </c>
      <c r="G14" s="41">
        <v>58.1</v>
      </c>
      <c r="H14" s="41">
        <v>62.44</v>
      </c>
    </row>
    <row r="15" spans="2:8" ht="14.25" x14ac:dyDescent="0.25">
      <c r="B15" s="33" t="s">
        <v>37</v>
      </c>
      <c r="C15" s="3" t="s">
        <v>9</v>
      </c>
      <c r="D15" s="41">
        <v>81.05</v>
      </c>
      <c r="E15" s="41">
        <v>46.27</v>
      </c>
      <c r="F15" s="41">
        <v>56.26</v>
      </c>
      <c r="G15" s="41">
        <v>66.7</v>
      </c>
      <c r="H15" s="41">
        <v>72.7</v>
      </c>
    </row>
    <row r="16" spans="2:8" x14ac:dyDescent="0.35">
      <c r="B16" s="82" t="s">
        <v>36</v>
      </c>
      <c r="C16" s="3" t="s">
        <v>68</v>
      </c>
      <c r="D16" s="41">
        <v>66.489999999999995</v>
      </c>
      <c r="E16" s="41">
        <v>32.94</v>
      </c>
      <c r="F16" s="41">
        <v>45.16</v>
      </c>
      <c r="G16" s="41">
        <v>55.49</v>
      </c>
      <c r="H16" s="41">
        <v>61.35</v>
      </c>
    </row>
    <row r="17" spans="2:8" x14ac:dyDescent="0.35">
      <c r="B17" s="82"/>
      <c r="C17" s="3" t="s">
        <v>26</v>
      </c>
      <c r="D17" s="41">
        <v>32.64</v>
      </c>
      <c r="E17" s="41">
        <v>2.27</v>
      </c>
      <c r="F17" s="41">
        <v>18.850000000000001</v>
      </c>
      <c r="G17" s="41">
        <v>28.99</v>
      </c>
      <c r="H17" s="41">
        <v>34.49</v>
      </c>
    </row>
    <row r="18" spans="2:8" x14ac:dyDescent="0.35">
      <c r="B18" s="82"/>
      <c r="C18" s="3" t="s">
        <v>84</v>
      </c>
      <c r="D18" s="41">
        <v>-63.18</v>
      </c>
      <c r="E18" s="41">
        <v>-85.11</v>
      </c>
      <c r="F18" s="41">
        <v>-60.15</v>
      </c>
      <c r="G18" s="41">
        <v>-50.93</v>
      </c>
      <c r="H18" s="41">
        <v>-46.51</v>
      </c>
    </row>
    <row r="19" spans="2:8" ht="14.25" x14ac:dyDescent="0.25">
      <c r="B19" s="52"/>
      <c r="C19" s="14"/>
      <c r="D19" s="53"/>
      <c r="E19" s="53"/>
      <c r="F19" s="53"/>
      <c r="G19" s="53"/>
      <c r="H19" s="53"/>
    </row>
    <row r="21" spans="2:8" ht="14.25" x14ac:dyDescent="0.25">
      <c r="B21" s="25" t="s">
        <v>126</v>
      </c>
      <c r="D21" s="3" t="s">
        <v>29</v>
      </c>
      <c r="E21" s="3" t="s">
        <v>28</v>
      </c>
      <c r="F21" s="3" t="s">
        <v>0</v>
      </c>
      <c r="G21" s="3" t="s">
        <v>1</v>
      </c>
      <c r="H21" s="3" t="s">
        <v>30</v>
      </c>
    </row>
    <row r="22" spans="2:8" ht="14.25" x14ac:dyDescent="0.25">
      <c r="B22" s="83" t="s">
        <v>22</v>
      </c>
      <c r="C22" s="83"/>
      <c r="D22" s="41">
        <v>69.17</v>
      </c>
      <c r="E22" s="41">
        <v>38.770000000000003</v>
      </c>
      <c r="F22" s="41">
        <v>47.83</v>
      </c>
      <c r="G22" s="41">
        <v>56.99</v>
      </c>
      <c r="H22" s="41">
        <v>62.23</v>
      </c>
    </row>
    <row r="23" spans="2:8" x14ac:dyDescent="0.35">
      <c r="B23" s="84" t="s">
        <v>8</v>
      </c>
      <c r="C23" s="3" t="s">
        <v>9</v>
      </c>
      <c r="D23" s="41">
        <v>59.94</v>
      </c>
      <c r="E23" s="41">
        <v>34.44</v>
      </c>
      <c r="F23" s="41">
        <v>42.08</v>
      </c>
      <c r="G23" s="41">
        <v>49.71</v>
      </c>
      <c r="H23" s="41">
        <v>54.08</v>
      </c>
    </row>
    <row r="24" spans="2:8" x14ac:dyDescent="0.35">
      <c r="B24" s="86"/>
      <c r="C24" s="3" t="s">
        <v>10</v>
      </c>
      <c r="D24" s="41">
        <v>83.01</v>
      </c>
      <c r="E24" s="41">
        <v>45.27</v>
      </c>
      <c r="F24" s="41">
        <v>56.44</v>
      </c>
      <c r="G24" s="41">
        <v>67.900000000000006</v>
      </c>
      <c r="H24" s="41">
        <v>74.47</v>
      </c>
    </row>
    <row r="25" spans="2:8" x14ac:dyDescent="0.35">
      <c r="B25" s="85"/>
      <c r="C25" s="3" t="s">
        <v>97</v>
      </c>
      <c r="D25" s="41">
        <v>124.54</v>
      </c>
      <c r="E25" s="41">
        <v>64.78</v>
      </c>
      <c r="F25" s="41">
        <v>82.3</v>
      </c>
      <c r="G25" s="41">
        <v>100.65</v>
      </c>
      <c r="H25" s="41">
        <v>111.12</v>
      </c>
    </row>
    <row r="26" spans="2:8" x14ac:dyDescent="0.35">
      <c r="B26" s="82" t="s">
        <v>14</v>
      </c>
      <c r="C26" s="3" t="s">
        <v>9</v>
      </c>
      <c r="D26" s="41">
        <v>79.069999999999993</v>
      </c>
      <c r="E26" s="41">
        <v>41.03</v>
      </c>
      <c r="F26" s="41">
        <v>53.21</v>
      </c>
      <c r="G26" s="41">
        <v>63.14</v>
      </c>
      <c r="H26" s="41">
        <v>69.83</v>
      </c>
    </row>
    <row r="27" spans="2:8" x14ac:dyDescent="0.35">
      <c r="B27" s="82"/>
      <c r="C27" s="3" t="s">
        <v>10</v>
      </c>
      <c r="D27" s="41">
        <v>59.25</v>
      </c>
      <c r="E27" s="41">
        <v>36.51</v>
      </c>
      <c r="F27" s="41">
        <v>42.48</v>
      </c>
      <c r="G27" s="41">
        <v>50.83</v>
      </c>
      <c r="H27" s="41">
        <v>54.64</v>
      </c>
    </row>
    <row r="28" spans="2:8" ht="14.25" x14ac:dyDescent="0.25">
      <c r="B28" s="31" t="s">
        <v>37</v>
      </c>
      <c r="C28" s="3" t="s">
        <v>9</v>
      </c>
      <c r="D28" s="41">
        <v>70.92</v>
      </c>
      <c r="E28" s="41">
        <v>40.49</v>
      </c>
      <c r="F28" s="41">
        <v>49.23</v>
      </c>
      <c r="G28" s="41">
        <v>58.37</v>
      </c>
      <c r="H28" s="41">
        <v>63.61</v>
      </c>
    </row>
    <row r="30" spans="2:8" ht="14.25" x14ac:dyDescent="0.25">
      <c r="B30" s="25" t="s">
        <v>127</v>
      </c>
      <c r="D30" s="3" t="s">
        <v>29</v>
      </c>
      <c r="E30" s="3" t="s">
        <v>28</v>
      </c>
      <c r="F30" s="3" t="s">
        <v>0</v>
      </c>
      <c r="G30" s="3" t="s">
        <v>1</v>
      </c>
      <c r="H30" s="3" t="s">
        <v>30</v>
      </c>
    </row>
    <row r="31" spans="2:8" x14ac:dyDescent="0.35">
      <c r="B31" s="83" t="s">
        <v>22</v>
      </c>
      <c r="C31" s="83"/>
      <c r="D31" s="41">
        <v>92.22</v>
      </c>
      <c r="E31" s="41">
        <v>51.7</v>
      </c>
      <c r="F31" s="41">
        <v>63.77</v>
      </c>
      <c r="G31" s="41">
        <v>75.98</v>
      </c>
      <c r="H31" s="41">
        <v>82.98</v>
      </c>
    </row>
    <row r="32" spans="2:8" x14ac:dyDescent="0.35">
      <c r="B32" s="84" t="s">
        <v>8</v>
      </c>
      <c r="C32" s="3" t="s">
        <v>9</v>
      </c>
      <c r="D32" s="41">
        <v>79.92</v>
      </c>
      <c r="E32" s="41">
        <v>45.92</v>
      </c>
      <c r="F32" s="41">
        <v>56.11</v>
      </c>
      <c r="G32" s="41">
        <v>66.28</v>
      </c>
      <c r="H32" s="41">
        <v>72.11</v>
      </c>
    </row>
    <row r="33" spans="2:8" x14ac:dyDescent="0.35">
      <c r="B33" s="86"/>
      <c r="C33" s="3" t="s">
        <v>10</v>
      </c>
      <c r="D33" s="41">
        <v>110.68</v>
      </c>
      <c r="E33" s="41">
        <v>60.36</v>
      </c>
      <c r="F33" s="41">
        <v>75.260000000000005</v>
      </c>
      <c r="G33" s="41">
        <v>90.54</v>
      </c>
      <c r="H33" s="41">
        <v>99.3</v>
      </c>
    </row>
    <row r="34" spans="2:8" x14ac:dyDescent="0.35">
      <c r="B34" s="85"/>
      <c r="C34" s="3" t="s">
        <v>97</v>
      </c>
      <c r="D34" s="41">
        <v>166.06</v>
      </c>
      <c r="E34" s="41">
        <v>86.38</v>
      </c>
      <c r="F34" s="41">
        <v>109.73</v>
      </c>
      <c r="G34" s="41">
        <v>134.19999999999999</v>
      </c>
      <c r="H34" s="41">
        <v>148.16</v>
      </c>
    </row>
    <row r="35" spans="2:8" x14ac:dyDescent="0.35">
      <c r="B35" s="82" t="s">
        <v>14</v>
      </c>
      <c r="C35" s="3" t="s">
        <v>9</v>
      </c>
      <c r="D35" s="41">
        <v>105.43</v>
      </c>
      <c r="E35" s="41">
        <v>54.71</v>
      </c>
      <c r="F35" s="41">
        <v>70.94</v>
      </c>
      <c r="G35" s="41">
        <v>84.19</v>
      </c>
      <c r="H35" s="41">
        <v>93.1</v>
      </c>
    </row>
    <row r="36" spans="2:8" x14ac:dyDescent="0.35">
      <c r="B36" s="82"/>
      <c r="C36" s="3" t="s">
        <v>10</v>
      </c>
      <c r="D36" s="41">
        <v>78.989999999999995</v>
      </c>
      <c r="E36" s="41">
        <v>48.68</v>
      </c>
      <c r="F36" s="41">
        <v>56.64</v>
      </c>
      <c r="G36" s="41">
        <v>67.78</v>
      </c>
      <c r="H36" s="41">
        <v>72.849999999999994</v>
      </c>
    </row>
    <row r="37" spans="2:8" x14ac:dyDescent="0.35">
      <c r="B37" s="31" t="s">
        <v>37</v>
      </c>
      <c r="C37" s="3" t="s">
        <v>9</v>
      </c>
      <c r="D37" s="41">
        <v>94.56</v>
      </c>
      <c r="E37" s="41">
        <v>53.98</v>
      </c>
      <c r="F37" s="41">
        <v>65.64</v>
      </c>
      <c r="G37" s="41">
        <v>77.819999999999993</v>
      </c>
      <c r="H37" s="41">
        <v>84.81</v>
      </c>
    </row>
  </sheetData>
  <sheetProtection algorithmName="SHA-512" hashValue="IT11UK5L+N9LdruhqEwVR17agsncCIWfl985fCny7VvC6vKp2LXmL6usadkPQTHpis/29l1LeELPxtaLNQ+sJw==" saltValue="1bszcKsu+Q2OOPfOYoFkgw==" spinCount="100000" sheet="1" objects="1" scenarios="1"/>
  <mergeCells count="10">
    <mergeCell ref="B31:C31"/>
    <mergeCell ref="B35:B36"/>
    <mergeCell ref="B23:B25"/>
    <mergeCell ref="B32:B34"/>
    <mergeCell ref="B9:C9"/>
    <mergeCell ref="B10:B12"/>
    <mergeCell ref="B13:B14"/>
    <mergeCell ref="B22:C22"/>
    <mergeCell ref="B26:B27"/>
    <mergeCell ref="B16:B18"/>
  </mergeCells>
  <conditionalFormatting sqref="D22:H28">
    <cfRule type="cellIs" dxfId="31" priority="33" operator="equal">
      <formula>0</formula>
    </cfRule>
    <cfRule type="cellIs" dxfId="30" priority="34" operator="greaterThan">
      <formula>79.2</formula>
    </cfRule>
    <cfRule type="cellIs" dxfId="29" priority="35" operator="greaterThan">
      <formula>74.4</formula>
    </cfRule>
    <cfRule type="cellIs" dxfId="28" priority="36" operator="greaterThan">
      <formula>59.4</formula>
    </cfRule>
    <cfRule type="cellIs" dxfId="27" priority="37" operator="greaterThan">
      <formula>55.8</formula>
    </cfRule>
    <cfRule type="cellIs" dxfId="26" priority="38" operator="greaterThan">
      <formula>39.6</formula>
    </cfRule>
    <cfRule type="cellIs" dxfId="25" priority="39" operator="greaterThan">
      <formula>37.2</formula>
    </cfRule>
    <cfRule type="cellIs" dxfId="24" priority="40" operator="lessThanOrEqual">
      <formula>37.2</formula>
    </cfRule>
  </conditionalFormatting>
  <conditionalFormatting sqref="D31:H37">
    <cfRule type="cellIs" dxfId="23" priority="25" operator="equal">
      <formula>0</formula>
    </cfRule>
    <cfRule type="cellIs" dxfId="22" priority="26" operator="greaterThan">
      <formula>79.2</formula>
    </cfRule>
    <cfRule type="cellIs" dxfId="21" priority="27" operator="greaterThan">
      <formula>74.4</formula>
    </cfRule>
    <cfRule type="cellIs" dxfId="20" priority="28" operator="greaterThan">
      <formula>59.4</formula>
    </cfRule>
    <cfRule type="cellIs" dxfId="19" priority="29" operator="greaterThan">
      <formula>55.8</formula>
    </cfRule>
    <cfRule type="cellIs" dxfId="18" priority="30" operator="greaterThan">
      <formula>39.6</formula>
    </cfRule>
    <cfRule type="cellIs" dxfId="17" priority="31" operator="greaterThan">
      <formula>37.2</formula>
    </cfRule>
    <cfRule type="cellIs" dxfId="16" priority="32" operator="lessThanOrEqual">
      <formula>37.2</formula>
    </cfRule>
  </conditionalFormatting>
  <conditionalFormatting sqref="D9:H15 D19:H19">
    <cfRule type="cellIs" dxfId="15" priority="17" operator="equal">
      <formula>0</formula>
    </cfRule>
    <cfRule type="cellIs" dxfId="14" priority="18" operator="greaterThan">
      <formula>79.2</formula>
    </cfRule>
    <cfRule type="cellIs" dxfId="13" priority="19" operator="greaterThan">
      <formula>74.4</formula>
    </cfRule>
    <cfRule type="cellIs" dxfId="12" priority="20" operator="greaterThan">
      <formula>59.4</formula>
    </cfRule>
    <cfRule type="cellIs" dxfId="11" priority="21" operator="greaterThan">
      <formula>55.8</formula>
    </cfRule>
    <cfRule type="cellIs" dxfId="10" priority="22" operator="greaterThan">
      <formula>39.6</formula>
    </cfRule>
    <cfRule type="cellIs" dxfId="9" priority="23" operator="greaterThan">
      <formula>37.2</formula>
    </cfRule>
    <cfRule type="cellIs" dxfId="8" priority="24" operator="lessThanOrEqual">
      <formula>37.2</formula>
    </cfRule>
  </conditionalFormatting>
  <conditionalFormatting sqref="D16:H18">
    <cfRule type="cellIs" dxfId="7" priority="1" operator="equal">
      <formula>0</formula>
    </cfRule>
    <cfRule type="cellIs" dxfId="6" priority="2" operator="greaterThan">
      <formula>79.2</formula>
    </cfRule>
    <cfRule type="cellIs" dxfId="5" priority="3" operator="greaterThan">
      <formula>74.4</formula>
    </cfRule>
    <cfRule type="cellIs" dxfId="4" priority="4" operator="greaterThan">
      <formula>59.4</formula>
    </cfRule>
    <cfRule type="cellIs" dxfId="3" priority="5" operator="greaterThan">
      <formula>55.8</formula>
    </cfRule>
    <cfRule type="cellIs" dxfId="2" priority="6" operator="greaterThan">
      <formula>39.6</formula>
    </cfRule>
    <cfRule type="cellIs" dxfId="1" priority="7" operator="greaterThan">
      <formula>37.2</formula>
    </cfRule>
    <cfRule type="cellIs" dxfId="0" priority="8" operator="lessThanOrEqual">
      <formula>37.2</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0"/>
  <sheetViews>
    <sheetView workbookViewId="0">
      <selection activeCell="M8" sqref="M8"/>
    </sheetView>
  </sheetViews>
  <sheetFormatPr defaultColWidth="9.109375" defaultRowHeight="15" x14ac:dyDescent="0.35"/>
  <cols>
    <col min="1" max="1" width="3.6640625" style="1" customWidth="1"/>
    <col min="2" max="2" width="10.88671875" style="1" customWidth="1"/>
    <col min="3" max="3" width="14.6640625" style="1" bestFit="1" customWidth="1"/>
    <col min="4" max="4" width="13.44140625" style="1" customWidth="1"/>
    <col min="5" max="5" width="18" style="1" customWidth="1"/>
    <col min="6" max="6" width="12.44140625" style="1" customWidth="1"/>
    <col min="7" max="7" width="12.109375" style="1" customWidth="1"/>
    <col min="8" max="8" width="12.6640625" style="1" customWidth="1"/>
    <col min="9" max="14" width="9.109375" style="1"/>
    <col min="15" max="15" width="20.109375" style="1" bestFit="1" customWidth="1"/>
    <col min="16" max="16" width="21.44140625" style="1" bestFit="1" customWidth="1"/>
    <col min="17" max="19" width="9.109375" style="1"/>
    <col min="20" max="20" width="10" style="1" bestFit="1" customWidth="1"/>
    <col min="21" max="16384" width="9.109375" style="1"/>
  </cols>
  <sheetData>
    <row r="2" spans="2:8" ht="16.5" x14ac:dyDescent="0.25">
      <c r="E2" s="58"/>
    </row>
    <row r="3" spans="2:8" ht="16.5" x14ac:dyDescent="0.25">
      <c r="E3" s="59"/>
    </row>
    <row r="5" spans="2:8" ht="14.25" x14ac:dyDescent="0.25">
      <c r="E5" s="25"/>
    </row>
    <row r="7" spans="2:8" ht="14.25" x14ac:dyDescent="0.25">
      <c r="B7" s="25" t="s">
        <v>167</v>
      </c>
    </row>
    <row r="8" spans="2:8" ht="14.25" x14ac:dyDescent="0.25">
      <c r="D8" s="55" t="s">
        <v>152</v>
      </c>
      <c r="E8" s="55" t="s">
        <v>153</v>
      </c>
      <c r="F8" s="55" t="s">
        <v>154</v>
      </c>
      <c r="G8" s="55" t="s">
        <v>155</v>
      </c>
      <c r="H8" s="55" t="s">
        <v>156</v>
      </c>
    </row>
    <row r="9" spans="2:8" x14ac:dyDescent="0.35">
      <c r="B9" s="94" t="s">
        <v>8</v>
      </c>
      <c r="C9" s="3" t="s">
        <v>93</v>
      </c>
      <c r="D9" s="3">
        <v>52.36</v>
      </c>
      <c r="E9" s="3">
        <v>62.16</v>
      </c>
      <c r="F9" s="3">
        <v>40.76</v>
      </c>
      <c r="G9" s="3">
        <v>35</v>
      </c>
      <c r="H9" s="3">
        <v>35.130000000000003</v>
      </c>
    </row>
    <row r="10" spans="2:8" x14ac:dyDescent="0.35">
      <c r="B10" s="94"/>
      <c r="C10" s="3" t="s">
        <v>9</v>
      </c>
      <c r="D10" s="32">
        <f>D9*1.2</f>
        <v>62.831999999999994</v>
      </c>
      <c r="E10" s="32">
        <f t="shared" ref="E10:H10" si="0">E9*1.2</f>
        <v>74.591999999999999</v>
      </c>
      <c r="F10" s="32">
        <f t="shared" si="0"/>
        <v>48.911999999999999</v>
      </c>
      <c r="G10" s="32">
        <f t="shared" si="0"/>
        <v>42</v>
      </c>
      <c r="H10" s="32">
        <f t="shared" si="0"/>
        <v>42.155999999999999</v>
      </c>
    </row>
    <row r="11" spans="2:8" x14ac:dyDescent="0.35">
      <c r="B11" s="94"/>
      <c r="C11" s="3" t="s">
        <v>10</v>
      </c>
      <c r="D11" s="32">
        <f>D9*0.8</f>
        <v>41.888000000000005</v>
      </c>
      <c r="E11" s="32">
        <f t="shared" ref="E11:H11" si="1">E9*0.8</f>
        <v>49.728000000000002</v>
      </c>
      <c r="F11" s="32">
        <f t="shared" si="1"/>
        <v>32.607999999999997</v>
      </c>
      <c r="G11" s="32">
        <f t="shared" si="1"/>
        <v>28</v>
      </c>
      <c r="H11" s="32">
        <f t="shared" si="1"/>
        <v>28.104000000000003</v>
      </c>
    </row>
    <row r="12" spans="2:8" x14ac:dyDescent="0.35">
      <c r="B12" s="94"/>
      <c r="C12" s="3" t="s">
        <v>103</v>
      </c>
      <c r="D12" s="3">
        <f>D9*0.5</f>
        <v>26.18</v>
      </c>
      <c r="E12" s="3">
        <f t="shared" ref="E12:H12" si="2">E9*0.5</f>
        <v>31.08</v>
      </c>
      <c r="F12" s="3">
        <f t="shared" si="2"/>
        <v>20.38</v>
      </c>
      <c r="G12" s="3">
        <f t="shared" si="2"/>
        <v>17.5</v>
      </c>
      <c r="H12" s="3">
        <f t="shared" si="2"/>
        <v>17.565000000000001</v>
      </c>
    </row>
    <row r="13" spans="2:8" x14ac:dyDescent="0.35">
      <c r="B13" s="94" t="s">
        <v>14</v>
      </c>
      <c r="C13" s="3" t="s">
        <v>94</v>
      </c>
      <c r="D13" s="3">
        <v>138</v>
      </c>
      <c r="E13" s="3">
        <v>68.8</v>
      </c>
      <c r="F13" s="3">
        <v>63.2</v>
      </c>
      <c r="G13" s="3">
        <v>140</v>
      </c>
      <c r="H13" s="3">
        <v>173.5</v>
      </c>
    </row>
    <row r="14" spans="2:8" x14ac:dyDescent="0.35">
      <c r="B14" s="94"/>
      <c r="C14" s="3" t="s">
        <v>104</v>
      </c>
      <c r="D14" s="32">
        <f>D13*1.2</f>
        <v>165.6</v>
      </c>
      <c r="E14" s="32">
        <f t="shared" ref="E14" si="3">E13*1.2</f>
        <v>82.559999999999988</v>
      </c>
      <c r="F14" s="32">
        <f t="shared" ref="F14" si="4">F13*1.2</f>
        <v>75.84</v>
      </c>
      <c r="G14" s="32">
        <f t="shared" ref="G14" si="5">G13*1.2</f>
        <v>168</v>
      </c>
      <c r="H14" s="32">
        <f t="shared" ref="H14" si="6">H13*1.2</f>
        <v>208.2</v>
      </c>
    </row>
    <row r="15" spans="2:8" x14ac:dyDescent="0.35">
      <c r="B15" s="94"/>
      <c r="C15" s="3" t="s">
        <v>105</v>
      </c>
      <c r="D15" s="32">
        <f>D13*0.8</f>
        <v>110.4</v>
      </c>
      <c r="E15" s="32">
        <f t="shared" ref="E15:H15" si="7">E13*0.8</f>
        <v>55.04</v>
      </c>
      <c r="F15" s="32">
        <f t="shared" si="7"/>
        <v>50.56</v>
      </c>
      <c r="G15" s="32">
        <f t="shared" si="7"/>
        <v>112</v>
      </c>
      <c r="H15" s="32">
        <f t="shared" si="7"/>
        <v>138.80000000000001</v>
      </c>
    </row>
    <row r="16" spans="2:8" x14ac:dyDescent="0.35">
      <c r="B16" s="94"/>
      <c r="C16" s="3" t="s">
        <v>95</v>
      </c>
      <c r="D16" s="3">
        <v>41.4</v>
      </c>
      <c r="E16" s="3"/>
      <c r="F16" s="3">
        <v>59</v>
      </c>
      <c r="G16" s="3"/>
      <c r="H16" s="3"/>
    </row>
    <row r="17" spans="2:12" x14ac:dyDescent="0.35">
      <c r="B17" s="94"/>
      <c r="C17" s="3" t="s">
        <v>96</v>
      </c>
      <c r="D17" s="32">
        <f>D16*1.2</f>
        <v>49.68</v>
      </c>
      <c r="E17" s="32"/>
      <c r="F17" s="32">
        <f t="shared" ref="F17" si="8">F16*1.2</f>
        <v>70.8</v>
      </c>
      <c r="G17" s="32"/>
      <c r="H17" s="32"/>
    </row>
    <row r="18" spans="2:12" x14ac:dyDescent="0.35">
      <c r="B18" s="94"/>
      <c r="C18" s="3" t="s">
        <v>102</v>
      </c>
      <c r="D18" s="32">
        <f>D16*0.8</f>
        <v>33.119999999999997</v>
      </c>
      <c r="E18" s="32"/>
      <c r="F18" s="32">
        <f t="shared" ref="F18" si="9">F16*0.8</f>
        <v>47.2</v>
      </c>
      <c r="G18" s="32"/>
      <c r="H18" s="32"/>
    </row>
    <row r="19" spans="2:12" x14ac:dyDescent="0.35">
      <c r="B19" s="94"/>
      <c r="C19" s="3" t="s">
        <v>99</v>
      </c>
      <c r="D19" s="3"/>
      <c r="E19" s="3">
        <v>17.2</v>
      </c>
      <c r="F19" s="3"/>
      <c r="G19" s="3"/>
      <c r="H19" s="3"/>
    </row>
    <row r="20" spans="2:12" x14ac:dyDescent="0.35">
      <c r="B20" s="94"/>
      <c r="C20" s="3" t="s">
        <v>100</v>
      </c>
      <c r="D20" s="32"/>
      <c r="E20" s="32">
        <f t="shared" ref="E20" si="10">E19*1.2</f>
        <v>20.639999999999997</v>
      </c>
      <c r="F20" s="32"/>
      <c r="G20" s="32"/>
      <c r="H20" s="32"/>
    </row>
    <row r="21" spans="2:12" x14ac:dyDescent="0.35">
      <c r="B21" s="94"/>
      <c r="C21" s="3" t="s">
        <v>101</v>
      </c>
      <c r="D21" s="32"/>
      <c r="E21" s="32">
        <f t="shared" ref="E21" si="11">E19*0.8</f>
        <v>13.76</v>
      </c>
      <c r="F21" s="32"/>
      <c r="G21" s="32"/>
      <c r="H21" s="32"/>
    </row>
    <row r="23" spans="2:12" ht="14.25" x14ac:dyDescent="0.25">
      <c r="B23" s="25" t="s">
        <v>138</v>
      </c>
      <c r="J23" s="45" t="s">
        <v>140</v>
      </c>
      <c r="K23" s="45" t="s">
        <v>159</v>
      </c>
    </row>
    <row r="24" spans="2:12" x14ac:dyDescent="0.35">
      <c r="B24" s="96" t="s">
        <v>118</v>
      </c>
      <c r="C24" s="72" t="s">
        <v>119</v>
      </c>
      <c r="D24" s="95"/>
      <c r="E24" s="95"/>
      <c r="F24" s="95"/>
      <c r="G24" s="95"/>
      <c r="H24" s="73"/>
      <c r="J24" s="3">
        <f>1*0.85</f>
        <v>0.85</v>
      </c>
      <c r="K24" s="3"/>
    </row>
    <row r="25" spans="2:12" x14ac:dyDescent="0.35">
      <c r="B25" s="97"/>
      <c r="C25" s="72" t="s">
        <v>120</v>
      </c>
      <c r="D25" s="95"/>
      <c r="E25" s="95"/>
      <c r="F25" s="95"/>
      <c r="G25" s="95"/>
      <c r="H25" s="73"/>
      <c r="J25" s="3">
        <f>J24*0.12</f>
        <v>0.10199999999999999</v>
      </c>
      <c r="K25" s="3"/>
    </row>
    <row r="26" spans="2:12" x14ac:dyDescent="0.35">
      <c r="B26" s="98"/>
      <c r="C26" s="72" t="s">
        <v>160</v>
      </c>
      <c r="D26" s="95"/>
      <c r="E26" s="95"/>
      <c r="F26" s="95"/>
      <c r="G26" s="95"/>
      <c r="H26" s="73"/>
      <c r="J26" s="3">
        <f>J25/0.9</f>
        <v>0.11333333333333333</v>
      </c>
      <c r="K26" s="3">
        <f>J25/0.6</f>
        <v>0.16999999999999998</v>
      </c>
    </row>
    <row r="27" spans="2:12" ht="14.25" x14ac:dyDescent="0.25">
      <c r="J27" s="3">
        <f>J26*6000</f>
        <v>680</v>
      </c>
      <c r="K27" s="3">
        <f>K26*6000</f>
        <v>1019.9999999999999</v>
      </c>
      <c r="L27" s="3" t="s">
        <v>151</v>
      </c>
    </row>
    <row r="29" spans="2:12" ht="14.25" x14ac:dyDescent="0.25">
      <c r="B29" s="25" t="s">
        <v>83</v>
      </c>
    </row>
    <row r="30" spans="2:12" ht="14.25" x14ac:dyDescent="0.25">
      <c r="B30" s="3">
        <v>1</v>
      </c>
      <c r="C30" s="3" t="s">
        <v>110</v>
      </c>
      <c r="D30" s="3">
        <v>50</v>
      </c>
      <c r="E30" s="3" t="s">
        <v>19</v>
      </c>
      <c r="J30" s="46">
        <f>17716364*(B34/1000)</f>
        <v>692906.68088888901</v>
      </c>
      <c r="K30" s="3" t="s">
        <v>139</v>
      </c>
    </row>
    <row r="31" spans="2:12" ht="14.25" x14ac:dyDescent="0.25">
      <c r="B31" s="3">
        <f>B30/50</f>
        <v>0.02</v>
      </c>
      <c r="C31" s="3" t="s">
        <v>111</v>
      </c>
      <c r="D31" s="24">
        <v>0.6</v>
      </c>
      <c r="E31" s="3" t="s">
        <v>114</v>
      </c>
    </row>
    <row r="32" spans="2:12" ht="14.25" x14ac:dyDescent="0.25">
      <c r="B32" s="3">
        <f>B31*1000/D33</f>
        <v>1.3333333333333333</v>
      </c>
      <c r="C32" s="3" t="s">
        <v>109</v>
      </c>
      <c r="D32" s="24">
        <v>0.4</v>
      </c>
      <c r="E32" s="3" t="s">
        <v>115</v>
      </c>
    </row>
    <row r="33" spans="2:9" x14ac:dyDescent="0.35">
      <c r="B33" s="3">
        <f>B32*(0.4/0.6)</f>
        <v>0.88888888888888895</v>
      </c>
      <c r="C33" s="3" t="s">
        <v>108</v>
      </c>
      <c r="D33" s="3">
        <v>15</v>
      </c>
      <c r="E33" s="3" t="s">
        <v>113</v>
      </c>
    </row>
    <row r="34" spans="2:9" x14ac:dyDescent="0.35">
      <c r="B34" s="3">
        <f>B33*D34</f>
        <v>39.111111111111114</v>
      </c>
      <c r="C34" s="3" t="s">
        <v>107</v>
      </c>
      <c r="D34" s="3">
        <v>44</v>
      </c>
      <c r="E34" s="3" t="s">
        <v>112</v>
      </c>
    </row>
    <row r="37" spans="2:9" x14ac:dyDescent="0.35">
      <c r="B37" s="25" t="s">
        <v>142</v>
      </c>
    </row>
    <row r="38" spans="2:9" ht="45" x14ac:dyDescent="0.35">
      <c r="C38" s="56" t="s">
        <v>157</v>
      </c>
      <c r="D38" s="56" t="s">
        <v>158</v>
      </c>
      <c r="E38" s="56" t="s">
        <v>150</v>
      </c>
      <c r="F38" s="57" t="s">
        <v>144</v>
      </c>
      <c r="G38" s="56" t="s">
        <v>145</v>
      </c>
      <c r="H38" s="56" t="s">
        <v>146</v>
      </c>
      <c r="I38" s="47"/>
    </row>
    <row r="39" spans="2:9" x14ac:dyDescent="0.35">
      <c r="B39" s="3" t="s">
        <v>29</v>
      </c>
      <c r="C39" s="49">
        <v>3044.22</v>
      </c>
      <c r="D39" s="50">
        <f>C39/3.6</f>
        <v>845.61666666666656</v>
      </c>
      <c r="E39" s="49">
        <f>D39*0.99</f>
        <v>837.16049999999984</v>
      </c>
      <c r="F39" s="49">
        <f>E39*1000</f>
        <v>837160.49999999988</v>
      </c>
      <c r="G39" s="49">
        <f>2000*0.8*E39</f>
        <v>1339456.7999999998</v>
      </c>
      <c r="H39" s="49">
        <f>2000*0.2*E39</f>
        <v>334864.19999999995</v>
      </c>
    </row>
    <row r="40" spans="2:9" x14ac:dyDescent="0.35">
      <c r="B40" s="3" t="s">
        <v>141</v>
      </c>
      <c r="C40" s="49">
        <v>344.64</v>
      </c>
      <c r="D40" s="50">
        <f>C40/3.6</f>
        <v>95.733333333333334</v>
      </c>
      <c r="E40" s="49">
        <f>D40*0.99</f>
        <v>94.775999999999996</v>
      </c>
      <c r="F40" s="49">
        <f>E40*1000</f>
        <v>94776</v>
      </c>
      <c r="G40" s="49">
        <f>2000*0.2*E40</f>
        <v>37910.400000000001</v>
      </c>
      <c r="H40" s="49">
        <f>2000*0.8*E40</f>
        <v>151641.60000000001</v>
      </c>
    </row>
    <row r="41" spans="2:9" x14ac:dyDescent="0.35">
      <c r="C41" s="48"/>
      <c r="D41" s="48"/>
      <c r="E41" s="51" t="s">
        <v>143</v>
      </c>
      <c r="F41" s="51">
        <f>SUM(F39:F40)</f>
        <v>931936.49999999988</v>
      </c>
      <c r="G41" s="51">
        <f>SUM(G39:G40)</f>
        <v>1377367.1999999997</v>
      </c>
      <c r="H41" s="51">
        <f>SUM(H39:H40)</f>
        <v>486505.79999999993</v>
      </c>
    </row>
    <row r="42" spans="2:9" x14ac:dyDescent="0.35">
      <c r="B42" s="3" t="s">
        <v>28</v>
      </c>
      <c r="C42" s="49">
        <v>3112.53</v>
      </c>
      <c r="D42" s="50">
        <f>C42/3.6</f>
        <v>864.5916666666667</v>
      </c>
      <c r="E42" s="49">
        <f>D42*0.99</f>
        <v>855.94574999999998</v>
      </c>
      <c r="F42" s="49">
        <f>E42*1000</f>
        <v>855945.75</v>
      </c>
      <c r="G42" s="49">
        <f>2000*0.8*E42</f>
        <v>1369513.2</v>
      </c>
      <c r="H42" s="49">
        <f>2000*0.2*E42</f>
        <v>342378.3</v>
      </c>
    </row>
    <row r="43" spans="2:9" x14ac:dyDescent="0.35">
      <c r="B43" s="3" t="s">
        <v>141</v>
      </c>
      <c r="C43" s="49">
        <v>344.64</v>
      </c>
      <c r="D43" s="50">
        <f>C43/3.6</f>
        <v>95.733333333333334</v>
      </c>
      <c r="E43" s="49">
        <f>D43*0.99</f>
        <v>94.775999999999996</v>
      </c>
      <c r="F43" s="49">
        <f>E43*1000</f>
        <v>94776</v>
      </c>
      <c r="G43" s="49">
        <f>2000*0.2*E43</f>
        <v>37910.400000000001</v>
      </c>
      <c r="H43" s="49">
        <f>2000*0.8*E43</f>
        <v>151641.60000000001</v>
      </c>
    </row>
    <row r="44" spans="2:9" x14ac:dyDescent="0.35">
      <c r="C44" s="48"/>
      <c r="D44" s="48"/>
      <c r="E44" s="51" t="s">
        <v>143</v>
      </c>
      <c r="F44" s="51">
        <f>SUM(F42:F43)</f>
        <v>950721.75</v>
      </c>
      <c r="G44" s="51">
        <f>SUM(G42:G43)</f>
        <v>1407423.5999999999</v>
      </c>
      <c r="H44" s="51">
        <f>SUM(H42:H43)</f>
        <v>494019.9</v>
      </c>
    </row>
    <row r="45" spans="2:9" x14ac:dyDescent="0.35">
      <c r="B45" s="3" t="s">
        <v>0</v>
      </c>
      <c r="C45" s="49">
        <v>3805.4</v>
      </c>
      <c r="D45" s="50">
        <f>C45/3.6</f>
        <v>1057.0555555555557</v>
      </c>
      <c r="E45" s="49">
        <f>D45*0.99</f>
        <v>1046.4850000000001</v>
      </c>
      <c r="F45" s="49">
        <f>E45*1000</f>
        <v>1046485.0000000001</v>
      </c>
      <c r="G45" s="49">
        <f>2000*0.8*E45</f>
        <v>1674376.0000000002</v>
      </c>
      <c r="H45" s="49">
        <f>2000*0.2*E45</f>
        <v>418594.00000000006</v>
      </c>
    </row>
    <row r="46" spans="2:9" x14ac:dyDescent="0.35">
      <c r="B46" s="3" t="s">
        <v>141</v>
      </c>
      <c r="C46" s="49">
        <v>344.64</v>
      </c>
      <c r="D46" s="50">
        <f>C46/3.6</f>
        <v>95.733333333333334</v>
      </c>
      <c r="E46" s="49">
        <f>D46*0.99</f>
        <v>94.775999999999996</v>
      </c>
      <c r="F46" s="49">
        <f>E46*1000</f>
        <v>94776</v>
      </c>
      <c r="G46" s="49">
        <f>2000*0.2*E46</f>
        <v>37910.400000000001</v>
      </c>
      <c r="H46" s="49">
        <f>2000*0.8*E46</f>
        <v>151641.60000000001</v>
      </c>
    </row>
    <row r="47" spans="2:9" x14ac:dyDescent="0.35">
      <c r="C47" s="48"/>
      <c r="D47" s="48"/>
      <c r="E47" s="51" t="s">
        <v>143</v>
      </c>
      <c r="F47" s="51">
        <f>SUM(F45:F46)</f>
        <v>1141261</v>
      </c>
      <c r="G47" s="51">
        <f>SUM(G45:G46)</f>
        <v>1712286.4000000001</v>
      </c>
      <c r="H47" s="51">
        <f>SUM(H45:H46)</f>
        <v>570235.60000000009</v>
      </c>
    </row>
    <row r="48" spans="2:9" x14ac:dyDescent="0.35">
      <c r="B48" s="3" t="s">
        <v>1</v>
      </c>
      <c r="C48" s="49">
        <v>3877.2</v>
      </c>
      <c r="D48" s="50">
        <f>C48/3.6</f>
        <v>1077</v>
      </c>
      <c r="E48" s="49">
        <f>D48*0.99</f>
        <v>1066.23</v>
      </c>
      <c r="F48" s="49">
        <f>E48*1000</f>
        <v>1066230</v>
      </c>
      <c r="G48" s="49">
        <f>2000*0.8*E48</f>
        <v>1705968</v>
      </c>
      <c r="H48" s="49">
        <f>2000*0.2*E48</f>
        <v>426492</v>
      </c>
    </row>
    <row r="49" spans="2:8" x14ac:dyDescent="0.35">
      <c r="B49" s="3" t="s">
        <v>141</v>
      </c>
      <c r="C49" s="49">
        <v>344.64</v>
      </c>
      <c r="D49" s="50">
        <f>C49/3.6</f>
        <v>95.733333333333334</v>
      </c>
      <c r="E49" s="49">
        <f>D49*0.99</f>
        <v>94.775999999999996</v>
      </c>
      <c r="F49" s="49">
        <f>E49*1000</f>
        <v>94776</v>
      </c>
      <c r="G49" s="49">
        <f>2000*0.2*E49</f>
        <v>37910.400000000001</v>
      </c>
      <c r="H49" s="49">
        <f>2000*0.8*E49</f>
        <v>151641.60000000001</v>
      </c>
    </row>
    <row r="50" spans="2:8" x14ac:dyDescent="0.35">
      <c r="C50" s="48"/>
      <c r="D50" s="48"/>
      <c r="E50" s="51" t="s">
        <v>143</v>
      </c>
      <c r="F50" s="51">
        <f>SUM(F48:F49)</f>
        <v>1161006</v>
      </c>
      <c r="G50" s="51">
        <f>SUM(G48:G49)</f>
        <v>1743878.4</v>
      </c>
      <c r="H50" s="51">
        <f>SUM(H48:H49)</f>
        <v>578133.6</v>
      </c>
    </row>
    <row r="51" spans="2:8" x14ac:dyDescent="0.35">
      <c r="B51" s="3" t="s">
        <v>30</v>
      </c>
      <c r="C51" s="49">
        <v>3877.2</v>
      </c>
      <c r="D51" s="50">
        <f>C51/3.6</f>
        <v>1077</v>
      </c>
      <c r="E51" s="49">
        <f>D51*0.99</f>
        <v>1066.23</v>
      </c>
      <c r="F51" s="49">
        <f>E51*1000</f>
        <v>1066230</v>
      </c>
      <c r="G51" s="49">
        <f>2000*0.8*E51</f>
        <v>1705968</v>
      </c>
      <c r="H51" s="49">
        <f>2000*0.2*E51</f>
        <v>426492</v>
      </c>
    </row>
    <row r="52" spans="2:8" x14ac:dyDescent="0.35">
      <c r="B52" s="3" t="s">
        <v>141</v>
      </c>
      <c r="C52" s="49">
        <v>344.64</v>
      </c>
      <c r="D52" s="50">
        <f>C52/3.6</f>
        <v>95.733333333333334</v>
      </c>
      <c r="E52" s="49">
        <f>D52*0.99</f>
        <v>94.775999999999996</v>
      </c>
      <c r="F52" s="49">
        <f>E52*1000</f>
        <v>94776</v>
      </c>
      <c r="G52" s="49">
        <f>2000*0.2*E52</f>
        <v>37910.400000000001</v>
      </c>
      <c r="H52" s="49">
        <f>2000*0.8*E52</f>
        <v>151641.60000000001</v>
      </c>
    </row>
    <row r="53" spans="2:8" x14ac:dyDescent="0.35">
      <c r="C53" s="48"/>
      <c r="D53" s="48"/>
      <c r="E53" s="51" t="s">
        <v>143</v>
      </c>
      <c r="F53" s="51">
        <f>SUM(F51:F52)</f>
        <v>1161006</v>
      </c>
      <c r="G53" s="51">
        <f>SUM(G51:G52)</f>
        <v>1743878.4</v>
      </c>
      <c r="H53" s="51">
        <f>SUM(H51:H52)</f>
        <v>578133.6</v>
      </c>
    </row>
    <row r="55" spans="2:8" s="25" customFormat="1" ht="45" x14ac:dyDescent="0.35">
      <c r="E55" s="56" t="s">
        <v>149</v>
      </c>
      <c r="F55" s="57" t="s">
        <v>144</v>
      </c>
      <c r="G55" s="56" t="s">
        <v>145</v>
      </c>
      <c r="H55" s="56" t="s">
        <v>146</v>
      </c>
    </row>
    <row r="56" spans="2:8" x14ac:dyDescent="0.35">
      <c r="D56" s="3" t="s">
        <v>29</v>
      </c>
      <c r="E56" s="49">
        <f>D39*0.35</f>
        <v>295.96583333333325</v>
      </c>
      <c r="F56" s="49">
        <f>E56*1000</f>
        <v>295965.83333333326</v>
      </c>
      <c r="G56" s="49">
        <f>2000*0.8*E56</f>
        <v>473545.3333333332</v>
      </c>
      <c r="H56" s="49">
        <f>2000*0.2*E56</f>
        <v>118386.3333333333</v>
      </c>
    </row>
    <row r="57" spans="2:8" x14ac:dyDescent="0.35">
      <c r="D57" s="3" t="s">
        <v>141</v>
      </c>
      <c r="E57" s="49">
        <f>D40*0.35</f>
        <v>33.506666666666668</v>
      </c>
      <c r="F57" s="49">
        <f>E57*1000</f>
        <v>33506.666666666664</v>
      </c>
      <c r="G57" s="49">
        <f>2000*0.2*E57</f>
        <v>13402.666666666668</v>
      </c>
      <c r="H57" s="49">
        <f>2000*0.8*E57</f>
        <v>53610.666666666672</v>
      </c>
    </row>
    <row r="58" spans="2:8" x14ac:dyDescent="0.35">
      <c r="E58" s="51" t="s">
        <v>143</v>
      </c>
      <c r="F58" s="51">
        <f>SUM(F56:F57)</f>
        <v>329472.49999999994</v>
      </c>
      <c r="G58" s="51">
        <f>SUM(G56:G57)</f>
        <v>486947.99999999988</v>
      </c>
      <c r="H58" s="51">
        <f>SUM(H56:H57)</f>
        <v>171996.99999999997</v>
      </c>
    </row>
    <row r="59" spans="2:8" x14ac:dyDescent="0.35">
      <c r="D59" s="3" t="s">
        <v>28</v>
      </c>
      <c r="E59" s="49">
        <f>D42*0.35</f>
        <v>302.60708333333332</v>
      </c>
      <c r="F59" s="49">
        <f>E59*1000</f>
        <v>302607.08333333331</v>
      </c>
      <c r="G59" s="49">
        <f>2000*0.8*E59</f>
        <v>484171.33333333331</v>
      </c>
      <c r="H59" s="49">
        <f>2000*0.2*E59</f>
        <v>121042.83333333333</v>
      </c>
    </row>
    <row r="60" spans="2:8" x14ac:dyDescent="0.35">
      <c r="D60" s="3" t="s">
        <v>141</v>
      </c>
      <c r="E60" s="49">
        <f>D43*0.35</f>
        <v>33.506666666666668</v>
      </c>
      <c r="F60" s="49">
        <f>E60*1000</f>
        <v>33506.666666666664</v>
      </c>
      <c r="G60" s="49">
        <f>2000*0.2*E60</f>
        <v>13402.666666666668</v>
      </c>
      <c r="H60" s="49">
        <f>2000*0.8*E60</f>
        <v>53610.666666666672</v>
      </c>
    </row>
    <row r="61" spans="2:8" x14ac:dyDescent="0.35">
      <c r="E61" s="51" t="s">
        <v>143</v>
      </c>
      <c r="F61" s="51">
        <f>SUM(F59:F60)</f>
        <v>336113.75</v>
      </c>
      <c r="G61" s="51">
        <f>SUM(G59:G60)</f>
        <v>497574</v>
      </c>
      <c r="H61" s="51">
        <f>SUM(H59:H60)</f>
        <v>174653.5</v>
      </c>
    </row>
    <row r="62" spans="2:8" x14ac:dyDescent="0.35">
      <c r="D62" s="3" t="s">
        <v>0</v>
      </c>
      <c r="E62" s="49">
        <f>D45*0.35</f>
        <v>369.96944444444443</v>
      </c>
      <c r="F62" s="49">
        <f>E62*1000</f>
        <v>369969.44444444444</v>
      </c>
      <c r="G62" s="49">
        <f>2000*0.8*E62</f>
        <v>591951.11111111112</v>
      </c>
      <c r="H62" s="49">
        <f>2000*0.2*E62</f>
        <v>147987.77777777778</v>
      </c>
    </row>
    <row r="63" spans="2:8" x14ac:dyDescent="0.35">
      <c r="D63" s="3" t="s">
        <v>141</v>
      </c>
      <c r="E63" s="49">
        <f>D46*0.35</f>
        <v>33.506666666666668</v>
      </c>
      <c r="F63" s="49">
        <f>E63*1000</f>
        <v>33506.666666666664</v>
      </c>
      <c r="G63" s="49">
        <f>2000*0.2*E63</f>
        <v>13402.666666666668</v>
      </c>
      <c r="H63" s="49">
        <f>2000*0.8*E63</f>
        <v>53610.666666666672</v>
      </c>
    </row>
    <row r="64" spans="2:8" x14ac:dyDescent="0.35">
      <c r="E64" s="51" t="s">
        <v>143</v>
      </c>
      <c r="F64" s="51">
        <f>SUM(F62:F63)</f>
        <v>403476.11111111112</v>
      </c>
      <c r="G64" s="51">
        <f>SUM(G62:G63)</f>
        <v>605353.77777777775</v>
      </c>
      <c r="H64" s="51">
        <f>SUM(H62:H63)</f>
        <v>201598.44444444444</v>
      </c>
    </row>
    <row r="65" spans="4:8" x14ac:dyDescent="0.35">
      <c r="D65" s="3" t="s">
        <v>1</v>
      </c>
      <c r="E65" s="49">
        <f>D48*0.35</f>
        <v>376.95</v>
      </c>
      <c r="F65" s="49">
        <f>E65*1000</f>
        <v>376950</v>
      </c>
      <c r="G65" s="49">
        <f>2000*0.8*E65</f>
        <v>603120</v>
      </c>
      <c r="H65" s="49">
        <f>2000*0.2*E65</f>
        <v>150780</v>
      </c>
    </row>
    <row r="66" spans="4:8" x14ac:dyDescent="0.35">
      <c r="D66" s="3" t="s">
        <v>141</v>
      </c>
      <c r="E66" s="49">
        <f>D49*0.35</f>
        <v>33.506666666666668</v>
      </c>
      <c r="F66" s="49">
        <f>E66*1000</f>
        <v>33506.666666666664</v>
      </c>
      <c r="G66" s="49">
        <f>2000*0.2*E66</f>
        <v>13402.666666666668</v>
      </c>
      <c r="H66" s="49">
        <f>2000*0.8*E66</f>
        <v>53610.666666666672</v>
      </c>
    </row>
    <row r="67" spans="4:8" x14ac:dyDescent="0.35">
      <c r="E67" s="51" t="s">
        <v>143</v>
      </c>
      <c r="F67" s="51">
        <f>SUM(F65:F66)</f>
        <v>410456.66666666669</v>
      </c>
      <c r="G67" s="51">
        <f>SUM(G65:G66)</f>
        <v>616522.66666666663</v>
      </c>
      <c r="H67" s="51">
        <f>SUM(H65:H66)</f>
        <v>204390.66666666669</v>
      </c>
    </row>
    <row r="68" spans="4:8" x14ac:dyDescent="0.35">
      <c r="D68" s="3" t="s">
        <v>30</v>
      </c>
      <c r="E68" s="49">
        <f>D51*0.35</f>
        <v>376.95</v>
      </c>
      <c r="F68" s="49">
        <f>E68*1000</f>
        <v>376950</v>
      </c>
      <c r="G68" s="49">
        <f>2000*0.8*E68</f>
        <v>603120</v>
      </c>
      <c r="H68" s="49">
        <f>2000*0.2*E68</f>
        <v>150780</v>
      </c>
    </row>
    <row r="69" spans="4:8" x14ac:dyDescent="0.35">
      <c r="D69" s="3" t="s">
        <v>141</v>
      </c>
      <c r="E69" s="49">
        <f>D52*0.35</f>
        <v>33.506666666666668</v>
      </c>
      <c r="F69" s="49">
        <f>E69*1000</f>
        <v>33506.666666666664</v>
      </c>
      <c r="G69" s="49">
        <f>2000*0.2*E69</f>
        <v>13402.666666666668</v>
      </c>
      <c r="H69" s="49">
        <f>2000*0.8*E69</f>
        <v>53610.666666666672</v>
      </c>
    </row>
    <row r="70" spans="4:8" x14ac:dyDescent="0.35">
      <c r="E70" s="51" t="s">
        <v>143</v>
      </c>
      <c r="F70" s="51">
        <f>SUM(F68:F69)</f>
        <v>410456.66666666669</v>
      </c>
      <c r="G70" s="51">
        <f>SUM(G68:G69)</f>
        <v>616522.66666666663</v>
      </c>
      <c r="H70" s="51">
        <f>SUM(H68:H69)</f>
        <v>204390.66666666669</v>
      </c>
    </row>
  </sheetData>
  <sheetProtection algorithmName="SHA-512" hashValue="zLRtopDlFcwmQoU97nPJ3YjviBoBF980aVwFYXKA65qxX/dC0i2JjnbdMMoaP07+xFLqlk7PatP5Dc9X2SjcAQ==" saltValue="56aAj3v9gIfew6gipDvu0g==" spinCount="100000" sheet="1" objects="1" scenarios="1"/>
  <mergeCells count="6">
    <mergeCell ref="B9:B12"/>
    <mergeCell ref="B13:B21"/>
    <mergeCell ref="C24:H24"/>
    <mergeCell ref="C25:H25"/>
    <mergeCell ref="C26:H26"/>
    <mergeCell ref="B24:B26"/>
  </mergeCells>
  <pageMargins left="0.7" right="0.7" top="0.75" bottom="0.75" header="0.3" footer="0.3"/>
  <pageSetup paperSize="9" orientation="portrait" verticalDpi="0" r:id="rId1"/>
  <ignoredErrors>
    <ignoredError sqref="F41:F5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E23E98928EDF4A952CE53FBB0F8852" ma:contentTypeVersion="35" ma:contentTypeDescription="Create a new document." ma:contentTypeScope="" ma:versionID="133afc82052242a44fe0b446a87d6c6d">
  <xsd:schema xmlns:xsd="http://www.w3.org/2001/XMLSchema" xmlns:xs="http://www.w3.org/2001/XMLSchema" xmlns:p="http://schemas.microsoft.com/office/2006/metadata/properties" targetNamespace="http://schemas.microsoft.com/office/2006/metadata/properties" ma:root="true" ma:fieldsID="cc6c26953aa8a59c7f6cdae8216798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ADEE0-6E2B-45AE-AF9E-47D303B15BD7}">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C955DD7-81B1-4279-A1A8-866202661246}">
  <ds:schemaRefs>
    <ds:schemaRef ds:uri="http://schemas.microsoft.com/sharepoint/v3/contenttype/forms"/>
  </ds:schemaRefs>
</ds:datastoreItem>
</file>

<file path=customXml/itemProps3.xml><?xml version="1.0" encoding="utf-8"?>
<ds:datastoreItem xmlns:ds="http://schemas.openxmlformats.org/officeDocument/2006/customXml" ds:itemID="{91530DFE-80A5-476B-8BD4-2A6A22258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Criteria</vt:lpstr>
      <vt:lpstr>Biomethane</vt:lpstr>
      <vt:lpstr>CHP</vt:lpstr>
      <vt:lpstr>Boiler</vt:lpstr>
      <vt:lpstr>Electricity</vt:lpstr>
      <vt:lpstr>Variables 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Goldsworthy</dc:creator>
  <cp:lastModifiedBy>Hollingshead Paul (Communications)</cp:lastModifiedBy>
  <dcterms:created xsi:type="dcterms:W3CDTF">2016-01-21T09:33:20Z</dcterms:created>
  <dcterms:modified xsi:type="dcterms:W3CDTF">2016-12-13T13:17:20Z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0x0101001AE23E98928EDF4A952CE53FBB0F8852</vt:lpwstr>
  </property>
</Properties>
</file>