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A229" lockStructure="1"/>
  <bookViews>
    <workbookView xWindow="-12" yWindow="48" windowWidth="11520" windowHeight="9276"/>
  </bookViews>
  <sheets>
    <sheet name="Information" sheetId="13" r:id="rId1"/>
    <sheet name="Scorecard" sheetId="8" r:id="rId2"/>
    <sheet name="Calculations" sheetId="10" state="hidden" r:id="rId3"/>
    <sheet name="Data Key" sheetId="12" state="hidden" r:id="rId4"/>
    <sheet name="Data" sheetId="2" state="hidden" r:id="rId5"/>
    <sheet name="Version Control" sheetId="14" state="hidden" r:id="rId6"/>
    <sheet name="Technical Notes" sheetId="18" r:id="rId7"/>
    <sheet name="Primary Summary Data" sheetId="15" r:id="rId8"/>
    <sheet name="Secondary Summary Data" sheetId="16" r:id="rId9"/>
    <sheet name="Statistical Neighbours" sheetId="19" r:id="rId10"/>
  </sheets>
  <definedNames>
    <definedName name="_xlnm._FilterDatabase" localSheetId="4" hidden="1">Data!$A$1:$CC$153</definedName>
    <definedName name="_xlnm._FilterDatabase" localSheetId="7" hidden="1">'Primary Summary Data'!$A$3:$AR$155</definedName>
    <definedName name="_xlnm._FilterDatabase" localSheetId="8" hidden="1">'Secondary Summary Data'!$A$3:$AR$155</definedName>
    <definedName name="Auth_num">Calculations!$A$2:$A$153</definedName>
    <definedName name="Authorities">Calculations!$B$2:$B$153</definedName>
    <definedName name="Ban_P_gro">Data!$CD$2:$CD$153</definedName>
    <definedName name="Ban_S_gro">Data!$CE$2:$CE$153</definedName>
    <definedName name="BNfunding">Calculations!$M$70</definedName>
    <definedName name="chosen_LA">Calculations!$E$2</definedName>
    <definedName name="Chosen_laNUM">Calculations!$E$3</definedName>
    <definedName name="chosen_phase">Calculations!$F$2</definedName>
    <definedName name="Chosen_Qual">Calculations!$G$2</definedName>
    <definedName name="cost_lab1">Calculations!$L$29</definedName>
    <definedName name="cost_lab2">Calculations!$L$30</definedName>
    <definedName name="cost_lab3">Calculations!$L$31</definedName>
    <definedName name="Cost_P_EP">Data!$BD$2:$BD$153</definedName>
    <definedName name="Cost_P_EPn">Data!$BX$2:$BX$153</definedName>
    <definedName name="Cost_P_EPRanks">Data!$BG$2:$BG$153</definedName>
    <definedName name="Cost_P_ET">Data!$BE$2:$BE$153</definedName>
    <definedName name="Cost_P_ETn">Data!$BY$2:$BY$153</definedName>
    <definedName name="Cost_P_NS">Data!$BF$2:$BF$153</definedName>
    <definedName name="Cost_P_NSn">Data!$BZ$2:$BZ$153</definedName>
    <definedName name="Cost_P_RN_EP">Data!$BR$2:$BR$153</definedName>
    <definedName name="Cost_P_RN_ET">Data!$BS$2:$BS$153</definedName>
    <definedName name="Cost_P_RN_NS">Data!$BT$2:$BT$153</definedName>
    <definedName name="Cost_P_SN_EP">Data!$BL$2:$BL$153</definedName>
    <definedName name="Cost_P_SN_ET">Data!$BM$2:$BM$153</definedName>
    <definedName name="Cost_P_SN_NS">Data!$BN$2:$BN$153</definedName>
    <definedName name="Cost_S_EP">Data!$BH$2:$BH$153</definedName>
    <definedName name="Cost_S_EPn">Data!$CA$2:$CA$153</definedName>
    <definedName name="Cost_S_EPRanks">Data!$BK$2:$BK$153</definedName>
    <definedName name="Cost_S_ET">Data!$BI$2:$BI$153</definedName>
    <definedName name="Cost_S_ETn">Data!$CB$2:$CB$153</definedName>
    <definedName name="Cost_S_NS">Data!$BJ$2:$BJ$153</definedName>
    <definedName name="Cost_S_NSn">Data!$CC$2:$CC$153</definedName>
    <definedName name="Cost_S_RN_EP">Data!$BU$2:$BU$153</definedName>
    <definedName name="Cost_S_RN_ET">Data!$BV$2:$BV$153</definedName>
    <definedName name="Cost_S_RN_NS">Data!$BW$2:$BW$153</definedName>
    <definedName name="Cost_S_SN_EP">Data!$BO$2:$BO$153</definedName>
    <definedName name="Cost_S_SN_ET">Data!$BP$2:$BP$153</definedName>
    <definedName name="Cost_S_SN_NS">Data!$BQ$2:$BQ$153</definedName>
    <definedName name="ct_key1">Calculations!$K$33</definedName>
    <definedName name="ct_lab5">Calculations!$P$29</definedName>
    <definedName name="ct_lab6">Calculations!$Q$29</definedName>
    <definedName name="Existing">Calculations!$L$19</definedName>
    <definedName name="For_1_P">Data!$C$2:$C$153</definedName>
    <definedName name="For_1_S">Data!$E$2:$E$153</definedName>
    <definedName name="for_1_value">Calculations!$L$10</definedName>
    <definedName name="For_3_P">Data!$B$2:$B$153</definedName>
    <definedName name="For_3_S">Data!$D$2:$D$153</definedName>
    <definedName name="for_3_value">Calculations!$L$11</definedName>
    <definedName name="for_lab1">Calculations!$K$14</definedName>
    <definedName name="for_lab2">Calculations!$L$14</definedName>
    <definedName name="for_lab3">Calculations!$M$14</definedName>
    <definedName name="for_lab4">Calculations!$N$14</definedName>
    <definedName name="For_lab5">Calculations!$O$14</definedName>
    <definedName name="For_LAranking">Calculations!$O$15</definedName>
    <definedName name="for_lavb3">Calculations!$M$14</definedName>
    <definedName name="Funding">Data!$CF$2:$CF$153</definedName>
    <definedName name="Funding_lab1">Calculations!$K$69</definedName>
    <definedName name="LA_data_list">Data!$A$2:$A$153</definedName>
    <definedName name="New">Calculations!$L$20</definedName>
    <definedName name="obscurer">Calculations!$I$2</definedName>
    <definedName name="PG_lab">Calculations!$K$72</definedName>
    <definedName name="Phases">Calculations!$C$2:$C$3</definedName>
    <definedName name="Pref_eng">Calculations!$P$83</definedName>
    <definedName name="Pref_lab1">Calculations!$K$79</definedName>
    <definedName name="Pref_Lab2">Calculations!$K$80</definedName>
    <definedName name="Pref_lab3">Calculations!$K$81</definedName>
    <definedName name="Pref_P_1">Data!$CG$2:$CG$153</definedName>
    <definedName name="Pref_P_2">Data!$CH$2:$CH$153</definedName>
    <definedName name="Pref_P_3">Data!$CI$2:$CI$153</definedName>
    <definedName name="Pref_P_T3">Data!$CM$2:$CM$153</definedName>
    <definedName name="Pref_S_1">Data!$CJ$2:$CJ$153</definedName>
    <definedName name="Pref_S_2">Data!$CK$2:$CK$153</definedName>
    <definedName name="Pref_S_3">Data!$CL$2:$CL$153</definedName>
    <definedName name="Pref_S_T3">Data!$CN$2:$CN$153</definedName>
    <definedName name="Pref_T3">Calculations!$O$83</definedName>
    <definedName name="Pupil_Growth">Calculations!$L$75</definedName>
    <definedName name="ql_key1">Calculations!$K$24</definedName>
    <definedName name="ql_key2">Calculations!$L$24</definedName>
    <definedName name="ql_lab8">Calculations!$P$24</definedName>
    <definedName name="ql_lab9">Calculations!$Q$24</definedName>
    <definedName name="Qn_axis2">Calculations!$K$2</definedName>
    <definedName name="Qn_key1">Calculations!$L$4</definedName>
    <definedName name="Qn_key2">Calculations!$L$5</definedName>
    <definedName name="Qn_key3">Calculations!$L$6</definedName>
    <definedName name="Qn_key4">Calculations!$L$3</definedName>
    <definedName name="qn_lab2">Calculations!$S$4</definedName>
    <definedName name="qual_key_6">Calculations!$X$22</definedName>
    <definedName name="qual_key3">Calculations!$X$19</definedName>
    <definedName name="Qual_key4">Calculations!$X$21</definedName>
    <definedName name="Qual_key5">Calculations!$X$23</definedName>
    <definedName name="Qual_KS2_E0">Data!$AS$2:$AS$153</definedName>
    <definedName name="Qual_KS2_EAb">Data!$AP$2:$AP$153</definedName>
    <definedName name="Qual_KS2_EAv">Data!$AQ$2:$AQ$153</definedName>
    <definedName name="Qual_KS2_EBe">Data!$AR$2:$AR$153</definedName>
    <definedName name="Qual_KS2_N0">Data!$AM$2:$AM$153</definedName>
    <definedName name="Qual_KS2_NAb">Data!$AJ$2:$AJ$153</definedName>
    <definedName name="Qual_KS2_NAv">Data!$AK$2:$AK$153</definedName>
    <definedName name="Qual_KS2_NBe">Data!$AL$2:$AL$153</definedName>
    <definedName name="Qual_KS2_Prop">Data!$AN$2:$AN$153</definedName>
    <definedName name="Qual_KS2_PropRanks">Data!$AO$2:$AO$153</definedName>
    <definedName name="Qual_KS4_E0">Data!$BC$2:$BC$153</definedName>
    <definedName name="Qual_KS4_EAb">Data!$AZ$2:$AZ$153</definedName>
    <definedName name="Qual_KS4_EAv">Data!$BA$2:$BA$153</definedName>
    <definedName name="Qual_KS4_EBe">Data!$BB$2:$BB$153</definedName>
    <definedName name="Qual_KS4_N0">Data!$AW$2:$AW$153</definedName>
    <definedName name="Qual_KS4_NAb">Data!$AT$2:$AT$153</definedName>
    <definedName name="Qual_KS4_NAv">Data!$AU$2:$AU$153</definedName>
    <definedName name="Qual_KS4_NBe">Data!$AV$2:$AV$153</definedName>
    <definedName name="Qual_KS4_Prop">Data!$AX$2:$AX$153</definedName>
    <definedName name="Qual_KS4_PropRanks">Data!$AY$2:$AY$153</definedName>
    <definedName name="Qual_mets">Calculations!$D$2:$D$4</definedName>
    <definedName name="Qual_P_E0">Data!$U$2:$U$153</definedName>
    <definedName name="Qual_P_E1">Data!$Q$2:$Q$153</definedName>
    <definedName name="Qual_P_E2">Data!$R$2:$R$153</definedName>
    <definedName name="Qual_P_E3">Data!$S$2:$S$153</definedName>
    <definedName name="Qual_P_E4">Data!$T$2:$T$153</definedName>
    <definedName name="Qual_P_N0">Data!$P$2:$P$153</definedName>
    <definedName name="Qual_P_N1">Data!$L$2:$L$153</definedName>
    <definedName name="Qual_P_N2">Data!$M$2:$M$153</definedName>
    <definedName name="Qual_P_N3">Data!$N$2:$N$153</definedName>
    <definedName name="Qual_P_N4">Data!$O$2:$O$153</definedName>
    <definedName name="Qual_P_Prop">Data!$V$2:$V$153</definedName>
    <definedName name="Qual_P_PropRanks" localSheetId="1">Data!$W$2:$W$153</definedName>
    <definedName name="Qual_P_PropRanks">Data!$W$2:$W$153</definedName>
    <definedName name="Qual_S_E0">Data!$AG$2:$AG$153</definedName>
    <definedName name="Qual_S_E1">Data!$AC$2:$AC$153</definedName>
    <definedName name="Qual_S_E2">Data!$AD$2:$AD$153</definedName>
    <definedName name="Qual_S_E3">Data!$AE$2:$AE$153</definedName>
    <definedName name="Qual_S_E4">Data!$AF$2:$AF$153</definedName>
    <definedName name="Qual_S_N0">Data!$AB$2:$AB$153</definedName>
    <definedName name="Qual_S_N1">Data!$X$2:$X$153</definedName>
    <definedName name="Qual_S_N2">Data!$Y$2:$Y$153</definedName>
    <definedName name="Qual_S_N3">Data!$Z$2:$Z$153</definedName>
    <definedName name="Qual_S_N4">Data!$AA$2:$AA$153</definedName>
    <definedName name="Qual_S_Prop">Data!$AH$2:$AH$153</definedName>
    <definedName name="Qual_S_PropRanks">Data!$AI$2:$AI$153</definedName>
    <definedName name="quan_lab1">Calculations!$Q$6</definedName>
    <definedName name="Quan_P_15">Data!$F$2:$F$153</definedName>
    <definedName name="Quan_P_PP15">Data!$J$2:$J$153</definedName>
    <definedName name="Quan_P_RP15">Data!$H$2:$H$153</definedName>
    <definedName name="Quan_S_15">Data!$G$2:$G$153</definedName>
    <definedName name="Quan_S_PP15">Data!$K$2:$K$153</definedName>
    <definedName name="Quan_S_RP15">Data!$I$2:$I$153</definedName>
    <definedName name="URI">Calculations!$H$2</definedName>
  </definedNames>
  <calcPr calcId="145621"/>
</workbook>
</file>

<file path=xl/calcChain.xml><?xml version="1.0" encoding="utf-8"?>
<calcChain xmlns="http://schemas.openxmlformats.org/spreadsheetml/2006/main">
  <c r="X22" i="10" l="1"/>
  <c r="K69" i="10"/>
  <c r="K79" i="10"/>
  <c r="S4" i="10"/>
  <c r="K33" i="10"/>
  <c r="Q29" i="10"/>
  <c r="K24" i="10"/>
  <c r="L24" i="10"/>
  <c r="Q24" i="10"/>
  <c r="P24" i="10"/>
  <c r="L20" i="10"/>
  <c r="L19" i="10"/>
  <c r="L6" i="10"/>
  <c r="L5" i="10"/>
  <c r="L4" i="10"/>
  <c r="X16" i="8" l="1"/>
  <c r="CN155" i="2" l="1"/>
  <c r="CM155" i="2"/>
  <c r="CJ155" i="2"/>
  <c r="P83" i="10" l="1"/>
  <c r="R9" i="8" l="1"/>
  <c r="R16" i="8"/>
  <c r="T37" i="10" l="1"/>
  <c r="S37" i="10"/>
  <c r="R37" i="10"/>
  <c r="K73" i="10" l="1"/>
  <c r="K72" i="10" s="1"/>
  <c r="AA20" i="10" l="1"/>
  <c r="Z20" i="10"/>
  <c r="AA19" i="10"/>
  <c r="Z19" i="10"/>
  <c r="AB20" i="10" l="1"/>
  <c r="AB19" i="10"/>
  <c r="U19" i="10"/>
  <c r="AN3" i="2" l="1"/>
  <c r="AN4" i="2"/>
  <c r="AN5" i="2"/>
  <c r="AN6" i="2"/>
  <c r="AN7" i="2"/>
  <c r="AN8" i="2"/>
  <c r="AN9" i="2"/>
  <c r="AN10" i="2"/>
  <c r="AN11" i="2"/>
  <c r="AN12" i="2"/>
  <c r="AN13" i="2"/>
  <c r="AN14" i="2"/>
  <c r="AN15" i="2"/>
  <c r="AN16" i="2"/>
  <c r="AN17" i="2"/>
  <c r="AN18" i="2"/>
  <c r="AN19" i="2"/>
  <c r="AN20" i="2"/>
  <c r="AN21" i="2"/>
  <c r="AN22" i="2"/>
  <c r="AN23" i="2"/>
  <c r="AN24" i="2"/>
  <c r="AN25" i="2"/>
  <c r="AN26" i="2"/>
  <c r="AN27" i="2"/>
  <c r="AN28" i="2"/>
  <c r="AN29" i="2"/>
  <c r="AN30" i="2"/>
  <c r="AN31" i="2"/>
  <c r="AN32" i="2"/>
  <c r="AN33" i="2"/>
  <c r="AN34" i="2"/>
  <c r="AN35" i="2"/>
  <c r="AN36" i="2"/>
  <c r="AN37" i="2"/>
  <c r="AN38" i="2"/>
  <c r="AN39" i="2"/>
  <c r="AN40" i="2"/>
  <c r="AN41" i="2"/>
  <c r="AN42" i="2"/>
  <c r="AN43" i="2"/>
  <c r="AN44" i="2"/>
  <c r="AN45" i="2"/>
  <c r="AN46" i="2"/>
  <c r="AN47" i="2"/>
  <c r="AN48" i="2"/>
  <c r="AN49" i="2"/>
  <c r="AN50" i="2"/>
  <c r="AN51" i="2"/>
  <c r="AN52" i="2"/>
  <c r="AN53" i="2"/>
  <c r="AN54" i="2"/>
  <c r="AN55" i="2"/>
  <c r="AN56" i="2"/>
  <c r="AN57" i="2"/>
  <c r="AN58" i="2"/>
  <c r="AN59" i="2"/>
  <c r="AN60" i="2"/>
  <c r="AN61" i="2"/>
  <c r="AN62" i="2"/>
  <c r="AN63" i="2"/>
  <c r="AN64" i="2"/>
  <c r="AN65" i="2"/>
  <c r="AN66" i="2"/>
  <c r="AN67" i="2"/>
  <c r="AN68" i="2"/>
  <c r="AN69" i="2"/>
  <c r="AN70" i="2"/>
  <c r="AN71" i="2"/>
  <c r="AN72" i="2"/>
  <c r="AN73" i="2"/>
  <c r="AN74" i="2"/>
  <c r="AN75" i="2"/>
  <c r="AN76" i="2"/>
  <c r="AN77" i="2"/>
  <c r="AN78" i="2"/>
  <c r="AN79" i="2"/>
  <c r="AN80" i="2"/>
  <c r="AN81" i="2"/>
  <c r="AN82" i="2"/>
  <c r="AN83" i="2"/>
  <c r="AN84" i="2"/>
  <c r="AN85" i="2"/>
  <c r="AN86" i="2"/>
  <c r="AN87" i="2"/>
  <c r="AN88" i="2"/>
  <c r="AN89" i="2"/>
  <c r="AN90" i="2"/>
  <c r="AN91" i="2"/>
  <c r="AN92" i="2"/>
  <c r="AN93" i="2"/>
  <c r="AN94" i="2"/>
  <c r="AN95" i="2"/>
  <c r="AN96" i="2"/>
  <c r="AN97" i="2"/>
  <c r="AN98" i="2"/>
  <c r="AN99" i="2"/>
  <c r="AN100" i="2"/>
  <c r="AN101" i="2"/>
  <c r="AN102" i="2"/>
  <c r="AN103" i="2"/>
  <c r="AN104" i="2"/>
  <c r="AN105" i="2"/>
  <c r="AN106" i="2"/>
  <c r="AN107" i="2"/>
  <c r="AN108" i="2"/>
  <c r="AN109" i="2"/>
  <c r="AN110" i="2"/>
  <c r="AN111" i="2"/>
  <c r="AN112" i="2"/>
  <c r="AN113" i="2"/>
  <c r="AN114" i="2"/>
  <c r="AN115" i="2"/>
  <c r="AN116" i="2"/>
  <c r="AN117" i="2"/>
  <c r="AN118" i="2"/>
  <c r="AN119" i="2"/>
  <c r="AN120" i="2"/>
  <c r="AN121" i="2"/>
  <c r="AN122" i="2"/>
  <c r="AN123" i="2"/>
  <c r="AN124" i="2"/>
  <c r="AN125" i="2"/>
  <c r="AN126" i="2"/>
  <c r="AN127" i="2"/>
  <c r="AN128" i="2"/>
  <c r="AN129" i="2"/>
  <c r="AN130" i="2"/>
  <c r="AN131" i="2"/>
  <c r="AN132" i="2"/>
  <c r="AN133" i="2"/>
  <c r="AN134" i="2"/>
  <c r="AN135" i="2"/>
  <c r="AN136" i="2"/>
  <c r="AN137" i="2"/>
  <c r="AN138" i="2"/>
  <c r="AN139" i="2"/>
  <c r="AN140" i="2"/>
  <c r="AN141" i="2"/>
  <c r="AN142" i="2"/>
  <c r="AN143" i="2"/>
  <c r="AN144" i="2"/>
  <c r="AN145" i="2"/>
  <c r="AN146" i="2"/>
  <c r="AN147" i="2"/>
  <c r="AN148" i="2"/>
  <c r="AN149" i="2"/>
  <c r="AN150" i="2"/>
  <c r="AN151" i="2"/>
  <c r="AN152" i="2"/>
  <c r="AN153" i="2"/>
  <c r="AN2" i="2"/>
  <c r="AX3" i="2"/>
  <c r="AX4" i="2"/>
  <c r="AX5" i="2"/>
  <c r="AX6" i="2"/>
  <c r="AX7" i="2"/>
  <c r="AX8" i="2"/>
  <c r="AY8" i="2" s="1"/>
  <c r="AX9" i="2"/>
  <c r="AX10" i="2"/>
  <c r="AY10" i="2" s="1"/>
  <c r="AX11" i="2"/>
  <c r="AX12" i="2"/>
  <c r="AX13" i="2"/>
  <c r="AX14" i="2"/>
  <c r="AX15" i="2"/>
  <c r="AX16" i="2"/>
  <c r="AX17" i="2"/>
  <c r="AY17" i="2" s="1"/>
  <c r="AX18" i="2"/>
  <c r="AX19" i="2"/>
  <c r="AX20" i="2"/>
  <c r="AX21" i="2"/>
  <c r="AX22" i="2"/>
  <c r="AX23" i="2"/>
  <c r="AY23" i="2" s="1"/>
  <c r="AX24" i="2"/>
  <c r="AX25" i="2"/>
  <c r="AY25" i="2" s="1"/>
  <c r="AX26" i="2"/>
  <c r="AX27" i="2"/>
  <c r="AY27" i="2" s="1"/>
  <c r="AX28" i="2"/>
  <c r="AX29" i="2"/>
  <c r="AX30" i="2"/>
  <c r="AX31" i="2"/>
  <c r="AX32" i="2"/>
  <c r="AX33" i="2"/>
  <c r="AX34" i="2"/>
  <c r="AX35" i="2"/>
  <c r="AY35" i="2" s="1"/>
  <c r="AX36" i="2"/>
  <c r="AX37" i="2"/>
  <c r="AX38" i="2"/>
  <c r="AX39" i="2"/>
  <c r="AY39" i="2" s="1"/>
  <c r="AX40" i="2"/>
  <c r="AY40" i="2" s="1"/>
  <c r="AX41" i="2"/>
  <c r="AX42" i="2"/>
  <c r="AX43" i="2"/>
  <c r="AX44" i="2"/>
  <c r="AY44" i="2" s="1"/>
  <c r="AX45" i="2"/>
  <c r="AX46" i="2"/>
  <c r="AX47" i="2"/>
  <c r="AX48" i="2"/>
  <c r="AY48" i="2" s="1"/>
  <c r="AX49" i="2"/>
  <c r="AX50" i="2"/>
  <c r="AX51" i="2"/>
  <c r="AY51" i="2" s="1"/>
  <c r="AX52" i="2"/>
  <c r="AY52" i="2" s="1"/>
  <c r="AX53" i="2"/>
  <c r="AX54" i="2"/>
  <c r="AX55" i="2"/>
  <c r="AX56" i="2"/>
  <c r="AY56" i="2" s="1"/>
  <c r="AX57" i="2"/>
  <c r="AY57" i="2" s="1"/>
  <c r="AX58" i="2"/>
  <c r="AX59" i="2"/>
  <c r="AX60" i="2"/>
  <c r="AY60" i="2" s="1"/>
  <c r="AX61" i="2"/>
  <c r="AX62" i="2"/>
  <c r="AX63" i="2"/>
  <c r="AX64" i="2"/>
  <c r="AX65" i="2"/>
  <c r="AY65" i="2" s="1"/>
  <c r="AX66" i="2"/>
  <c r="AY66" i="2" s="1"/>
  <c r="AX67" i="2"/>
  <c r="AY67" i="2" s="1"/>
  <c r="AX68" i="2"/>
  <c r="AY68" i="2" s="1"/>
  <c r="AX69" i="2"/>
  <c r="AX70" i="2"/>
  <c r="AX71" i="2"/>
  <c r="AY71" i="2" s="1"/>
  <c r="AX72" i="2"/>
  <c r="AX73" i="2"/>
  <c r="AX74" i="2"/>
  <c r="AY74" i="2" s="1"/>
  <c r="AX75" i="2"/>
  <c r="AX76" i="2"/>
  <c r="AY76" i="2" s="1"/>
  <c r="AX77" i="2"/>
  <c r="AY77" i="2" s="1"/>
  <c r="AX78" i="2"/>
  <c r="AX79" i="2"/>
  <c r="AY79" i="2" s="1"/>
  <c r="AX80" i="2"/>
  <c r="AX81" i="2"/>
  <c r="AX82" i="2"/>
  <c r="AY82" i="2" s="1"/>
  <c r="AX83" i="2"/>
  <c r="AX84" i="2"/>
  <c r="AX85" i="2"/>
  <c r="AX86" i="2"/>
  <c r="AX87" i="2"/>
  <c r="AX88" i="2"/>
  <c r="AX89" i="2"/>
  <c r="AX90" i="2"/>
  <c r="AX91" i="2"/>
  <c r="AY91" i="2" s="1"/>
  <c r="AX92" i="2"/>
  <c r="AX93" i="2"/>
  <c r="AX94" i="2"/>
  <c r="AX95" i="2"/>
  <c r="AY95" i="2" s="1"/>
  <c r="AX96" i="2"/>
  <c r="AX97" i="2"/>
  <c r="AY97" i="2" s="1"/>
  <c r="AX98" i="2"/>
  <c r="AX99" i="2"/>
  <c r="AX100" i="2"/>
  <c r="AX101" i="2"/>
  <c r="AX102" i="2"/>
  <c r="AX103" i="2"/>
  <c r="AX104" i="2"/>
  <c r="AX105" i="2"/>
  <c r="AY105" i="2" s="1"/>
  <c r="AX106" i="2"/>
  <c r="AX107" i="2"/>
  <c r="AY107" i="2" s="1"/>
  <c r="AX108" i="2"/>
  <c r="AX109" i="2"/>
  <c r="AY109" i="2" s="1"/>
  <c r="AX110" i="2"/>
  <c r="AX111" i="2"/>
  <c r="AX112" i="2"/>
  <c r="AY112" i="2" s="1"/>
  <c r="AX113" i="2"/>
  <c r="AY113" i="2" s="1"/>
  <c r="AX114" i="2"/>
  <c r="AY114" i="2" s="1"/>
  <c r="AX115" i="2"/>
  <c r="AY115" i="2" s="1"/>
  <c r="AX116" i="2"/>
  <c r="AX117" i="2"/>
  <c r="AY117" i="2" s="1"/>
  <c r="AX118" i="2"/>
  <c r="AX119" i="2"/>
  <c r="AX120" i="2"/>
  <c r="AX121" i="2"/>
  <c r="AY121" i="2" s="1"/>
  <c r="AX122" i="2"/>
  <c r="AX123" i="2"/>
  <c r="AX124" i="2"/>
  <c r="AX125" i="2"/>
  <c r="AX126" i="2"/>
  <c r="AX127" i="2"/>
  <c r="AX128" i="2"/>
  <c r="AX129" i="2"/>
  <c r="AY129" i="2" s="1"/>
  <c r="AX130" i="2"/>
  <c r="AX131" i="2"/>
  <c r="AX132" i="2"/>
  <c r="AX133" i="2"/>
  <c r="AX134" i="2"/>
  <c r="AX135" i="2"/>
  <c r="AX136" i="2"/>
  <c r="AX137" i="2"/>
  <c r="AY137" i="2" s="1"/>
  <c r="AX138" i="2"/>
  <c r="AX139" i="2"/>
  <c r="AX140" i="2"/>
  <c r="AX141" i="2"/>
  <c r="AX142" i="2"/>
  <c r="AX143" i="2"/>
  <c r="AY143" i="2" s="1"/>
  <c r="AX144" i="2"/>
  <c r="AX145" i="2"/>
  <c r="AX146" i="2"/>
  <c r="AY146" i="2" s="1"/>
  <c r="AX147" i="2"/>
  <c r="AY147" i="2" s="1"/>
  <c r="AX148" i="2"/>
  <c r="AX149" i="2"/>
  <c r="AX150" i="2"/>
  <c r="AX151" i="2"/>
  <c r="AX152" i="2"/>
  <c r="AX153" i="2"/>
  <c r="AY153" i="2" s="1"/>
  <c r="AX2" i="2"/>
  <c r="AY3" i="2"/>
  <c r="AY6" i="2"/>
  <c r="AY14" i="2"/>
  <c r="AY19" i="2"/>
  <c r="AY22" i="2"/>
  <c r="AY33" i="2"/>
  <c r="AY42" i="2"/>
  <c r="AY43" i="2"/>
  <c r="AY58" i="2"/>
  <c r="AY70" i="2"/>
  <c r="AY78" i="2"/>
  <c r="AY90" i="2"/>
  <c r="AY126" i="2"/>
  <c r="AY2" i="2"/>
  <c r="AY89" i="2" l="1"/>
  <c r="AY69" i="2"/>
  <c r="AY125" i="2"/>
  <c r="AY18" i="2"/>
  <c r="AY149" i="2"/>
  <c r="AY145" i="2"/>
  <c r="AY141" i="2"/>
  <c r="AY133" i="2"/>
  <c r="AY101" i="2"/>
  <c r="AY93" i="2"/>
  <c r="AY85" i="2"/>
  <c r="AY81" i="2"/>
  <c r="AY73" i="2"/>
  <c r="AY61" i="2"/>
  <c r="AY53" i="2"/>
  <c r="AY49" i="2"/>
  <c r="AY45" i="2"/>
  <c r="AY41" i="2"/>
  <c r="AY37" i="2"/>
  <c r="AY28" i="2"/>
  <c r="AY29" i="2"/>
  <c r="AY20" i="2"/>
  <c r="AY11" i="2"/>
  <c r="AY24" i="2"/>
  <c r="AY16" i="2"/>
  <c r="AY31" i="2"/>
  <c r="AY152" i="2"/>
  <c r="AY144" i="2"/>
  <c r="AY136" i="2"/>
  <c r="AY128" i="2"/>
  <c r="AY116" i="2"/>
  <c r="AY64" i="2"/>
  <c r="AY36" i="2"/>
  <c r="AY4" i="2"/>
  <c r="AY151" i="2"/>
  <c r="AY135" i="2"/>
  <c r="AY123" i="2"/>
  <c r="AY150" i="2"/>
  <c r="AY142" i="2"/>
  <c r="AY138" i="2"/>
  <c r="AY134" i="2"/>
  <c r="AY130" i="2"/>
  <c r="AY122" i="2"/>
  <c r="AY118" i="2"/>
  <c r="AY110" i="2"/>
  <c r="AY106" i="2"/>
  <c r="AY102" i="2"/>
  <c r="AY98" i="2"/>
  <c r="AY94" i="2"/>
  <c r="AY86" i="2"/>
  <c r="AY62" i="2"/>
  <c r="AY54" i="2"/>
  <c r="AY50" i="2"/>
  <c r="AY46" i="2"/>
  <c r="AY38" i="2"/>
  <c r="AY34" i="2"/>
  <c r="AY15" i="2"/>
  <c r="AY5" i="2"/>
  <c r="AY148" i="2"/>
  <c r="AY140" i="2"/>
  <c r="AY132" i="2"/>
  <c r="AY124" i="2"/>
  <c r="AY120" i="2"/>
  <c r="AY108" i="2"/>
  <c r="AY104" i="2"/>
  <c r="AY100" i="2"/>
  <c r="AY96" i="2"/>
  <c r="AY92" i="2"/>
  <c r="AY88" i="2"/>
  <c r="AY84" i="2"/>
  <c r="AY80" i="2"/>
  <c r="AY72" i="2"/>
  <c r="AY32" i="2"/>
  <c r="AY139" i="2"/>
  <c r="AY131" i="2"/>
  <c r="AY127" i="2"/>
  <c r="AY119" i="2"/>
  <c r="AY111" i="2"/>
  <c r="AY103" i="2"/>
  <c r="AY99" i="2"/>
  <c r="AY87" i="2"/>
  <c r="AY83" i="2"/>
  <c r="AY75" i="2"/>
  <c r="AY63" i="2"/>
  <c r="AY59" i="2"/>
  <c r="AY55" i="2"/>
  <c r="AY47" i="2"/>
  <c r="AY30" i="2"/>
  <c r="AY26" i="2"/>
  <c r="AY12" i="2"/>
  <c r="AY7" i="2"/>
  <c r="AY21" i="2"/>
  <c r="AY13" i="2"/>
  <c r="AY9" i="2"/>
  <c r="P41" i="10" l="1"/>
  <c r="P40" i="10"/>
  <c r="P39" i="10"/>
  <c r="P38" i="10"/>
  <c r="P37" i="10"/>
  <c r="I2" i="10"/>
  <c r="BK2" i="2" l="1"/>
  <c r="BK3" i="2"/>
  <c r="BK4" i="2"/>
  <c r="BK5" i="2"/>
  <c r="BK6" i="2"/>
  <c r="BK7" i="2"/>
  <c r="BK8" i="2"/>
  <c r="BK9" i="2"/>
  <c r="BK10" i="2"/>
  <c r="BK11" i="2"/>
  <c r="BK12" i="2"/>
  <c r="BK13" i="2"/>
  <c r="BK14" i="2"/>
  <c r="BK15" i="2"/>
  <c r="BK16" i="2"/>
  <c r="BK17" i="2"/>
  <c r="BK18" i="2"/>
  <c r="BK19" i="2"/>
  <c r="BK20" i="2"/>
  <c r="BK21" i="2"/>
  <c r="BK22" i="2"/>
  <c r="BK23" i="2"/>
  <c r="BK24" i="2"/>
  <c r="BK25" i="2"/>
  <c r="BK26" i="2"/>
  <c r="BK27" i="2"/>
  <c r="BK28" i="2"/>
  <c r="BK29" i="2"/>
  <c r="BK30" i="2"/>
  <c r="BK31" i="2"/>
  <c r="BK32" i="2"/>
  <c r="BK33" i="2"/>
  <c r="BK34" i="2"/>
  <c r="BK35" i="2"/>
  <c r="BK36" i="2"/>
  <c r="BK37" i="2"/>
  <c r="BK38" i="2"/>
  <c r="BK39" i="2"/>
  <c r="BK40" i="2"/>
  <c r="BK42" i="2"/>
  <c r="BK43" i="2"/>
  <c r="BK44" i="2"/>
  <c r="BK45" i="2"/>
  <c r="BK46" i="2"/>
  <c r="BK47" i="2"/>
  <c r="BK48" i="2"/>
  <c r="BK49" i="2"/>
  <c r="BK50" i="2"/>
  <c r="BK51" i="2"/>
  <c r="BK52" i="2"/>
  <c r="BK53" i="2"/>
  <c r="BK54" i="2"/>
  <c r="BK55" i="2"/>
  <c r="BK56" i="2"/>
  <c r="BK57" i="2"/>
  <c r="BK58" i="2"/>
  <c r="BK59" i="2"/>
  <c r="BK60" i="2"/>
  <c r="BK61" i="2"/>
  <c r="BK62" i="2"/>
  <c r="BK63" i="2"/>
  <c r="BK64" i="2"/>
  <c r="BK65" i="2"/>
  <c r="BK66" i="2"/>
  <c r="BK67" i="2"/>
  <c r="BK68" i="2"/>
  <c r="BK69" i="2"/>
  <c r="BK70" i="2"/>
  <c r="BK71" i="2"/>
  <c r="BK72" i="2"/>
  <c r="BK73" i="2"/>
  <c r="BK74" i="2"/>
  <c r="BK75" i="2"/>
  <c r="BK76" i="2"/>
  <c r="BK77" i="2"/>
  <c r="BK78" i="2"/>
  <c r="BK79" i="2"/>
  <c r="BK80" i="2"/>
  <c r="BK81" i="2"/>
  <c r="BK82" i="2"/>
  <c r="BK83" i="2"/>
  <c r="BK84" i="2"/>
  <c r="BK85" i="2"/>
  <c r="BK86" i="2"/>
  <c r="BK87" i="2"/>
  <c r="BK88" i="2"/>
  <c r="BK89" i="2"/>
  <c r="BK90" i="2"/>
  <c r="BK91" i="2"/>
  <c r="BK92" i="2"/>
  <c r="BK93" i="2"/>
  <c r="BK94" i="2"/>
  <c r="BK95" i="2"/>
  <c r="BK96" i="2"/>
  <c r="BK97" i="2"/>
  <c r="BK98" i="2"/>
  <c r="BK99" i="2"/>
  <c r="BK100" i="2"/>
  <c r="BK101" i="2"/>
  <c r="BK102" i="2"/>
  <c r="BK103" i="2"/>
  <c r="BK104" i="2"/>
  <c r="BK105" i="2"/>
  <c r="BK106" i="2"/>
  <c r="BK107" i="2"/>
  <c r="BK108" i="2"/>
  <c r="BK109" i="2"/>
  <c r="BK110" i="2"/>
  <c r="BK111" i="2"/>
  <c r="BK112" i="2"/>
  <c r="BK113" i="2"/>
  <c r="BK114" i="2"/>
  <c r="BK115" i="2"/>
  <c r="BK116" i="2"/>
  <c r="BK117" i="2"/>
  <c r="BK118" i="2"/>
  <c r="BK119" i="2"/>
  <c r="BK120" i="2"/>
  <c r="BK121" i="2"/>
  <c r="BK122" i="2"/>
  <c r="BK123" i="2"/>
  <c r="BK124" i="2"/>
  <c r="BK125" i="2"/>
  <c r="BK126" i="2"/>
  <c r="BK127" i="2"/>
  <c r="BK128" i="2"/>
  <c r="BK129" i="2"/>
  <c r="BK130" i="2"/>
  <c r="BK131" i="2"/>
  <c r="BK132" i="2"/>
  <c r="BK133" i="2"/>
  <c r="BK134" i="2"/>
  <c r="BK135" i="2"/>
  <c r="BK136" i="2"/>
  <c r="BK137" i="2"/>
  <c r="BK138" i="2"/>
  <c r="BK139" i="2"/>
  <c r="BK140" i="2"/>
  <c r="BK141" i="2"/>
  <c r="BK142" i="2"/>
  <c r="BK143" i="2"/>
  <c r="BK144" i="2"/>
  <c r="BK145" i="2"/>
  <c r="BK146" i="2"/>
  <c r="BK147" i="2"/>
  <c r="BK148" i="2"/>
  <c r="BK149" i="2"/>
  <c r="BK150" i="2"/>
  <c r="BK151" i="2"/>
  <c r="BK152" i="2"/>
  <c r="BK153" i="2"/>
  <c r="BK41" i="2"/>
  <c r="BG41" i="2"/>
  <c r="BG3" i="2"/>
  <c r="BG4" i="2"/>
  <c r="BG5" i="2"/>
  <c r="BG6" i="2"/>
  <c r="BG7" i="2"/>
  <c r="BG8" i="2"/>
  <c r="BG9" i="2"/>
  <c r="BG10" i="2"/>
  <c r="BG11" i="2"/>
  <c r="BG12" i="2"/>
  <c r="BG13" i="2"/>
  <c r="BG14" i="2"/>
  <c r="BG15" i="2"/>
  <c r="BG16" i="2"/>
  <c r="BG17" i="2"/>
  <c r="BG18" i="2"/>
  <c r="BG19" i="2"/>
  <c r="BG20" i="2"/>
  <c r="BG21" i="2"/>
  <c r="BG22" i="2"/>
  <c r="BG23" i="2"/>
  <c r="BG24" i="2"/>
  <c r="BG25" i="2"/>
  <c r="BG26" i="2"/>
  <c r="BG27" i="2"/>
  <c r="BG28" i="2"/>
  <c r="BG29" i="2"/>
  <c r="BG30" i="2"/>
  <c r="BG31" i="2"/>
  <c r="BG32" i="2"/>
  <c r="BG33" i="2"/>
  <c r="BG34" i="2"/>
  <c r="BG35" i="2"/>
  <c r="BG36" i="2"/>
  <c r="BG37" i="2"/>
  <c r="BG38" i="2"/>
  <c r="BG39" i="2"/>
  <c r="BG40" i="2"/>
  <c r="BG42" i="2"/>
  <c r="BG43" i="2"/>
  <c r="BG44" i="2"/>
  <c r="BG45" i="2"/>
  <c r="BG46" i="2"/>
  <c r="BG47" i="2"/>
  <c r="BG48" i="2"/>
  <c r="BG49" i="2"/>
  <c r="BG50" i="2"/>
  <c r="BG51" i="2"/>
  <c r="BG52" i="2"/>
  <c r="BG53" i="2"/>
  <c r="BG54" i="2"/>
  <c r="BG55" i="2"/>
  <c r="BG56" i="2"/>
  <c r="BG57" i="2"/>
  <c r="BG58" i="2"/>
  <c r="BG59" i="2"/>
  <c r="BG60" i="2"/>
  <c r="BG61" i="2"/>
  <c r="BG62" i="2"/>
  <c r="BG63" i="2"/>
  <c r="BG64" i="2"/>
  <c r="BG65" i="2"/>
  <c r="BG66" i="2"/>
  <c r="BG67" i="2"/>
  <c r="BG68" i="2"/>
  <c r="BG69" i="2"/>
  <c r="BG70" i="2"/>
  <c r="BG71" i="2"/>
  <c r="BG72" i="2"/>
  <c r="BG73" i="2"/>
  <c r="BG74" i="2"/>
  <c r="BG75" i="2"/>
  <c r="BG76" i="2"/>
  <c r="BG77" i="2"/>
  <c r="BG78" i="2"/>
  <c r="BG79" i="2"/>
  <c r="BG80" i="2"/>
  <c r="BG81" i="2"/>
  <c r="BG82" i="2"/>
  <c r="BG83" i="2"/>
  <c r="BG84" i="2"/>
  <c r="BG85" i="2"/>
  <c r="BG86" i="2"/>
  <c r="BG87" i="2"/>
  <c r="BG88" i="2"/>
  <c r="BG89" i="2"/>
  <c r="BG90" i="2"/>
  <c r="BG91" i="2"/>
  <c r="BG92" i="2"/>
  <c r="BG93" i="2"/>
  <c r="BG94" i="2"/>
  <c r="BG95" i="2"/>
  <c r="BG96" i="2"/>
  <c r="BG97" i="2"/>
  <c r="BG98" i="2"/>
  <c r="BG99" i="2"/>
  <c r="BG100" i="2"/>
  <c r="BG101" i="2"/>
  <c r="BG102" i="2"/>
  <c r="BG103" i="2"/>
  <c r="BG104" i="2"/>
  <c r="BG105" i="2"/>
  <c r="BG106" i="2"/>
  <c r="BG107" i="2"/>
  <c r="BG108" i="2"/>
  <c r="BG109" i="2"/>
  <c r="BG110" i="2"/>
  <c r="BG111" i="2"/>
  <c r="BG112" i="2"/>
  <c r="BG113" i="2"/>
  <c r="BG114" i="2"/>
  <c r="BG115" i="2"/>
  <c r="BG116" i="2"/>
  <c r="BG117" i="2"/>
  <c r="BG118" i="2"/>
  <c r="BG119" i="2"/>
  <c r="BG120" i="2"/>
  <c r="BG121" i="2"/>
  <c r="BG122" i="2"/>
  <c r="BG123" i="2"/>
  <c r="BG124" i="2"/>
  <c r="BG125" i="2"/>
  <c r="BG126" i="2"/>
  <c r="BG127" i="2"/>
  <c r="BG128" i="2"/>
  <c r="BG129" i="2"/>
  <c r="BG130" i="2"/>
  <c r="BG131" i="2"/>
  <c r="BG132" i="2"/>
  <c r="BG133" i="2"/>
  <c r="BG134" i="2"/>
  <c r="BG135" i="2"/>
  <c r="BG136" i="2"/>
  <c r="BG137" i="2"/>
  <c r="BG138" i="2"/>
  <c r="BG139" i="2"/>
  <c r="BG140" i="2"/>
  <c r="BG141" i="2"/>
  <c r="BG142" i="2"/>
  <c r="BG143" i="2"/>
  <c r="BG144" i="2"/>
  <c r="BG145" i="2"/>
  <c r="BG146" i="2"/>
  <c r="BG147" i="2"/>
  <c r="BG148" i="2"/>
  <c r="BG149" i="2"/>
  <c r="BG150" i="2"/>
  <c r="BG151" i="2"/>
  <c r="BG152" i="2"/>
  <c r="BG153" i="2"/>
  <c r="BG2" i="2"/>
  <c r="O30" i="10" l="1"/>
  <c r="N15" i="10"/>
  <c r="M15" i="10"/>
  <c r="M14" i="10" s="1"/>
  <c r="L15" i="10"/>
  <c r="K15" i="10"/>
  <c r="K14" i="10" s="1"/>
  <c r="AO14" i="2" l="1"/>
  <c r="AO42" i="2"/>
  <c r="AO43" i="2"/>
  <c r="AO68" i="2"/>
  <c r="AO69" i="2"/>
  <c r="AO71" i="2"/>
  <c r="AO75" i="2"/>
  <c r="AO78" i="2"/>
  <c r="AO101" i="2"/>
  <c r="AO135" i="2"/>
  <c r="AO143" i="2"/>
  <c r="AO8" i="2"/>
  <c r="R21" i="10"/>
  <c r="V19" i="10"/>
  <c r="T19" i="10"/>
  <c r="S19" i="10"/>
  <c r="B23" i="8"/>
  <c r="J22" i="8"/>
  <c r="O20" i="10"/>
  <c r="N20" i="10"/>
  <c r="M20" i="10"/>
  <c r="P18" i="10"/>
  <c r="O18" i="10"/>
  <c r="N18" i="10"/>
  <c r="P20" i="10"/>
  <c r="P19" i="10"/>
  <c r="O19" i="10"/>
  <c r="N19" i="10"/>
  <c r="M19" i="10"/>
  <c r="AO2" i="2" l="1"/>
  <c r="AO121" i="2"/>
  <c r="AO89" i="2"/>
  <c r="AO141" i="2"/>
  <c r="AO7" i="2"/>
  <c r="AO153" i="2"/>
  <c r="AO117" i="2"/>
  <c r="AO97" i="2"/>
  <c r="AO145" i="2"/>
  <c r="AO133" i="2"/>
  <c r="AO113" i="2"/>
  <c r="AO4" i="2"/>
  <c r="AO129" i="2"/>
  <c r="AO105" i="2"/>
  <c r="AO3" i="2"/>
  <c r="AO12" i="2"/>
  <c r="AO16" i="2"/>
  <c r="AO20" i="2"/>
  <c r="AO24" i="2"/>
  <c r="AO28" i="2"/>
  <c r="AO32" i="2"/>
  <c r="AO36" i="2"/>
  <c r="AO40" i="2"/>
  <c r="AO44" i="2"/>
  <c r="AO48" i="2"/>
  <c r="AO52" i="2"/>
  <c r="AO56" i="2"/>
  <c r="AO60" i="2"/>
  <c r="AO64" i="2"/>
  <c r="AO72" i="2"/>
  <c r="AO76" i="2"/>
  <c r="AO80" i="2"/>
  <c r="AO84" i="2"/>
  <c r="AO88" i="2"/>
  <c r="AO92" i="2"/>
  <c r="AO96" i="2"/>
  <c r="AO100" i="2"/>
  <c r="AO104" i="2"/>
  <c r="AO108" i="2"/>
  <c r="AO112" i="2"/>
  <c r="AO116" i="2"/>
  <c r="AO120" i="2"/>
  <c r="AO124" i="2"/>
  <c r="AO128" i="2"/>
  <c r="AO132" i="2"/>
  <c r="AO136" i="2"/>
  <c r="AO140" i="2"/>
  <c r="AO144" i="2"/>
  <c r="AO148" i="2"/>
  <c r="AO152" i="2"/>
  <c r="AO5" i="2"/>
  <c r="AO9" i="2"/>
  <c r="AO13" i="2"/>
  <c r="AO17" i="2"/>
  <c r="AO21" i="2"/>
  <c r="AO29" i="2"/>
  <c r="AO33" i="2"/>
  <c r="AO37" i="2"/>
  <c r="AO41" i="2"/>
  <c r="AO45" i="2"/>
  <c r="AO49" i="2"/>
  <c r="AO57" i="2"/>
  <c r="AO65" i="2"/>
  <c r="AO73" i="2"/>
  <c r="AO77" i="2"/>
  <c r="AO81" i="2"/>
  <c r="AO25" i="2"/>
  <c r="AO53" i="2"/>
  <c r="AO61" i="2"/>
  <c r="AO85" i="2"/>
  <c r="AO149" i="2"/>
  <c r="AO137" i="2"/>
  <c r="AO125" i="2"/>
  <c r="AO109" i="2"/>
  <c r="AO93" i="2"/>
  <c r="AO150" i="2"/>
  <c r="AO146" i="2"/>
  <c r="AO142" i="2"/>
  <c r="AO138" i="2"/>
  <c r="AO134" i="2"/>
  <c r="AO130" i="2"/>
  <c r="AO126" i="2"/>
  <c r="AO122" i="2"/>
  <c r="AO118" i="2"/>
  <c r="AO114" i="2"/>
  <c r="AO110" i="2"/>
  <c r="AO106" i="2"/>
  <c r="AO102" i="2"/>
  <c r="AO98" i="2"/>
  <c r="AO94" i="2"/>
  <c r="AO90" i="2"/>
  <c r="AO86" i="2"/>
  <c r="AO82" i="2"/>
  <c r="AO74" i="2"/>
  <c r="AO70" i="2"/>
  <c r="AO66" i="2"/>
  <c r="AO62" i="2"/>
  <c r="AO58" i="2"/>
  <c r="AO54" i="2"/>
  <c r="AO50" i="2"/>
  <c r="AO46" i="2"/>
  <c r="AO38" i="2"/>
  <c r="AO34" i="2"/>
  <c r="AO30" i="2"/>
  <c r="AO26" i="2"/>
  <c r="AO22" i="2"/>
  <c r="AO18" i="2"/>
  <c r="AO10" i="2"/>
  <c r="AO6" i="2"/>
  <c r="AO151" i="2"/>
  <c r="AO147" i="2"/>
  <c r="AO139" i="2"/>
  <c r="AO131" i="2"/>
  <c r="AO127" i="2"/>
  <c r="AO123" i="2"/>
  <c r="AO119" i="2"/>
  <c r="AO115" i="2"/>
  <c r="AO111" i="2"/>
  <c r="AO107" i="2"/>
  <c r="AO103" i="2"/>
  <c r="AO99" i="2"/>
  <c r="AO95" i="2"/>
  <c r="AO91" i="2"/>
  <c r="AO87" i="2"/>
  <c r="AO83" i="2"/>
  <c r="AO79" i="2"/>
  <c r="AO67" i="2"/>
  <c r="AO63" i="2"/>
  <c r="AO59" i="2"/>
  <c r="AO55" i="2"/>
  <c r="AO51" i="2"/>
  <c r="AO47" i="2"/>
  <c r="AO39" i="2"/>
  <c r="AO35" i="2"/>
  <c r="AO31" i="2"/>
  <c r="AO27" i="2"/>
  <c r="AO23" i="2"/>
  <c r="AO19" i="2"/>
  <c r="AO15" i="2"/>
  <c r="AO11" i="2"/>
  <c r="W19" i="10"/>
  <c r="X19" i="10" s="1"/>
  <c r="V23" i="10" l="1"/>
  <c r="AO155" i="2"/>
  <c r="M18" i="10"/>
  <c r="AH3" i="2"/>
  <c r="AI3" i="2" s="1"/>
  <c r="AH4" i="2"/>
  <c r="AH5" i="2"/>
  <c r="AH6" i="2"/>
  <c r="AI6" i="2" s="1"/>
  <c r="AH7" i="2"/>
  <c r="AH8" i="2"/>
  <c r="AI8" i="2" s="1"/>
  <c r="AH9" i="2"/>
  <c r="AH10" i="2"/>
  <c r="AI10" i="2" s="1"/>
  <c r="AH11" i="2"/>
  <c r="AH12" i="2"/>
  <c r="AH13" i="2"/>
  <c r="AH14" i="2"/>
  <c r="AI14" i="2" s="1"/>
  <c r="AH15" i="2"/>
  <c r="AH16" i="2"/>
  <c r="AH17" i="2"/>
  <c r="AI17" i="2" s="1"/>
  <c r="AH18" i="2"/>
  <c r="AH19" i="2"/>
  <c r="AI19" i="2" s="1"/>
  <c r="AH20" i="2"/>
  <c r="AH21" i="2"/>
  <c r="AH22" i="2"/>
  <c r="AI22" i="2" s="1"/>
  <c r="AH23" i="2"/>
  <c r="AI23" i="2" s="1"/>
  <c r="AH24" i="2"/>
  <c r="AH25" i="2"/>
  <c r="AI25" i="2" s="1"/>
  <c r="AH26" i="2"/>
  <c r="AH27" i="2"/>
  <c r="AI27" i="2" s="1"/>
  <c r="AH28" i="2"/>
  <c r="AH29" i="2"/>
  <c r="AH30" i="2"/>
  <c r="AH31" i="2"/>
  <c r="AH32" i="2"/>
  <c r="AH33" i="2"/>
  <c r="AI33" i="2" s="1"/>
  <c r="AH34" i="2"/>
  <c r="AH35" i="2"/>
  <c r="AH36" i="2"/>
  <c r="AH37" i="2"/>
  <c r="AH38" i="2"/>
  <c r="AH39" i="2"/>
  <c r="AI39" i="2" s="1"/>
  <c r="AH40" i="2"/>
  <c r="AI40" i="2" s="1"/>
  <c r="AH41" i="2"/>
  <c r="AH42" i="2"/>
  <c r="AI42" i="2" s="1"/>
  <c r="AH43" i="2"/>
  <c r="AI43" i="2" s="1"/>
  <c r="AH44" i="2"/>
  <c r="AI44" i="2" s="1"/>
  <c r="AH45" i="2"/>
  <c r="AH46" i="2"/>
  <c r="AH47" i="2"/>
  <c r="AH48" i="2"/>
  <c r="AI48" i="2" s="1"/>
  <c r="AH49" i="2"/>
  <c r="AH50" i="2"/>
  <c r="AH51" i="2"/>
  <c r="AI51" i="2" s="1"/>
  <c r="AH52" i="2"/>
  <c r="AI52" i="2" s="1"/>
  <c r="AH53" i="2"/>
  <c r="AH54" i="2"/>
  <c r="AH55" i="2"/>
  <c r="AH56" i="2"/>
  <c r="AI56" i="2" s="1"/>
  <c r="AH57" i="2"/>
  <c r="AI57" i="2" s="1"/>
  <c r="AH58" i="2"/>
  <c r="AI58" i="2" s="1"/>
  <c r="AH59" i="2"/>
  <c r="AH60" i="2"/>
  <c r="AI60" i="2" s="1"/>
  <c r="AH61" i="2"/>
  <c r="AH62" i="2"/>
  <c r="AH63" i="2"/>
  <c r="AH64" i="2"/>
  <c r="AH65" i="2"/>
  <c r="AI65" i="2" s="1"/>
  <c r="AH66" i="2"/>
  <c r="AI66" i="2" s="1"/>
  <c r="AH67" i="2"/>
  <c r="AH68" i="2"/>
  <c r="AI68" i="2" s="1"/>
  <c r="AH69" i="2"/>
  <c r="AH70" i="2"/>
  <c r="AI70" i="2" s="1"/>
  <c r="AH71" i="2"/>
  <c r="AI71" i="2" s="1"/>
  <c r="AH72" i="2"/>
  <c r="AH73" i="2"/>
  <c r="AH74" i="2"/>
  <c r="AI74" i="2" s="1"/>
  <c r="AH75" i="2"/>
  <c r="AH76" i="2"/>
  <c r="AI76" i="2" s="1"/>
  <c r="AH77" i="2"/>
  <c r="AI77" i="2" s="1"/>
  <c r="AH78" i="2"/>
  <c r="AI78" i="2" s="1"/>
  <c r="AH79" i="2"/>
  <c r="AI79" i="2" s="1"/>
  <c r="AH80" i="2"/>
  <c r="AH81" i="2"/>
  <c r="AH82" i="2"/>
  <c r="AI82" i="2" s="1"/>
  <c r="AH83" i="2"/>
  <c r="AH84" i="2"/>
  <c r="AH85" i="2"/>
  <c r="AH86" i="2"/>
  <c r="AH87" i="2"/>
  <c r="AH88" i="2"/>
  <c r="AH89" i="2"/>
  <c r="AH90" i="2"/>
  <c r="AI90" i="2" s="1"/>
  <c r="AH91" i="2"/>
  <c r="AI91" i="2" s="1"/>
  <c r="AH92" i="2"/>
  <c r="AH93" i="2"/>
  <c r="AH94" i="2"/>
  <c r="AH95" i="2"/>
  <c r="AI95" i="2" s="1"/>
  <c r="AH96" i="2"/>
  <c r="AH97" i="2"/>
  <c r="AI97" i="2" s="1"/>
  <c r="AH98" i="2"/>
  <c r="AH99" i="2"/>
  <c r="AH100" i="2"/>
  <c r="AH101" i="2"/>
  <c r="AH102" i="2"/>
  <c r="AH103" i="2"/>
  <c r="AH104" i="2"/>
  <c r="AH105" i="2"/>
  <c r="AI105" i="2" s="1"/>
  <c r="AH106" i="2"/>
  <c r="AH107" i="2"/>
  <c r="AI107" i="2" s="1"/>
  <c r="AH108" i="2"/>
  <c r="AH109" i="2"/>
  <c r="AI109" i="2" s="1"/>
  <c r="AH110" i="2"/>
  <c r="AH111" i="2"/>
  <c r="AH112" i="2"/>
  <c r="AI112" i="2" s="1"/>
  <c r="AH113" i="2"/>
  <c r="AI113" i="2" s="1"/>
  <c r="AH114" i="2"/>
  <c r="AI114" i="2" s="1"/>
  <c r="AH115" i="2"/>
  <c r="AI115" i="2" s="1"/>
  <c r="AH116" i="2"/>
  <c r="AH117" i="2"/>
  <c r="AI117" i="2" s="1"/>
  <c r="AH118" i="2"/>
  <c r="AH119" i="2"/>
  <c r="AH120" i="2"/>
  <c r="AH121" i="2"/>
  <c r="AI121" i="2" s="1"/>
  <c r="AH122" i="2"/>
  <c r="AH123" i="2"/>
  <c r="AH124" i="2"/>
  <c r="AH125" i="2"/>
  <c r="AH126" i="2"/>
  <c r="AI126" i="2" s="1"/>
  <c r="AH127" i="2"/>
  <c r="AH128" i="2"/>
  <c r="AH129" i="2"/>
  <c r="AI129" i="2" s="1"/>
  <c r="AH130" i="2"/>
  <c r="AH131" i="2"/>
  <c r="AH132" i="2"/>
  <c r="AH133" i="2"/>
  <c r="AH134" i="2"/>
  <c r="AH135" i="2"/>
  <c r="AH136" i="2"/>
  <c r="AH137" i="2"/>
  <c r="AI137" i="2" s="1"/>
  <c r="AH138" i="2"/>
  <c r="AH139" i="2"/>
  <c r="AH140" i="2"/>
  <c r="AH141" i="2"/>
  <c r="AH142" i="2"/>
  <c r="AH143" i="2"/>
  <c r="AI143" i="2" s="1"/>
  <c r="AH144" i="2"/>
  <c r="AH145" i="2"/>
  <c r="AH146" i="2"/>
  <c r="AI146" i="2" s="1"/>
  <c r="AH147" i="2"/>
  <c r="AI147" i="2" s="1"/>
  <c r="AH148" i="2"/>
  <c r="AH149" i="2"/>
  <c r="AH150" i="2"/>
  <c r="AH151" i="2"/>
  <c r="AH152" i="2"/>
  <c r="AH153" i="2"/>
  <c r="AI153" i="2" s="1"/>
  <c r="AH2" i="2"/>
  <c r="V4" i="2"/>
  <c r="V5" i="2"/>
  <c r="V6" i="2"/>
  <c r="V7" i="2"/>
  <c r="V8" i="2"/>
  <c r="W8" i="2" s="1"/>
  <c r="V9" i="2"/>
  <c r="V10" i="2"/>
  <c r="V11" i="2"/>
  <c r="V12" i="2"/>
  <c r="V13" i="2"/>
  <c r="V14" i="2"/>
  <c r="W14" i="2" s="1"/>
  <c r="V15" i="2"/>
  <c r="V16" i="2"/>
  <c r="V17" i="2"/>
  <c r="V18" i="2"/>
  <c r="V19" i="2"/>
  <c r="V20" i="2"/>
  <c r="V21" i="2"/>
  <c r="V22" i="2"/>
  <c r="V23" i="2"/>
  <c r="V24" i="2"/>
  <c r="V25" i="2"/>
  <c r="V26" i="2"/>
  <c r="V27" i="2"/>
  <c r="V28" i="2"/>
  <c r="V29" i="2"/>
  <c r="V30" i="2"/>
  <c r="V31" i="2"/>
  <c r="V32" i="2"/>
  <c r="V33" i="2"/>
  <c r="V34" i="2"/>
  <c r="V35" i="2"/>
  <c r="V36" i="2"/>
  <c r="V37" i="2"/>
  <c r="V38" i="2"/>
  <c r="V39" i="2"/>
  <c r="V40" i="2"/>
  <c r="V41" i="2"/>
  <c r="V42" i="2"/>
  <c r="W42" i="2" s="1"/>
  <c r="V43" i="2"/>
  <c r="W43" i="2" s="1"/>
  <c r="V44" i="2"/>
  <c r="V45" i="2"/>
  <c r="V46" i="2"/>
  <c r="V47" i="2"/>
  <c r="V48" i="2"/>
  <c r="V49" i="2"/>
  <c r="V50" i="2"/>
  <c r="V51" i="2"/>
  <c r="V52" i="2"/>
  <c r="V53" i="2"/>
  <c r="V54" i="2"/>
  <c r="V55" i="2"/>
  <c r="V56" i="2"/>
  <c r="V57" i="2"/>
  <c r="V58" i="2"/>
  <c r="V59" i="2"/>
  <c r="V60" i="2"/>
  <c r="V61" i="2"/>
  <c r="V62" i="2"/>
  <c r="V63" i="2"/>
  <c r="V64" i="2"/>
  <c r="V65" i="2"/>
  <c r="V66" i="2"/>
  <c r="V67" i="2"/>
  <c r="V68" i="2"/>
  <c r="V69" i="2"/>
  <c r="W69" i="2" s="1"/>
  <c r="V70" i="2"/>
  <c r="V71" i="2"/>
  <c r="W71" i="2" s="1"/>
  <c r="V72" i="2"/>
  <c r="V73" i="2"/>
  <c r="V74" i="2"/>
  <c r="V75" i="2"/>
  <c r="W75" i="2" s="1"/>
  <c r="V76" i="2"/>
  <c r="V77" i="2"/>
  <c r="V78" i="2"/>
  <c r="W78" i="2" s="1"/>
  <c r="V79" i="2"/>
  <c r="V80" i="2"/>
  <c r="V81" i="2"/>
  <c r="V82" i="2"/>
  <c r="V83" i="2"/>
  <c r="V84" i="2"/>
  <c r="V85" i="2"/>
  <c r="V86" i="2"/>
  <c r="V87" i="2"/>
  <c r="V88" i="2"/>
  <c r="V89" i="2"/>
  <c r="V90" i="2"/>
  <c r="V91" i="2"/>
  <c r="V92" i="2"/>
  <c r="V93" i="2"/>
  <c r="V94" i="2"/>
  <c r="V95" i="2"/>
  <c r="V96" i="2"/>
  <c r="V97" i="2"/>
  <c r="V98" i="2"/>
  <c r="V99" i="2"/>
  <c r="V100" i="2"/>
  <c r="V101" i="2"/>
  <c r="V102" i="2"/>
  <c r="V103" i="2"/>
  <c r="V104" i="2"/>
  <c r="V105" i="2"/>
  <c r="V106" i="2"/>
  <c r="V107" i="2"/>
  <c r="V108" i="2"/>
  <c r="V109" i="2"/>
  <c r="V110" i="2"/>
  <c r="V111" i="2"/>
  <c r="V112" i="2"/>
  <c r="V113" i="2"/>
  <c r="V114" i="2"/>
  <c r="V115" i="2"/>
  <c r="V116" i="2"/>
  <c r="V117" i="2"/>
  <c r="V118" i="2"/>
  <c r="V119" i="2"/>
  <c r="V120" i="2"/>
  <c r="V121" i="2"/>
  <c r="V122" i="2"/>
  <c r="V123" i="2"/>
  <c r="V124" i="2"/>
  <c r="V125" i="2"/>
  <c r="V126" i="2"/>
  <c r="V127" i="2"/>
  <c r="V128" i="2"/>
  <c r="V129" i="2"/>
  <c r="V130" i="2"/>
  <c r="V131" i="2"/>
  <c r="V132" i="2"/>
  <c r="V133" i="2"/>
  <c r="V134" i="2"/>
  <c r="V135" i="2"/>
  <c r="W135" i="2" s="1"/>
  <c r="V136" i="2"/>
  <c r="V137" i="2"/>
  <c r="V138" i="2"/>
  <c r="V139" i="2"/>
  <c r="V140" i="2"/>
  <c r="V141" i="2"/>
  <c r="V142" i="2"/>
  <c r="V143" i="2"/>
  <c r="W143" i="2" s="1"/>
  <c r="V144" i="2"/>
  <c r="V145" i="2"/>
  <c r="V146" i="2"/>
  <c r="V147" i="2"/>
  <c r="V148" i="2"/>
  <c r="V149" i="2"/>
  <c r="V150" i="2"/>
  <c r="V151" i="2"/>
  <c r="V152" i="2"/>
  <c r="V153" i="2"/>
  <c r="V3" i="2"/>
  <c r="V2" i="2"/>
  <c r="AI7" i="2" l="1"/>
  <c r="AI11" i="2"/>
  <c r="AI15" i="2"/>
  <c r="AI31" i="2"/>
  <c r="AI35" i="2"/>
  <c r="AI47" i="2"/>
  <c r="AI55" i="2"/>
  <c r="AI59" i="2"/>
  <c r="AI63" i="2"/>
  <c r="AI67" i="2"/>
  <c r="AI75" i="2"/>
  <c r="AI83" i="2"/>
  <c r="AI87" i="2"/>
  <c r="AI99" i="2"/>
  <c r="AI103" i="2"/>
  <c r="AI111" i="2"/>
  <c r="AI119" i="2"/>
  <c r="AI123" i="2"/>
  <c r="AI127" i="2"/>
  <c r="AI131" i="2"/>
  <c r="AI135" i="2"/>
  <c r="AI139" i="2"/>
  <c r="AI151" i="2"/>
  <c r="AI4" i="2"/>
  <c r="AI12" i="2"/>
  <c r="AI16" i="2"/>
  <c r="AI20" i="2"/>
  <c r="AI24" i="2"/>
  <c r="AI28" i="2"/>
  <c r="AI32" i="2"/>
  <c r="AI36" i="2"/>
  <c r="AI64" i="2"/>
  <c r="AI72" i="2"/>
  <c r="AI80" i="2"/>
  <c r="AI84" i="2"/>
  <c r="AI88" i="2"/>
  <c r="AI92" i="2"/>
  <c r="AI96" i="2"/>
  <c r="AI100" i="2"/>
  <c r="AI104" i="2"/>
  <c r="AI108" i="2"/>
  <c r="AI116" i="2"/>
  <c r="AI120" i="2"/>
  <c r="AI124" i="2"/>
  <c r="AI128" i="2"/>
  <c r="AI132" i="2"/>
  <c r="AI136" i="2"/>
  <c r="AI140" i="2"/>
  <c r="AI144" i="2"/>
  <c r="AI148" i="2"/>
  <c r="AI152" i="2"/>
  <c r="AI5" i="2"/>
  <c r="AI9" i="2"/>
  <c r="AI13" i="2"/>
  <c r="AI21" i="2"/>
  <c r="AI29" i="2"/>
  <c r="AI37" i="2"/>
  <c r="AI41" i="2"/>
  <c r="AI45" i="2"/>
  <c r="AI49" i="2"/>
  <c r="AI53" i="2"/>
  <c r="AI61" i="2"/>
  <c r="AI69" i="2"/>
  <c r="AI73" i="2"/>
  <c r="AI81" i="2"/>
  <c r="AI85" i="2"/>
  <c r="AI89" i="2"/>
  <c r="AI93" i="2"/>
  <c r="AI101" i="2"/>
  <c r="AI125" i="2"/>
  <c r="AI133" i="2"/>
  <c r="AI141" i="2"/>
  <c r="AI145" i="2"/>
  <c r="AI149" i="2"/>
  <c r="AI18" i="2"/>
  <c r="AI26" i="2"/>
  <c r="AI30" i="2"/>
  <c r="AI34" i="2"/>
  <c r="AI38" i="2"/>
  <c r="AI46" i="2"/>
  <c r="AI50" i="2"/>
  <c r="AI54" i="2"/>
  <c r="AI62" i="2"/>
  <c r="AI86" i="2"/>
  <c r="AI94" i="2"/>
  <c r="AI98" i="2"/>
  <c r="AI102" i="2"/>
  <c r="AI106" i="2"/>
  <c r="AI110" i="2"/>
  <c r="AI118" i="2"/>
  <c r="AI122" i="2"/>
  <c r="AI130" i="2"/>
  <c r="AI134" i="2"/>
  <c r="AI138" i="2"/>
  <c r="AI142" i="2"/>
  <c r="AI150" i="2"/>
  <c r="AI2" i="2"/>
  <c r="W3" i="2"/>
  <c r="W13" i="2"/>
  <c r="W17" i="2"/>
  <c r="W21" i="2"/>
  <c r="W25" i="2"/>
  <c r="W29" i="2"/>
  <c r="W33" i="2"/>
  <c r="W37" i="2"/>
  <c r="W41" i="2"/>
  <c r="W45" i="2"/>
  <c r="W49" i="2"/>
  <c r="W53" i="2"/>
  <c r="W57" i="2"/>
  <c r="W61" i="2"/>
  <c r="W65" i="2"/>
  <c r="W73" i="2"/>
  <c r="W77" i="2"/>
  <c r="W81" i="2"/>
  <c r="W85" i="2"/>
  <c r="W89" i="2"/>
  <c r="W93" i="2"/>
  <c r="W97" i="2"/>
  <c r="W101" i="2"/>
  <c r="W105" i="2"/>
  <c r="W109" i="2"/>
  <c r="W113" i="2"/>
  <c r="W117" i="2"/>
  <c r="W121" i="2"/>
  <c r="W125" i="2"/>
  <c r="W129" i="2"/>
  <c r="W133" i="2"/>
  <c r="W137" i="2"/>
  <c r="W141" i="2"/>
  <c r="W145" i="2"/>
  <c r="W149" i="2"/>
  <c r="W153" i="2"/>
  <c r="W6" i="2"/>
  <c r="W2" i="2"/>
  <c r="W10" i="2"/>
  <c r="W18" i="2"/>
  <c r="W22" i="2"/>
  <c r="W26" i="2"/>
  <c r="W30" i="2"/>
  <c r="W34" i="2"/>
  <c r="W38" i="2"/>
  <c r="W46" i="2"/>
  <c r="W50" i="2"/>
  <c r="W54" i="2"/>
  <c r="W58" i="2"/>
  <c r="W62" i="2"/>
  <c r="W66" i="2"/>
  <c r="W70" i="2"/>
  <c r="W74" i="2"/>
  <c r="W82" i="2"/>
  <c r="W86" i="2"/>
  <c r="W90" i="2"/>
  <c r="W94" i="2"/>
  <c r="W98" i="2"/>
  <c r="W102" i="2"/>
  <c r="W106" i="2"/>
  <c r="W110" i="2"/>
  <c r="W114" i="2"/>
  <c r="W118" i="2"/>
  <c r="W122" i="2"/>
  <c r="W126" i="2"/>
  <c r="W130" i="2"/>
  <c r="W134" i="2"/>
  <c r="W138" i="2"/>
  <c r="W142" i="2"/>
  <c r="W146" i="2"/>
  <c r="W150" i="2"/>
  <c r="W9" i="2"/>
  <c r="W5" i="2"/>
  <c r="W11" i="2"/>
  <c r="W15" i="2"/>
  <c r="W19" i="2"/>
  <c r="W23" i="2"/>
  <c r="W27" i="2"/>
  <c r="W31" i="2"/>
  <c r="W35" i="2"/>
  <c r="W39" i="2"/>
  <c r="W47" i="2"/>
  <c r="W51" i="2"/>
  <c r="W55" i="2"/>
  <c r="W59" i="2"/>
  <c r="W63" i="2"/>
  <c r="W67" i="2"/>
  <c r="W79" i="2"/>
  <c r="W83" i="2"/>
  <c r="W87" i="2"/>
  <c r="W91" i="2"/>
  <c r="W95" i="2"/>
  <c r="W99" i="2"/>
  <c r="W103" i="2"/>
  <c r="W107" i="2"/>
  <c r="W111" i="2"/>
  <c r="W115" i="2"/>
  <c r="W119" i="2"/>
  <c r="W123" i="2"/>
  <c r="W127" i="2"/>
  <c r="W131" i="2"/>
  <c r="W139" i="2"/>
  <c r="W147" i="2"/>
  <c r="W151" i="2"/>
  <c r="W4" i="2"/>
  <c r="W12" i="2"/>
  <c r="W16" i="2"/>
  <c r="W20" i="2"/>
  <c r="W24" i="2"/>
  <c r="W28" i="2"/>
  <c r="W32" i="2"/>
  <c r="W36" i="2"/>
  <c r="W40" i="2"/>
  <c r="W44" i="2"/>
  <c r="W48" i="2"/>
  <c r="W52" i="2"/>
  <c r="W56" i="2"/>
  <c r="W60" i="2"/>
  <c r="W64" i="2"/>
  <c r="W68" i="2"/>
  <c r="W72" i="2"/>
  <c r="W76" i="2"/>
  <c r="W80" i="2"/>
  <c r="W84" i="2"/>
  <c r="W88" i="2"/>
  <c r="W92" i="2"/>
  <c r="W96" i="2"/>
  <c r="W100" i="2"/>
  <c r="W104" i="2"/>
  <c r="W108" i="2"/>
  <c r="W112" i="2"/>
  <c r="W116" i="2"/>
  <c r="W120" i="2"/>
  <c r="W124" i="2"/>
  <c r="W128" i="2"/>
  <c r="W132" i="2"/>
  <c r="W136" i="2"/>
  <c r="W140" i="2"/>
  <c r="W144" i="2"/>
  <c r="W148" i="2"/>
  <c r="W152" i="2"/>
  <c r="W7" i="2"/>
  <c r="W155" i="2" l="1"/>
  <c r="T23" i="10"/>
  <c r="K21" i="10"/>
  <c r="Q38" i="10"/>
  <c r="Q39" i="10"/>
  <c r="Q40" i="10"/>
  <c r="Q41" i="10"/>
  <c r="Q37" i="10"/>
  <c r="O38" i="10"/>
  <c r="O39" i="10"/>
  <c r="O40" i="10"/>
  <c r="O41" i="10"/>
  <c r="O37" i="10"/>
  <c r="E3" i="10" l="1"/>
  <c r="N14" i="10" l="1"/>
  <c r="L14" i="10"/>
  <c r="H2" i="10" l="1"/>
  <c r="O83" i="10" s="1"/>
  <c r="M83" i="10" l="1"/>
  <c r="K83" i="10"/>
  <c r="L83" i="10"/>
  <c r="K75" i="10"/>
  <c r="L75" i="10" s="1"/>
  <c r="K70" i="10"/>
  <c r="L70" i="10" s="1"/>
  <c r="M70" i="10" s="1"/>
  <c r="V21" i="10"/>
  <c r="M30" i="10"/>
  <c r="L30" i="10" s="1"/>
  <c r="T46" i="10"/>
  <c r="O46" i="10"/>
  <c r="S46" i="10"/>
  <c r="Q46" i="10"/>
  <c r="U46" i="10"/>
  <c r="P46" i="10"/>
  <c r="Q22" i="10"/>
  <c r="I34" i="8" s="1"/>
  <c r="O29" i="10"/>
  <c r="P29" i="10" s="1"/>
  <c r="M31" i="10"/>
  <c r="L31" i="10" s="1"/>
  <c r="M29" i="10"/>
  <c r="L29" i="10" s="1"/>
  <c r="U23" i="10"/>
  <c r="S23" i="10"/>
  <c r="T21" i="10"/>
  <c r="O22" i="10"/>
  <c r="M22" i="10"/>
  <c r="P22" i="10"/>
  <c r="O21" i="10"/>
  <c r="P21" i="10"/>
  <c r="N21" i="10"/>
  <c r="N22" i="10"/>
  <c r="M21" i="10"/>
  <c r="K4" i="10"/>
  <c r="K46" i="10"/>
  <c r="M46" i="10"/>
  <c r="L46" i="10"/>
  <c r="O11" i="10"/>
  <c r="K6" i="10"/>
  <c r="Q6" i="10" s="1"/>
  <c r="O10" i="10"/>
  <c r="K5" i="10"/>
  <c r="N83" i="10" l="1"/>
  <c r="M11" i="10"/>
  <c r="P11" i="10"/>
  <c r="R11" i="10" s="1"/>
  <c r="T11" i="10" s="1"/>
  <c r="U24" i="10"/>
  <c r="K51" i="10"/>
  <c r="K54" i="10"/>
  <c r="S51" i="10"/>
  <c r="S54" i="10"/>
  <c r="P51" i="10"/>
  <c r="P54" i="10"/>
  <c r="O51" i="10"/>
  <c r="O54" i="10"/>
  <c r="L51" i="10"/>
  <c r="L54" i="10"/>
  <c r="U51" i="10"/>
  <c r="U54" i="10"/>
  <c r="T51" i="10"/>
  <c r="T54" i="10"/>
  <c r="M51" i="10"/>
  <c r="M54" i="10"/>
  <c r="Q51" i="10"/>
  <c r="Q54" i="10"/>
  <c r="S24" i="10"/>
  <c r="W21" i="10"/>
  <c r="X21" i="10" s="1"/>
  <c r="N11" i="10"/>
  <c r="P56" i="10"/>
  <c r="P58" i="10"/>
  <c r="P55" i="10"/>
  <c r="P57" i="10"/>
  <c r="U55" i="10"/>
  <c r="U57" i="10"/>
  <c r="U48" i="10"/>
  <c r="U50" i="10"/>
  <c r="U56" i="10"/>
  <c r="U58" i="10"/>
  <c r="U47" i="10"/>
  <c r="U49" i="10"/>
  <c r="O47" i="10"/>
  <c r="O58" i="10"/>
  <c r="O55" i="10"/>
  <c r="O57" i="10"/>
  <c r="O56" i="10"/>
  <c r="S57" i="10"/>
  <c r="S49" i="10"/>
  <c r="S58" i="10"/>
  <c r="S50" i="10"/>
  <c r="S55" i="10"/>
  <c r="S56" i="10"/>
  <c r="S48" i="10"/>
  <c r="S47" i="10"/>
  <c r="Q56" i="10"/>
  <c r="Q58" i="10"/>
  <c r="Q55" i="10"/>
  <c r="Q57" i="10"/>
  <c r="T56" i="10"/>
  <c r="T58" i="10"/>
  <c r="T47" i="10"/>
  <c r="T49" i="10"/>
  <c r="T55" i="10"/>
  <c r="T57" i="10"/>
  <c r="T48" i="10"/>
  <c r="T50" i="10"/>
  <c r="Q47" i="10"/>
  <c r="Q49" i="10"/>
  <c r="Q48" i="10"/>
  <c r="Q50" i="10"/>
  <c r="K56" i="10"/>
  <c r="K55" i="10"/>
  <c r="K57" i="10"/>
  <c r="K58" i="10"/>
  <c r="L56" i="10"/>
  <c r="L58" i="10"/>
  <c r="L55" i="10"/>
  <c r="L57" i="10"/>
  <c r="P48" i="10"/>
  <c r="P50" i="10"/>
  <c r="P47" i="10"/>
  <c r="P49" i="10"/>
  <c r="M56" i="10"/>
  <c r="M58" i="10"/>
  <c r="M48" i="10"/>
  <c r="M47" i="10"/>
  <c r="M57" i="10"/>
  <c r="M50" i="10"/>
  <c r="M55" i="10"/>
  <c r="M49" i="10"/>
  <c r="O48" i="10"/>
  <c r="O50" i="10"/>
  <c r="O49" i="10"/>
  <c r="L48" i="10"/>
  <c r="L47" i="10"/>
  <c r="L49" i="10"/>
  <c r="L50" i="10"/>
  <c r="K48" i="10"/>
  <c r="K47" i="10"/>
  <c r="K49" i="10"/>
  <c r="K50" i="10"/>
  <c r="P10" i="10"/>
  <c r="R10" i="10" s="1"/>
  <c r="T10" i="10" s="1"/>
  <c r="N10" i="10"/>
  <c r="M10" i="10"/>
  <c r="X23" i="10" l="1"/>
  <c r="L11" i="10"/>
  <c r="L10" i="10"/>
  <c r="T44" i="10"/>
  <c r="T62" i="10" s="1"/>
  <c r="T63" i="10" s="1"/>
  <c r="P44" i="10"/>
  <c r="P62" i="10" s="1"/>
  <c r="P63" i="10" s="1"/>
  <c r="O44" i="10"/>
  <c r="O62" i="10" s="1"/>
  <c r="O63" i="10" s="1"/>
  <c r="Q44" i="10"/>
  <c r="Q62" i="10" s="1"/>
  <c r="S44" i="10"/>
  <c r="S62" i="10" s="1"/>
  <c r="S63" i="10" s="1"/>
  <c r="U44" i="10"/>
  <c r="U62" i="10" s="1"/>
  <c r="U63" i="10" s="1"/>
  <c r="M44" i="10"/>
  <c r="K44" i="10"/>
  <c r="L44" i="10"/>
  <c r="Q11" i="10"/>
  <c r="S11" i="10" s="1"/>
  <c r="W11" i="10"/>
  <c r="W10" i="10"/>
  <c r="Q10" i="10"/>
  <c r="K62" i="10" l="1"/>
  <c r="K63" i="10" s="1"/>
  <c r="Q27" i="8"/>
  <c r="Q23" i="8"/>
  <c r="M62" i="10"/>
  <c r="M63" i="10" s="1"/>
  <c r="X25" i="8"/>
  <c r="Q63" i="10"/>
  <c r="X11" i="10"/>
  <c r="Q25" i="8"/>
  <c r="Q31" i="8"/>
  <c r="Q29" i="8"/>
  <c r="T31" i="8"/>
  <c r="T23" i="8"/>
  <c r="T29" i="8"/>
  <c r="T27" i="8"/>
  <c r="T25" i="8"/>
  <c r="X31" i="8"/>
  <c r="X27" i="8"/>
  <c r="X29" i="8"/>
  <c r="X23" i="8"/>
  <c r="L62" i="10"/>
  <c r="L63" i="10" s="1"/>
  <c r="S10" i="10"/>
  <c r="X10" i="10"/>
</calcChain>
</file>

<file path=xl/sharedStrings.xml><?xml version="1.0" encoding="utf-8"?>
<sst xmlns="http://schemas.openxmlformats.org/spreadsheetml/2006/main" count="2957" uniqueCount="556">
  <si>
    <t>LANumber</t>
  </si>
  <si>
    <t>Barking and Dagenham</t>
  </si>
  <si>
    <t>Bristol City of</t>
  </si>
  <si>
    <t>Secondary</t>
  </si>
  <si>
    <t>Barnet</t>
  </si>
  <si>
    <t>Barnsley</t>
  </si>
  <si>
    <t>Bath and North East Somerset</t>
  </si>
  <si>
    <t>Bedford Borough</t>
  </si>
  <si>
    <t>Bexley</t>
  </si>
  <si>
    <t>Birmingham</t>
  </si>
  <si>
    <t>Blackburn with Darwen</t>
  </si>
  <si>
    <t>Blackpool</t>
  </si>
  <si>
    <t>Primary</t>
  </si>
  <si>
    <t>Bolton</t>
  </si>
  <si>
    <t>Bournemouth</t>
  </si>
  <si>
    <t>Bracknell Forest</t>
  </si>
  <si>
    <t>Bradford</t>
  </si>
  <si>
    <t>Brent</t>
  </si>
  <si>
    <t>Brighton and Hove</t>
  </si>
  <si>
    <t>Bromley</t>
  </si>
  <si>
    <t>Buckinghamshire</t>
  </si>
  <si>
    <t>Bury</t>
  </si>
  <si>
    <t>Calderdale</t>
  </si>
  <si>
    <t>Cambridgeshire</t>
  </si>
  <si>
    <t>Camden</t>
  </si>
  <si>
    <t>Central Bedfordshire</t>
  </si>
  <si>
    <t>Cheshire East</t>
  </si>
  <si>
    <t>Cheshire West and Chester</t>
  </si>
  <si>
    <t>City of London</t>
  </si>
  <si>
    <t>Cornwall</t>
  </si>
  <si>
    <t>Coventry</t>
  </si>
  <si>
    <t>Croydon</t>
  </si>
  <si>
    <t>Cumbria</t>
  </si>
  <si>
    <t>Darlington</t>
  </si>
  <si>
    <t>Derby</t>
  </si>
  <si>
    <t>Derbyshire</t>
  </si>
  <si>
    <t>Devon</t>
  </si>
  <si>
    <t>Doncaster</t>
  </si>
  <si>
    <t>Dorset</t>
  </si>
  <si>
    <t>Dudley</t>
  </si>
  <si>
    <t>Durham</t>
  </si>
  <si>
    <t>Ealing</t>
  </si>
  <si>
    <t>East Riding of Yorkshire</t>
  </si>
  <si>
    <t>East Sussex</t>
  </si>
  <si>
    <t>Enfield</t>
  </si>
  <si>
    <t>Essex</t>
  </si>
  <si>
    <t>Gateshead</t>
  </si>
  <si>
    <t>Gloucestershire</t>
  </si>
  <si>
    <t>Greenwich</t>
  </si>
  <si>
    <t>Hackney</t>
  </si>
  <si>
    <t>Halton</t>
  </si>
  <si>
    <t>Hammersmith and Fulham</t>
  </si>
  <si>
    <t>Hampshire</t>
  </si>
  <si>
    <t>Haringey</t>
  </si>
  <si>
    <t>Harrow</t>
  </si>
  <si>
    <t>Hartlepool</t>
  </si>
  <si>
    <t>Havering</t>
  </si>
  <si>
    <t>Herefordshire</t>
  </si>
  <si>
    <t>Hertfordshire</t>
  </si>
  <si>
    <t>Hillingdon</t>
  </si>
  <si>
    <t>Hounslow</t>
  </si>
  <si>
    <t>Isle of Wight</t>
  </si>
  <si>
    <t>Isles Of Scilly</t>
  </si>
  <si>
    <t>Islington</t>
  </si>
  <si>
    <t>Kensington and Chelsea</t>
  </si>
  <si>
    <t>Kent</t>
  </si>
  <si>
    <t>Kingston upon Hull City of</t>
  </si>
  <si>
    <t>Kingston upon Thames</t>
  </si>
  <si>
    <t>Kirklees</t>
  </si>
  <si>
    <t>Knowsley</t>
  </si>
  <si>
    <t>Lambeth</t>
  </si>
  <si>
    <t>Lancashire</t>
  </si>
  <si>
    <t>Leeds</t>
  </si>
  <si>
    <t>Leicester</t>
  </si>
  <si>
    <t>Leicestershire</t>
  </si>
  <si>
    <t>Lewisham</t>
  </si>
  <si>
    <t>Lincolnshire</t>
  </si>
  <si>
    <t>Liverpool</t>
  </si>
  <si>
    <t>Luton</t>
  </si>
  <si>
    <t>Manchester</t>
  </si>
  <si>
    <t>Medway</t>
  </si>
  <si>
    <t>Merton</t>
  </si>
  <si>
    <t>Middlesbrough</t>
  </si>
  <si>
    <t>Milton Keynes</t>
  </si>
  <si>
    <t>Newcastle upon Tyne</t>
  </si>
  <si>
    <t>Newham</t>
  </si>
  <si>
    <t>Norfolk</t>
  </si>
  <si>
    <t>North East Lincolnshire</t>
  </si>
  <si>
    <t>North Lincolnshire</t>
  </si>
  <si>
    <t>North Somerset</t>
  </si>
  <si>
    <t>North Tyneside</t>
  </si>
  <si>
    <t>North Yorkshire</t>
  </si>
  <si>
    <t>Northamptonshire</t>
  </si>
  <si>
    <t>Northumberland</t>
  </si>
  <si>
    <t>Nottingham</t>
  </si>
  <si>
    <t>Nottinghamshire</t>
  </si>
  <si>
    <t>Oldham</t>
  </si>
  <si>
    <t>Oxfordshire</t>
  </si>
  <si>
    <t>Peterborough</t>
  </si>
  <si>
    <t>Plymouth</t>
  </si>
  <si>
    <t>Poole</t>
  </si>
  <si>
    <t>Portsmouth</t>
  </si>
  <si>
    <t>Reading</t>
  </si>
  <si>
    <t>Redbridge</t>
  </si>
  <si>
    <t>Redcar and Cleveland</t>
  </si>
  <si>
    <t>Richmond upon Thames</t>
  </si>
  <si>
    <t>Rochdale</t>
  </si>
  <si>
    <t>Rotherham</t>
  </si>
  <si>
    <t>Rutland</t>
  </si>
  <si>
    <t>Salford</t>
  </si>
  <si>
    <t>Sandwell</t>
  </si>
  <si>
    <t>Sefton</t>
  </si>
  <si>
    <t>Sheffield</t>
  </si>
  <si>
    <t>Shropshire</t>
  </si>
  <si>
    <t>Slough</t>
  </si>
  <si>
    <t>Solihull</t>
  </si>
  <si>
    <t>Somerset</t>
  </si>
  <si>
    <t>South Gloucestershire</t>
  </si>
  <si>
    <t>South Tyneside</t>
  </si>
  <si>
    <t>Southampton</t>
  </si>
  <si>
    <t>Southend-on-Sea</t>
  </si>
  <si>
    <t>Southwark</t>
  </si>
  <si>
    <t>St Helens</t>
  </si>
  <si>
    <t>Staffordshire</t>
  </si>
  <si>
    <t>Stockport</t>
  </si>
  <si>
    <t>Stockton-on-Tees</t>
  </si>
  <si>
    <t>Stoke-on-Trent</t>
  </si>
  <si>
    <t>Suffolk</t>
  </si>
  <si>
    <t>Sunderland</t>
  </si>
  <si>
    <t>Surrey</t>
  </si>
  <si>
    <t>Sutton</t>
  </si>
  <si>
    <t>Swindon</t>
  </si>
  <si>
    <t>Tameside</t>
  </si>
  <si>
    <t>Telford and Wrekin</t>
  </si>
  <si>
    <t>Thurrock</t>
  </si>
  <si>
    <t>Torbay</t>
  </si>
  <si>
    <t>Tower Hamlets</t>
  </si>
  <si>
    <t>Trafford</t>
  </si>
  <si>
    <t>Wakefield</t>
  </si>
  <si>
    <t>Walsall</t>
  </si>
  <si>
    <t>Waltham Forest</t>
  </si>
  <si>
    <t>Wandsworth</t>
  </si>
  <si>
    <t>Warrington</t>
  </si>
  <si>
    <t>Warwickshire</t>
  </si>
  <si>
    <t>West Berkshire</t>
  </si>
  <si>
    <t>West Sussex</t>
  </si>
  <si>
    <t>Westminster</t>
  </si>
  <si>
    <t>Wigan</t>
  </si>
  <si>
    <t>Wiltshire</t>
  </si>
  <si>
    <t>Windsor and Maidenhead</t>
  </si>
  <si>
    <t>Wirral</t>
  </si>
  <si>
    <t>Wokingham</t>
  </si>
  <si>
    <t>Wolverhampton</t>
  </si>
  <si>
    <t>Worcestershire</t>
  </si>
  <si>
    <t>York</t>
  </si>
  <si>
    <t>QUALITY</t>
  </si>
  <si>
    <t>COST</t>
  </si>
  <si>
    <t>N/A</t>
  </si>
  <si>
    <t>X</t>
  </si>
  <si>
    <t>Y</t>
  </si>
  <si>
    <t>Description</t>
  </si>
  <si>
    <t>EP</t>
  </si>
  <si>
    <t>ET</t>
  </si>
  <si>
    <t>NS</t>
  </si>
  <si>
    <t>SCAP 2015</t>
  </si>
  <si>
    <t>LAName</t>
  </si>
  <si>
    <t>Phases</t>
  </si>
  <si>
    <t>Chosen_LA</t>
  </si>
  <si>
    <t>Chosen_Phase</t>
  </si>
  <si>
    <t>URI</t>
  </si>
  <si>
    <t>QUANTITY</t>
  </si>
  <si>
    <t>FORECAST ACCURACY</t>
  </si>
  <si>
    <t>One-year-ahead</t>
  </si>
  <si>
    <t>A: LA Accu</t>
  </si>
  <si>
    <t>B: Greatest over_under_forecast - LA Accu</t>
  </si>
  <si>
    <t>A/(A+B)=C</t>
  </si>
  <si>
    <t>B/(A+B)=D</t>
  </si>
  <si>
    <t>C Scaled</t>
  </si>
  <si>
    <t>D Scaled</t>
  </si>
  <si>
    <t>Positive</t>
  </si>
  <si>
    <t>Spacer</t>
  </si>
  <si>
    <t>Sign</t>
  </si>
  <si>
    <t>Value</t>
  </si>
  <si>
    <t>Round*100</t>
  </si>
  <si>
    <t>Three-year-ahead</t>
  </si>
  <si>
    <t>Labels</t>
  </si>
  <si>
    <t>Numbers of Projects</t>
  </si>
  <si>
    <t>Chart co-ord</t>
  </si>
  <si>
    <t>Percentiles</t>
  </si>
  <si>
    <t>LA Cost Per Place</t>
  </si>
  <si>
    <t>Position in quintile</t>
  </si>
  <si>
    <t>Statistical Neighbours</t>
  </si>
  <si>
    <t>Regional Neighbours</t>
  </si>
  <si>
    <t>Y co-ordinates</t>
  </si>
  <si>
    <t>X_2</t>
  </si>
  <si>
    <t>Median of statistical neighbours</t>
  </si>
  <si>
    <t>Forecast accuracy</t>
  </si>
  <si>
    <t>one year</t>
  </si>
  <si>
    <t>ahead</t>
  </si>
  <si>
    <t>three years</t>
  </si>
  <si>
    <t>England</t>
  </si>
  <si>
    <t>New places</t>
  </si>
  <si>
    <t>Existing places</t>
  </si>
  <si>
    <t>Qual_P_N1</t>
  </si>
  <si>
    <t>Qual_P_E1</t>
  </si>
  <si>
    <t>Qual_P_E2</t>
  </si>
  <si>
    <t>Qual_P_N2</t>
  </si>
  <si>
    <t>Qual_P_E3</t>
  </si>
  <si>
    <t>Qual_P_N3</t>
  </si>
  <si>
    <t>Qual_P_E4</t>
  </si>
  <si>
    <t>Qual_P_N4</t>
  </si>
  <si>
    <t>Qual_P_E0</t>
  </si>
  <si>
    <t>Qual_P_N0</t>
  </si>
  <si>
    <t>Qual_P_Prop</t>
  </si>
  <si>
    <t>Qual_S_E1</t>
  </si>
  <si>
    <t>Qual_S_N1</t>
  </si>
  <si>
    <t>Qual_S_N2</t>
  </si>
  <si>
    <t>Qual_S_E2</t>
  </si>
  <si>
    <t>Qual_S_E3</t>
  </si>
  <si>
    <t>Qual_S_N3</t>
  </si>
  <si>
    <t>Qual_S_N4</t>
  </si>
  <si>
    <t>Qual_S_E4</t>
  </si>
  <si>
    <t>Qual_S_N0</t>
  </si>
  <si>
    <t>Qual_S_E0</t>
  </si>
  <si>
    <t>Qual_S_Prop</t>
  </si>
  <si>
    <t>Qual_KS2_NAb</t>
  </si>
  <si>
    <t>Qual_KS2_NAv</t>
  </si>
  <si>
    <t>Qual_KS2_NBe</t>
  </si>
  <si>
    <t>Qual_KS2_EAb</t>
  </si>
  <si>
    <t>Qual_KS2_EAv</t>
  </si>
  <si>
    <t>Qual_KS2_EBe</t>
  </si>
  <si>
    <t>Qual_KS2_N0</t>
  </si>
  <si>
    <t>Qual_KS2_E0</t>
  </si>
  <si>
    <t>Qual_KS4_NAb</t>
  </si>
  <si>
    <t>Qual_KS4_NAv</t>
  </si>
  <si>
    <t>Qual_KS4_NBe</t>
  </si>
  <si>
    <t>Qual_KS4_N0</t>
  </si>
  <si>
    <t>Qual_KS4_EAb</t>
  </si>
  <si>
    <t>Qual_KS4_EAv</t>
  </si>
  <si>
    <t>Qual_KS4_EBe</t>
  </si>
  <si>
    <t>Qual_KS4_E0</t>
  </si>
  <si>
    <t>Quality metric</t>
  </si>
  <si>
    <t>KS2 Value Added</t>
  </si>
  <si>
    <t>KS4 Value Added</t>
  </si>
  <si>
    <t>Chosen_Qual</t>
  </si>
  <si>
    <t>Ofsted Rating</t>
  </si>
  <si>
    <t>Proportions</t>
  </si>
  <si>
    <t>ofsted</t>
  </si>
  <si>
    <t>VA</t>
  </si>
  <si>
    <t>Rank</t>
  </si>
  <si>
    <t>Qual_P_PropRanks</t>
  </si>
  <si>
    <t>Qual_KS2_Prop</t>
  </si>
  <si>
    <t>Qual_KS2_PropRanks</t>
  </si>
  <si>
    <t>Qual_S_PropRanks</t>
  </si>
  <si>
    <t>Qual_KS4_Prop</t>
  </si>
  <si>
    <t>Qual_KS4_PropRanks</t>
  </si>
  <si>
    <t>null</t>
  </si>
  <si>
    <t>Check Totals</t>
  </si>
  <si>
    <t>Quan_P_15</t>
  </si>
  <si>
    <t>Quan_S_15</t>
  </si>
  <si>
    <t>Quan_P_RP15</t>
  </si>
  <si>
    <t>Quan_S_RP15</t>
  </si>
  <si>
    <t>Quan_P_PP15</t>
  </si>
  <si>
    <t>Quan_S_PP15</t>
  </si>
  <si>
    <t>For_3_P</t>
  </si>
  <si>
    <t>For_1_P</t>
  </si>
  <si>
    <t>For_3_S</t>
  </si>
  <si>
    <t>For_1_S</t>
  </si>
  <si>
    <t>Quantity data columns</t>
  </si>
  <si>
    <t>Forecast Accuracy data columns</t>
  </si>
  <si>
    <t>Cost data columns</t>
  </si>
  <si>
    <t>The following colour coding is applied to the summary data columns</t>
  </si>
  <si>
    <t>Negative</t>
  </si>
  <si>
    <t>Cost_P_SN_EP</t>
  </si>
  <si>
    <t>Cost_P_SN_ET</t>
  </si>
  <si>
    <t>Cost_P_SN_NS</t>
  </si>
  <si>
    <t>Cost_P_EP</t>
  </si>
  <si>
    <t>Cost_P_ET</t>
  </si>
  <si>
    <t>Cost_P_NS</t>
  </si>
  <si>
    <t>Cost_S_EP</t>
  </si>
  <si>
    <t>Cost_S_ET</t>
  </si>
  <si>
    <t>Cost_S_NS</t>
  </si>
  <si>
    <t>Cost_S_SN_ET</t>
  </si>
  <si>
    <t>Cost_S_SN_EP</t>
  </si>
  <si>
    <t>Cost_S_SN_NS</t>
  </si>
  <si>
    <t>Cost_P_EPRanks</t>
  </si>
  <si>
    <t>Cost_S_EPRanks</t>
  </si>
  <si>
    <t>Cost_P_RN_EP</t>
  </si>
  <si>
    <t>Cost_P_RN_ET</t>
  </si>
  <si>
    <t>Cost_P_RN_NS</t>
  </si>
  <si>
    <t>Cost_S_RN_EP</t>
  </si>
  <si>
    <t>Cost_S_RN_ET</t>
  </si>
  <si>
    <t>Cost_S_RN_NS</t>
  </si>
  <si>
    <t>Cost_P_EPn</t>
  </si>
  <si>
    <t>Cost_P_ETn</t>
  </si>
  <si>
    <t>Cost_P_NSn</t>
  </si>
  <si>
    <t>Cost_S_EPn</t>
  </si>
  <si>
    <t>Cost_S_ETn</t>
  </si>
  <si>
    <t>Cost_S_NSn</t>
  </si>
  <si>
    <t>Rankings</t>
  </si>
  <si>
    <t>Obscurer</t>
  </si>
  <si>
    <t>&gt;=GOOD</t>
  </si>
  <si>
    <t>ALL</t>
  </si>
  <si>
    <t>Existing places UK</t>
  </si>
  <si>
    <t>For information:</t>
  </si>
  <si>
    <t>%(&gt;=GOOD)</t>
  </si>
  <si>
    <t>Banner</t>
  </si>
  <si>
    <t>Funding</t>
  </si>
  <si>
    <t>Pupil Growth</t>
  </si>
  <si>
    <t>Min</t>
  </si>
  <si>
    <t>Minor formatting changes to the QUANTITY measure. Changes to FORECAST ACCURACY for City of London and Isles of Scilly these LAs now prompt a message of "See notes" when selected. This is due to their comparatively small numbers of pupils which make % inaccuracy figures somewhat spurious. Change to text in Banner associated with growth in pupil numbers, this now reflected the selected phase. Change to COST measure to extend bars for statistical neighbours median and for regional median, so that bars are not obscured when overlapped. Correction to calculations which resulted in min and max values not displaying.</t>
  </si>
  <si>
    <t>Introduction of information sheet.</t>
  </si>
  <si>
    <t>Correction to error in Cost measure found in QA. Conversion of Quality KS2 and KS4 proportions to match 2014 scorecard.</t>
  </si>
  <si>
    <t>Correction to error in Quality measure found in QA. Inclusion of Stats Neighbours and Regional Neighbours median data, and final Cost data. Cost Measure Complete</t>
  </si>
  <si>
    <t>First post development version. Quantity complete. Forecast Accuracy complete. Quality Complete.</t>
  </si>
  <si>
    <t>Version number</t>
  </si>
  <si>
    <t>Version Control</t>
  </si>
  <si>
    <t>BASIC NEED SCORECARD 2015</t>
  </si>
  <si>
    <t>Data for Banner (growth and funding)</t>
  </si>
  <si>
    <t>Ban_P_gro</t>
  </si>
  <si>
    <t>Ban_S_gro</t>
  </si>
  <si>
    <t>Fixed issue with FORECAST ACC three year ahead figures: max value not displaying correctly. Added pupil growth percentages. Removed obsolete sheet 'Funding and Pupil Growth'.</t>
  </si>
  <si>
    <t>PREFERENCE</t>
  </si>
  <si>
    <t>Preference</t>
  </si>
  <si>
    <t>Pref_P_1</t>
  </si>
  <si>
    <t>Pref_P_2</t>
  </si>
  <si>
    <t>Pref_P_3</t>
  </si>
  <si>
    <t>Pref_S_1</t>
  </si>
  <si>
    <t>Pref_S_2</t>
  </si>
  <si>
    <t>Pref_S_3</t>
  </si>
  <si>
    <t>Pref_P_T3</t>
  </si>
  <si>
    <t>Pref_S_T3</t>
  </si>
  <si>
    <t>Proportion top three</t>
  </si>
  <si>
    <r>
      <t>1</t>
    </r>
    <r>
      <rPr>
        <vertAlign val="superscript"/>
        <sz val="11"/>
        <color theme="1"/>
        <rFont val="Calibri"/>
        <family val="2"/>
        <scheme val="minor"/>
      </rPr>
      <t>st</t>
    </r>
  </si>
  <si>
    <r>
      <t>2</t>
    </r>
    <r>
      <rPr>
        <vertAlign val="superscript"/>
        <sz val="11"/>
        <color theme="1"/>
        <rFont val="Calibri"/>
        <family val="2"/>
        <scheme val="minor"/>
      </rPr>
      <t>nd</t>
    </r>
  </si>
  <si>
    <r>
      <t>3</t>
    </r>
    <r>
      <rPr>
        <vertAlign val="superscript"/>
        <sz val="11"/>
        <color theme="1"/>
        <rFont val="Calibri"/>
        <family val="2"/>
        <scheme val="minor"/>
      </rPr>
      <t>rd</t>
    </r>
  </si>
  <si>
    <t>choice</t>
  </si>
  <si>
    <t>School Places Scorecard</t>
  </si>
  <si>
    <t>How to use the School Places Scorecard</t>
  </si>
  <si>
    <t>Change to front view to include Preference metric. Inclusion of Funding data. Inclusion of Preference data.</t>
  </si>
  <si>
    <t>Preference data columns</t>
  </si>
  <si>
    <t>Quality data columns</t>
  </si>
  <si>
    <t>Alterations to Preference display. Update of Information page. Insertion of revised COST data.</t>
  </si>
  <si>
    <t>Insertion of revised Quality data</t>
  </si>
  <si>
    <t>Government Office Region</t>
  </si>
  <si>
    <t>LONDON</t>
  </si>
  <si>
    <t>YORKSHIRE AND THE HUMBER</t>
  </si>
  <si>
    <t>SOUTH WEST</t>
  </si>
  <si>
    <t>EAST OF ENGLAND</t>
  </si>
  <si>
    <t>WEST MIDLANDS</t>
  </si>
  <si>
    <t>NORTH WEST</t>
  </si>
  <si>
    <t>SOUTH EAST</t>
  </si>
  <si>
    <t>NORTH EAST</t>
  </si>
  <si>
    <t>EAST MIDLANDS</t>
  </si>
  <si>
    <t>Quantity</t>
  </si>
  <si>
    <t>Capacity at May 2010</t>
  </si>
  <si>
    <t>Capacity at May 2015</t>
  </si>
  <si>
    <t>Number of new places planned for delivery 2015/16 to 2017/18</t>
  </si>
  <si>
    <t>Contextual</t>
  </si>
  <si>
    <t>Actual pupil numbers 2009/10</t>
  </si>
  <si>
    <t>Forecast pupil numbers 2017/18</t>
  </si>
  <si>
    <t>0.10</t>
  </si>
  <si>
    <t>Forecast Accuracy</t>
  </si>
  <si>
    <t>Actual pupil numbers 2014/15</t>
  </si>
  <si>
    <t>SCAP12 Forecast pupil numbers on roll 2014/15</t>
  </si>
  <si>
    <t>Percentage of offers made to applicants of first preference</t>
  </si>
  <si>
    <t>Percentage of offers made to applicants of third preference</t>
  </si>
  <si>
    <t>Quality (Using Ofsted Ratings)</t>
  </si>
  <si>
    <t>New places in 'Outstanding' schools</t>
  </si>
  <si>
    <t>New places in 'Requires Improvement' schools</t>
  </si>
  <si>
    <t>New places in 'Inadequate' schools</t>
  </si>
  <si>
    <t>Existing places in 'Outstanding' schools</t>
  </si>
  <si>
    <t>Existing places in 'Requires Improvement' schools</t>
  </si>
  <si>
    <t>Existing places in 'Inadequate' schools</t>
  </si>
  <si>
    <t>Existing Places in schools possessing no current Ofsted judgement</t>
  </si>
  <si>
    <t>Quality (Using KS2 value added score)</t>
  </si>
  <si>
    <t>New places in above average schools</t>
  </si>
  <si>
    <t>New places in average schools</t>
  </si>
  <si>
    <t>New places in below average schools</t>
  </si>
  <si>
    <t>Existing places in above average schools</t>
  </si>
  <si>
    <t>Existing places in average schools</t>
  </si>
  <si>
    <t>Existing places in below average schools</t>
  </si>
  <si>
    <t>Quality (Using KS4 value added score)</t>
  </si>
  <si>
    <t>Cost</t>
  </si>
  <si>
    <t>Places created in temporary expansions</t>
  </si>
  <si>
    <t>Places created in new schools</t>
  </si>
  <si>
    <t>Total spend on permanent expansions</t>
  </si>
  <si>
    <t>Places created on permanent expansions</t>
  </si>
  <si>
    <t>Total spend on temporary expansions</t>
  </si>
  <si>
    <t>Total spend on new schools</t>
  </si>
  <si>
    <t>% Increase in pupil numbers May '10 to Sept '17</t>
  </si>
  <si>
    <t>SCAP14 Forecast pupil number on roll 2014/15</t>
  </si>
  <si>
    <t>Percentage of offers made to applicants of second preference</t>
  </si>
  <si>
    <t>Percentage of offers made to applicants of one of top three preferences</t>
  </si>
  <si>
    <t>New places in 'Good' schools</t>
  </si>
  <si>
    <t>New places in schools with no current Ofsted judgement</t>
  </si>
  <si>
    <t>Existing places in 'Good' schools</t>
  </si>
  <si>
    <t>New places in schools with no value added score</t>
  </si>
  <si>
    <t>Existing places in schools with no value added score</t>
  </si>
  <si>
    <t>Notes</t>
  </si>
  <si>
    <t>(1)</t>
  </si>
  <si>
    <t>(2)</t>
  </si>
  <si>
    <t>(3)</t>
  </si>
  <si>
    <t>LA Number</t>
  </si>
  <si>
    <t>LA Name</t>
  </si>
  <si>
    <r>
      <t xml:space="preserve">Total basic need allocation 2011-19 </t>
    </r>
    <r>
      <rPr>
        <b/>
        <sz val="11"/>
        <color theme="1"/>
        <rFont val="Calibri"/>
        <family val="2"/>
        <scheme val="minor"/>
      </rPr>
      <t>(1)</t>
    </r>
  </si>
  <si>
    <r>
      <t xml:space="preserve">Estimated number of additional places needed to meet demand in 2017/18 </t>
    </r>
    <r>
      <rPr>
        <b/>
        <sz val="11"/>
        <color theme="1"/>
        <rFont val="Calibri"/>
        <family val="2"/>
        <scheme val="minor"/>
      </rPr>
      <t>(2)</t>
    </r>
  </si>
  <si>
    <r>
      <t xml:space="preserve">One year ahead forecast accuracy </t>
    </r>
    <r>
      <rPr>
        <b/>
        <sz val="11"/>
        <color theme="1"/>
        <rFont val="Calibri"/>
        <family val="2"/>
        <scheme val="minor"/>
      </rPr>
      <t>(3)</t>
    </r>
  </si>
  <si>
    <r>
      <t xml:space="preserve">Three year ahead forecast accuracy </t>
    </r>
    <r>
      <rPr>
        <b/>
        <sz val="11"/>
        <color theme="1"/>
        <rFont val="Calibri"/>
        <family val="2"/>
        <scheme val="minor"/>
      </rPr>
      <t>(3)</t>
    </r>
  </si>
  <si>
    <t>Figures rounded to nearest whole ten</t>
  </si>
  <si>
    <t>Addition of Summary data tables for primary and secondary. Changes to preference measure.</t>
  </si>
  <si>
    <t>Please note: the scorecard is best viewed at 100% zoom at a screen resolution of 1920 X 1080. Viewing the scorecard with settings other than these may result in minor distortion to its appearance. Printing is unaffected.</t>
  </si>
  <si>
    <t>Total includes targeted basic need allocations 2013-2015</t>
  </si>
  <si>
    <t>Notes for individual indicators in scorecard</t>
  </si>
  <si>
    <t>Indicator in scorecard</t>
  </si>
  <si>
    <t>What does this measure do?</t>
  </si>
  <si>
    <t>Further information/breakdown</t>
  </si>
  <si>
    <t>Where can I find this data?</t>
  </si>
  <si>
    <t>Barking and Dagenham worked example (Primary)</t>
  </si>
  <si>
    <t>Total basic need funding 2011-19</t>
  </si>
  <si>
    <t>DfE centrally held information, published in summary tables.</t>
  </si>
  <si>
    <r>
      <t xml:space="preserve">£146,063,502 +  £20,892,083 = £166,955,585
Rounded to </t>
    </r>
    <r>
      <rPr>
        <b/>
        <sz val="11"/>
        <color theme="1"/>
        <rFont val="Calibri"/>
        <family val="2"/>
        <scheme val="minor"/>
      </rPr>
      <t>£167m</t>
    </r>
  </si>
  <si>
    <t>Increase in pupil numbers
2009/10 - 2017/18</t>
  </si>
  <si>
    <t>DfE centrally held information, published in summary tables</t>
  </si>
  <si>
    <r>
      <t xml:space="preserve">1. This is the total number of pupils registered at each school for the academic year 2009-10 in each </t>
    </r>
    <r>
      <rPr>
        <sz val="11"/>
        <rFont val="Calibri"/>
        <family val="2"/>
        <scheme val="minor"/>
      </rPr>
      <t>district,</t>
    </r>
    <r>
      <rPr>
        <sz val="11"/>
        <color theme="1"/>
        <rFont val="Calibri"/>
        <family val="2"/>
        <scheme val="minor"/>
      </rPr>
      <t xml:space="preserve"> covering reception to year 6 for primary and year 7 to year 11 for secondary.
2. Data for each district have been aggregated to local authority level.</t>
    </r>
  </si>
  <si>
    <t>Local authority data provided through the School Capacity (SCAP) Collection  2015</t>
  </si>
  <si>
    <t xml:space="preserve">1. This is the LA’s forecast of pupil numbers for the academic year 2017/18 as provided in the School Capacity Collection in May 2015.                                                                                                                                                                                                                                                                                                                                                            2. These forecasts cover pupils that LAs anticipate will attend primary schools (or primary provision in middle or all-through schools i.e. reception through to year 6) and secondary schools (or secondary provision in middle or all-through schools i.e. year 7 through year 11)
3. These forecasts focus on LAs’ expectations about new school places and do not include pupils who are expected to attend independent schools, or where the LA expects developers to fund new provision (through section 106 or the Community Infrastructure Levy). A small number of LAs expect significant numbers of places to be funded in this way and so will have higher increase in pupil numbers than is shown.
4. Information about places to be funded by developer contributions was  collected for the first time in 2013, and is published as part of the School Capacity Collection data. </t>
  </si>
  <si>
    <r>
      <rPr>
        <b/>
        <sz val="11"/>
        <color theme="1"/>
        <rFont val="Calibri"/>
        <family val="2"/>
        <scheme val="minor"/>
      </rPr>
      <t>Quantity:</t>
    </r>
    <r>
      <rPr>
        <sz val="11"/>
        <color theme="1"/>
        <rFont val="Calibri"/>
        <family val="2"/>
        <scheme val="minor"/>
      </rPr>
      <t xml:space="preserve">
Places created since 2009/10, places planned to 2017/18 and pupil number forecast accuracy.</t>
    </r>
  </si>
  <si>
    <t>1. Capacity at May 2010</t>
  </si>
  <si>
    <t>Local authority data provided through School Capacity Collection 2010</t>
  </si>
  <si>
    <t>2.Capacity at May 2015</t>
  </si>
  <si>
    <t>Local authority data provided through the School Capacity Collection 2015</t>
  </si>
  <si>
    <t>Local authority data provided through the School Capacity Collection 2015 (Capital Spend - Future Capacity data strand), published in summary tables.</t>
  </si>
  <si>
    <t xml:space="preserve">1. Local authority data about planned additional places in each of the academic years 2015/16, 2016/17 and 2017/18 is aggregated to local authority level.
2. The data were provided by local authorities in Summer 2015, and include only projects that LAs were certain would proceed. LAs were asked to include the total capacity of any new provision. 
3. LAs were asked to include places that would be funded through the Targeted Basic Need Programme.
4. LAs were asked not to include places created through free schools unless they were providing the funding for additional places themselves. 
5. Note that this data collection is still relatively new, and consistency of reporting between LAs cannot be guaranteed. </t>
  </si>
  <si>
    <t>2. Capacity changes through the CIF and PSBP programmes.</t>
  </si>
  <si>
    <t>DfE centrally held information.</t>
  </si>
  <si>
    <t>1. Changes to school capacity as a consequence of works delivered through the CIF and PSBP programmes between 2015/16 and 2017/18 inclusive, aggregated to local authority level.</t>
  </si>
  <si>
    <t>3. Places from free schools opened in September 2015.</t>
  </si>
  <si>
    <t>Published in summary tables.</t>
  </si>
  <si>
    <t>The estimated number of additional places needed to meet demand in 2017/18;</t>
  </si>
  <si>
    <t>This estimate is created by comparing the number of places needed in each planning area to the number of planned places as described above.</t>
  </si>
  <si>
    <t>The one year ahead local authority forecast accuracy (compares forecasts of numbers on roll for 2014/15 made one year previously);</t>
  </si>
  <si>
    <t xml:space="preserve">1. Forecasts of 2014/15 pupil numbers on roll made in academic year 2013/14.
</t>
  </si>
  <si>
    <t>2. Actual numbers on roll in 2014/15.</t>
  </si>
  <si>
    <t>The three year ahead forecast accuracy (compares forecasts of numbers on roll for 2014/15 made three years previously).</t>
  </si>
  <si>
    <t xml:space="preserve">1. Forecasts of 2014/15 pupil numbers on roll made in academic year 2011/12.
</t>
  </si>
  <si>
    <t>This measure shows the proportion of applicants who received an offer of a place in one of their top three preferences</t>
  </si>
  <si>
    <t>1. The proportion of applicants who received an offer of a place in one of their top three preferences for entry in September 2015 in the selected local authority and in England.
2. Graphic represents the proportions of applicants who received an offer of a place in their first, second and third preferences.</t>
  </si>
  <si>
    <r>
      <rPr>
        <b/>
        <sz val="11"/>
        <color theme="1"/>
        <rFont val="Calibri"/>
        <family val="2"/>
        <scheme val="minor"/>
      </rPr>
      <t>Quality:</t>
    </r>
    <r>
      <rPr>
        <sz val="11"/>
        <color theme="1"/>
        <rFont val="Calibri"/>
        <family val="2"/>
        <scheme val="minor"/>
      </rPr>
      <t xml:space="preserve"> 
Quality of new places created between 2013/14 and 2014/15</t>
    </r>
  </si>
  <si>
    <t>This measure shows the number of new places created between 2013/14 and 2014/15;</t>
  </si>
  <si>
    <t>Capacity of each school in May 2014</t>
  </si>
  <si>
    <t>Local authority data, provided through School Capacity collection 2014</t>
  </si>
  <si>
    <t>Capacity for each school in May 2015</t>
  </si>
  <si>
    <t>Local authority data, provided through School Capacity collection 2015</t>
  </si>
  <si>
    <t>The quality of places created between 2013/14 and 2014/15, and the quality of existing places:</t>
  </si>
  <si>
    <t>Ofsted judgements</t>
  </si>
  <si>
    <t>Ofsted online</t>
  </si>
  <si>
    <t>1. Each school has been matched with the Ofsted judgement of 'Overall effectiveness: how good is the school." as at August 2015.
2. There are four Ofsted categories: 'Outstanding', 'Good', 'Requires improvement' and 'Inadequate'.
3. The calculation counts the number of new places  that have been created in schools of each Ofsted category.
4. Note that many schools will have been inspected some time before August 2015, and some will have been inspected since this date.</t>
  </si>
  <si>
    <t>All 30 of the places created identified with schools  judged as 'Good' by Ofsted.</t>
  </si>
  <si>
    <t>Key stage 2 or 4 value added measure</t>
  </si>
  <si>
    <t>Performance tables</t>
  </si>
  <si>
    <t xml:space="preserve">1. Each school has been matched with the key stage 2 and/or 4 value added measure, as at August 2015.
2. This measure judges schools’ performance as average, above average, or below average.
3. The calculation counts the number of new places that have been created in schools of each category.
4. Note that infant and first schools will not have a key stage 2 measure, and that new schools may not have a key stage 2 measure until the first cohort of pupils reaches year 6. Similarly, some secondary schools will not have a key stage 4 measure.
5. Note that this value added measure is not a strict measure of the effectiveness of the entire school as a school may add value before pupils take the key stage 1 or key stage 3 tests. 
6. For further information on the key stage 1 to 2 and key stage 3 to 4 value added measure please use the following url: http://www.education.gov.uk/schools/performance/download_data.html
</t>
  </si>
  <si>
    <t>All 30 places identified with school rated average in the KS2 value added scoring system.</t>
  </si>
  <si>
    <t>Banner indicator (Ofsted):
Proportion of new places which are in good and outstanding schools</t>
  </si>
  <si>
    <t>1. Number of new places created
2. Quality of places created as judged by Ofsted</t>
  </si>
  <si>
    <t>1. Of all the new places created in the local authority in schools with Ofsted ratings, the percentage of them which are categorised as 'good' or 'outstanding' by Ofsted.</t>
  </si>
  <si>
    <t>Banner ranking (Ofsted)</t>
  </si>
  <si>
    <t>1. Ranking of proportions of new places created in good or outstanding schools for each LA, amongst all LAs. LAs with the same proportion are given an equal ranking. Ranking is only applied to LAs where new places have been created.</t>
  </si>
  <si>
    <t xml:space="preserve">Banner indicator (key stage 2 or 4):
Percentage of new places created in above-average schools in local authority </t>
  </si>
  <si>
    <t>1. Number of new places created
2. Quality of places created by key stage 2 value added scores</t>
  </si>
  <si>
    <t>1. Of all the new places created in the local authority in schools with valid key stage 2 or 4 value added scores, the percentage of them which are categorised as above the national average by a statistically significant margin.</t>
  </si>
  <si>
    <t>Banner ranking (key stage 2 or 4)</t>
  </si>
  <si>
    <t>1. Ranking of proportions of new places created in above average schools for each LA, amongst all LAs. LAs with the same proportion are given an equal ranking. Ranking is only applied to LAs where new places have been created.</t>
  </si>
  <si>
    <t>Graphical representation</t>
  </si>
  <si>
    <t>Number of new places  in the local authority, by quality rating</t>
  </si>
  <si>
    <t>1. The quality rating of the places created is either the Ofsted judgment or the key stage 2 or 4 value added score category.
2. The quality of new places amongst the relevant quality categories for the selected authority is presented.
3. The quality rating of the places present in the school capacity collection 2015 that were also present in the school capacity collection 2014 is presented as the existing places.</t>
  </si>
  <si>
    <t>Places created: 30 (Ofsted 'Good' schools); 30 (KS2 VA Average schools).</t>
  </si>
  <si>
    <t>Number of existing places places in the local authority, by quality rating</t>
  </si>
  <si>
    <t>Existing places Ofsted: 1,406 'outstanding'; 17,089 'good'; 6,099 'requires improvement'; 0 'inadequate'
Existing places KS2 Value Added: 7,921 'above average'; 11,118 'average'; 3,982 'below average'</t>
  </si>
  <si>
    <t xml:space="preserve">Number of new places created in England, by quality rating
</t>
  </si>
  <si>
    <t>1. The quality rating of new places created in all local authorities aggregated to the national (England) level.
2. The quality ratings of existing places in all local authorities aggregated to the national (England) level.</t>
  </si>
  <si>
    <t>New places Ofsted: 18,682 'outstanding'; 69,067 'good'; 13,967 'requires improvement'; 1,253 'inadequate'
New places KS2 Value Added: 23,827 'above average'; 47,624 'average'; 17,332 'below average'
Existing places Ofsted: 771,320 'outstanding'; 2,894,673 'good'; 685,916 'requires improvement'; 69,158 'inadequate'
Existing places KS2 Value Added: 947,383 'above average'; 2,189,987 'average'; 866,467 'below average'</t>
  </si>
  <si>
    <t>Number of existing places  in England, by quality rating</t>
  </si>
  <si>
    <t>Places with no rating</t>
  </si>
  <si>
    <t>1. For the Ofsted measure, those schools that have yet to be inspected do not have an Ofsted judgment.
2. Where a school has amalgamated between 01/05/2014 and 01/05/2015 and has not been inspected since 01/05/2015 its capacity, both new places and existing places are treated as having no rating.
2. For the key stage 2 value added measure, schools do not have key stage 2 results if:
● pupils do not take key stage 2 exams at the school (or did not do so this year);
● there is a low sample size of pupils in Year 6.</t>
  </si>
  <si>
    <t>No places without ratings</t>
  </si>
  <si>
    <r>
      <rPr>
        <b/>
        <sz val="11"/>
        <color theme="1"/>
        <rFont val="Calibri"/>
        <family val="2"/>
        <scheme val="minor"/>
      </rPr>
      <t>Cost:</t>
    </r>
    <r>
      <rPr>
        <sz val="11"/>
        <color theme="1"/>
        <rFont val="Calibri"/>
        <family val="2"/>
        <scheme val="minor"/>
      </rPr>
      <t xml:space="preserve">
Average cost per additional mainstream place from LA reported projects (2009/10-2014/15)</t>
    </r>
  </si>
  <si>
    <t>This measure shows the average cost per place delivered by the selected LA through permanent expansion projects;</t>
  </si>
  <si>
    <t>The average cost per place delivered by the selected LA through temporary expansion projects;</t>
  </si>
  <si>
    <t>No temporary expansion projects reported.</t>
  </si>
  <si>
    <t>The average cost per place delivered by the selected LA through new school projects;</t>
  </si>
  <si>
    <t>No new school projects reported.</t>
  </si>
  <si>
    <t>Quintiles (vertical squares)</t>
  </si>
  <si>
    <t>Cost per place in permanent expansions of £10,290 in the middle fifth of the data.</t>
  </si>
  <si>
    <t>Side bars
For LA
Statistical Neighbours
Regional Neigbours</t>
  </si>
  <si>
    <t>1. Statistical neighbours for each LA are identified in the 'Stats Neighbours Sheet.</t>
  </si>
  <si>
    <t>Cost per place in permanent expansions of £10,290 at the top of the middle fifth of the data.
Median cost per place in permanent expansions of statistical neighbours of £9,276 in the middle of the middle fifth of the data.
Median cost per place in permanent expansions of LAs in the same region of £13,828 close to the threshold of the most expensive fifth.</t>
  </si>
  <si>
    <t>Banner ranking</t>
  </si>
  <si>
    <t>Ranking amongst all LAs of average cost per place of permanent expansions.</t>
  </si>
  <si>
    <t>1. Ranking of average cost per place in permanet expansions. Local authorities without projects which meet the above stated conditions in this category are not ranked. Where LAs have the same average cost per place they are given the same ranking.</t>
  </si>
  <si>
    <t>Cost per place in permanent expansions of £10,290 ranks 88th of the 147 LAs for which there are data.</t>
  </si>
  <si>
    <t>Addition of the Technical Note. Scorecard password protected. Non-user sheets hidden.</t>
  </si>
  <si>
    <t>Preference (4)</t>
  </si>
  <si>
    <t>(4)</t>
  </si>
  <si>
    <t>Preference data for the Isles Of Scilly are not applicable</t>
  </si>
  <si>
    <r>
      <t xml:space="preserve">17,772 primary school pupils in in 2009/10
26,552 primary school pupils forecast in 2017/18
Calculation:
(26,552-17,772)/17,772 = </t>
    </r>
    <r>
      <rPr>
        <b/>
        <sz val="11"/>
        <color theme="1"/>
        <rFont val="Calibri"/>
        <family val="2"/>
        <scheme val="minor"/>
      </rPr>
      <t>49%</t>
    </r>
    <r>
      <rPr>
        <sz val="11"/>
        <color theme="1"/>
        <rFont val="Calibri"/>
        <family val="2"/>
        <scheme val="minor"/>
      </rPr>
      <t xml:space="preserve">
</t>
    </r>
  </si>
  <si>
    <r>
      <t xml:space="preserve">Capacity at May 2010: 18,107
Capacity at May 2015: 26,191
Calculation:
26,191-18,107 = </t>
    </r>
    <r>
      <rPr>
        <b/>
        <sz val="11"/>
        <color theme="1"/>
        <rFont val="Calibri"/>
        <family val="2"/>
        <scheme val="minor"/>
      </rPr>
      <t>8,084</t>
    </r>
  </si>
  <si>
    <r>
      <t xml:space="preserve">Total places planned = </t>
    </r>
    <r>
      <rPr>
        <b/>
        <sz val="11"/>
        <color theme="1"/>
        <rFont val="Calibri"/>
        <family val="2"/>
        <scheme val="minor"/>
      </rPr>
      <t>4,017</t>
    </r>
  </si>
  <si>
    <r>
      <t xml:space="preserve">Shortfall of </t>
    </r>
    <r>
      <rPr>
        <b/>
        <sz val="11"/>
        <color theme="1"/>
        <rFont val="Calibri"/>
        <family val="2"/>
        <scheme val="minor"/>
      </rPr>
      <t>210</t>
    </r>
    <r>
      <rPr>
        <sz val="11"/>
        <color theme="1"/>
        <rFont val="Calibri"/>
        <family val="2"/>
        <scheme val="minor"/>
      </rPr>
      <t xml:space="preserve"> places by 2017/18</t>
    </r>
  </si>
  <si>
    <r>
      <t xml:space="preserve">2014/15 actual pupil numbers on roll: 23,564
SCAP14 forecast of 2014/15 numbers: 24,264
Calculation:
(24,264 - 23,564)/23,564 = </t>
    </r>
    <r>
      <rPr>
        <b/>
        <sz val="11"/>
        <color theme="1"/>
        <rFont val="Calibri"/>
        <family val="2"/>
        <scheme val="minor"/>
      </rPr>
      <t>3.0%</t>
    </r>
    <r>
      <rPr>
        <sz val="11"/>
        <color theme="1"/>
        <rFont val="Calibri"/>
        <family val="2"/>
        <scheme val="minor"/>
      </rPr>
      <t xml:space="preserve">
</t>
    </r>
  </si>
  <si>
    <r>
      <t xml:space="preserve">2014/15 actual pupil numbers on roll: 23,564
SCAP12 forecast of 2014/15 numbers: 24,459
Calculation:
(24,459 - 23,564)/23,564 = </t>
    </r>
    <r>
      <rPr>
        <b/>
        <sz val="11"/>
        <color theme="1"/>
        <rFont val="Calibri"/>
        <family val="2"/>
        <scheme val="minor"/>
      </rPr>
      <t>3.8%</t>
    </r>
  </si>
  <si>
    <r>
      <t xml:space="preserve">Proprotion of applicants receiving an offer of a place in their first preference: 90.7%
Proportion of applicants receiving an offer of a places in their second preference: 4.8%
Proportion of applicants receiving an offer of a place in their third preference: 2.1%
Proportion of applicants recieving an offer in one of their top three preferences: </t>
    </r>
    <r>
      <rPr>
        <b/>
        <sz val="11"/>
        <color theme="1"/>
        <rFont val="Calibri"/>
        <family val="2"/>
        <scheme val="minor"/>
      </rPr>
      <t>97.6%</t>
    </r>
  </si>
  <si>
    <r>
      <rPr>
        <b/>
        <sz val="11"/>
        <color theme="1"/>
        <rFont val="Calibri"/>
        <family val="2"/>
        <scheme val="minor"/>
      </rPr>
      <t>30</t>
    </r>
    <r>
      <rPr>
        <sz val="11"/>
        <color theme="1"/>
        <rFont val="Calibri"/>
        <family val="2"/>
        <scheme val="minor"/>
      </rPr>
      <t xml:space="preserve"> places created in qualifying schools between 2013/14 and 2014/15.</t>
    </r>
  </si>
  <si>
    <r>
      <t xml:space="preserve">Places created in good schools: 30
Total number of new places created: 30
Calculation:
30/30 = </t>
    </r>
    <r>
      <rPr>
        <b/>
        <sz val="11"/>
        <color theme="1"/>
        <rFont val="Calibri"/>
        <family val="2"/>
        <scheme val="minor"/>
      </rPr>
      <t>100%</t>
    </r>
  </si>
  <si>
    <r>
      <t xml:space="preserve">100% is the maximum possible value. Barking and Dagenham are therefore ranked equal first among the LAs for which there are data. 
Ranking: </t>
    </r>
    <r>
      <rPr>
        <b/>
        <sz val="11"/>
        <color theme="1"/>
        <rFont val="Calibri"/>
        <family val="2"/>
        <scheme val="minor"/>
      </rPr>
      <t>=1/141</t>
    </r>
  </si>
  <si>
    <r>
      <t xml:space="preserve">Places created in above average value added schools: 0
Total number of places created: 30
Calculation:
0/30 = </t>
    </r>
    <r>
      <rPr>
        <b/>
        <sz val="11"/>
        <color theme="1"/>
        <rFont val="Calibri"/>
        <family val="2"/>
        <scheme val="minor"/>
      </rPr>
      <t>0%</t>
    </r>
  </si>
  <si>
    <r>
      <t xml:space="preserve">0% in the minimum possible value. Barking and Dagenham are therefore ranked equal 100th among the LAs for which there are data.
Ranking: </t>
    </r>
    <r>
      <rPr>
        <b/>
        <sz val="11"/>
        <color theme="1"/>
        <rFont val="Calibri"/>
        <family val="2"/>
        <scheme val="minor"/>
      </rPr>
      <t>=100/139</t>
    </r>
    <r>
      <rPr>
        <sz val="11"/>
        <color theme="1"/>
        <rFont val="Calibri"/>
        <family val="2"/>
        <scheme val="minor"/>
      </rPr>
      <t xml:space="preserve">
Note: there are 40 LAs with 0% of new places created in above average schools.</t>
    </r>
  </si>
  <si>
    <r>
      <t xml:space="preserve">Total spend on permanent expansions: £54,968,965
Places created through permanent expansion projects: 5,342
Calculation:
£54,968,965/5,342 = </t>
    </r>
    <r>
      <rPr>
        <b/>
        <sz val="11"/>
        <color theme="1"/>
        <rFont val="Calibri"/>
        <family val="2"/>
        <scheme val="minor"/>
      </rPr>
      <t>£10,290</t>
    </r>
    <r>
      <rPr>
        <sz val="11"/>
        <color theme="1"/>
        <rFont val="Calibri"/>
        <family val="2"/>
        <scheme val="minor"/>
      </rPr>
      <t xml:space="preserve">
(from 26 projects)
</t>
    </r>
  </si>
  <si>
    <t>Figures for City of London and Isles Of Scilly not presented in the Scorecard due to their small relative size
Negative percentages denote an underforecast
Positive percentages denote an overforecast</t>
  </si>
  <si>
    <t>This is the total amount of basic need capital funding allocated to each local authority for the financial years 2011-12 to 2018-19. This covers places needed at both primary and secondary phases.</t>
  </si>
  <si>
    <t xml:space="preserve">1. This refers to the amount of basic need capital funding that the Department for Education has allocated to each local authority for the financial years 2011-12 to 2018-19.
2. The figure includes formula-based funding allocations and funding provided through the Targeted Basic Need Programme.
3.  Basic Need funding is not ring-fenced, but Targeted Basic Need funding must be spent by agreed deadlines and on specific projects.
4. The figure only includes funding allocated to local authorities, and so does not include centrally funded capital programmes such as free schools. </t>
  </si>
  <si>
    <t>This is the anticipated percentage increase in pupil numbers in primary or secondary provision between the 2009/10 and 2017/18 academic years.</t>
  </si>
  <si>
    <t xml:space="preserve">1. Pupil Numbersfor the 2009/10 academic year taken as at the pupil census in May 2010
</t>
  </si>
  <si>
    <t>2. Forecast pupil numbers for the 2017/18 academic year</t>
  </si>
  <si>
    <t>This measure shows the total places created between 2009/10 and 2014/15 for each primary and secondary;</t>
  </si>
  <si>
    <t>1. The number of places that have been created since May 2010 in each local authority is taken as the difference between capacity as perorted by LAs at May 2010 and capacity at May 2015.
2. The measure includes all capacity in years R-6 for primary and 7-13 for secondary – including academies and free schools, and primary/secondary-phase places in middle schools and all-through schools.
3. The measure reports net increase in places, so if primary capacity in a local authority has reduced between May 2010 and May 2015, this is recorded as zero places created. This approach means that LA-level figures cannot be aggregated to estimate the overall increase in places at national level.</t>
  </si>
  <si>
    <t>The total number of new places planned  for delivery 2015/16 to 2017/18;
The number of places planned for delivery contains three elements: 
● local authority firm plans including targeted basic need places,
● capacity changes through the CIF and PSBP programs, and
● places from free schools opened in september 2015
;</t>
  </si>
  <si>
    <t>1. Local authority plans for places to be created between September 2015 and August 2018 inclusive.</t>
  </si>
  <si>
    <t xml:space="preserve">1. The calculation mirrors the approach taken for basic need funding allocations in March 2016. It includes mainstream primary and secondary free schools which opened in September 2015, and counts the total number of places which will be in use by September 2017.
2. The data do not include free schools which opened before September 2015, as they will be included in the School Capacity collection 2015, and do not include free schools which are planned to open in academic years 2016/17 and beyond. </t>
  </si>
  <si>
    <t>4. Total number of planned places (sum of 1, 2 and 3 above) September 2015-August 2018</t>
  </si>
  <si>
    <t xml:space="preserve">1. This gives a picture of the total number of additional places planned, but does not include any LA planned reductions.
2. Note that most LAs will have developed further their plans since these data were reported in Summer 2015, and so although it allows for comparisons between local authorities, the figure is likely to be an understatement of the current position. </t>
  </si>
  <si>
    <t>1. DfE data analysis is similar to the model used for basic need allocations, adjusted so that no allowance is made for any surplus or operating margin and that the reference year is 2017/18. 
2. LA capacity in 2014/15 is reported in the School Capacity collection 2015 (adjusted to include only the capacity of 2013  and 2014 opening Free Schools available by 2017/18).
3.That capacity figure is split by year group according to the distribution of places indicated in the Published Admission Number data, and a shortfall calculated by comparing capacity with forecasts.  A residual shortfall is calculated by factoring in places that the LA plans to add between September 2015 and September 2017 (including TBN places).  The calculation can be summarised as: 
              shortfall  = forecast - capacity
              residual shortfall = shortfall - additional LA places.
4. Any year group within each planning area with surplus capacity is assumed to have zero shortfall.
5. Shortfalls are aggregated at planning area level and then to LA level.
6. Figures are rounded to the nearest 10.</t>
  </si>
  <si>
    <t xml:space="preserve">1. Forecasts, submitted as part of the school capacity collection 2014 of 2014/15 numbers on roll are made for each year group at the planning area level and aggregated to the LA level.
2. Actual numbers on roll for 2014/15 are taken from the school census.
3. Forecast accuracy is calculated by  subtracting the years R-6 actual numbers from the years R-6 forecasts to give the absolute inaccuracy. Absolute inaccuracy is then divided by the R-6 actual number to give the relative percentage inaccuracy. The same is done for secondary but using years 7-11. </t>
  </si>
  <si>
    <t xml:space="preserve">1. Forecasts, submitted as part of the school capacity collection 2012 of 2014/15 numbers on roll are made for each year group at the planning area level and aggregated to the LA level.
2. Actual numbers on roll for 2014/15 are taken from the school census.
3. Forecast accuracy is calculated by  subtracting the years R-6 actual numbers from the years R-6 forecasts to give the absolute inaccuracy. Absolute inaccuracy is then divided by the R-6 actual number to give the relative percentage inaccuracy. The same is done for secondary but using years 7-11. </t>
  </si>
  <si>
    <t>1. The following school types have been excluded:
- Free Schools;
- independent schools which have become academies and have not had an inspection since opening;
- sponsored academies, identified using Edubase, which have not had an OfSTED inspection since opening as an academy.
- schools that have amalgamated between 01/05/2014 and 01/05/2015 and have not been inspected since amalgamation.
2. We then identify the schools that are present in 2015 and 2014.
3. New places are calculated when a school's capacity submission has been updated from the previous year. New places are the difference in capacity between 2014 and 2015 at each school. For mergers and academy conversions where 2014 capacity is not available, the capacities of the ‘parent’ schools in 2014 have been used.
4. Existing places are the balance of the places present in 2015 after subtracting the 2014 capacity.
5. Places at schools which operate in both education phases have been assigned to years primary or secondary as notified in school capacity data in 2014, or 2015. 
6. We count an expansion to be an increase of 15 places or more. Schools where fewer than 15 places are created have all of their capacity counted as existing places.
7. New places in schools which had not had an Ofsted judgment or key stage 2/4 result by August 2015 have been excluded from the relevant version of the measure. These places are included in the figure beneath the chart.
8. This approach means that the number of places added for use in the quality measure may not be the same as the number of places added in the quantity measure.</t>
  </si>
  <si>
    <t>1. Capital spend data submitted by local authorities.
2. Projects which do not create additional mainstream places or where the project's funding is zero are removed.
3. Projects were identified as primary phase or secondary phase based on their start year and end year. Where a project created places across the primary and secondary phases, the project was assigned a phase corresponding to the phase of the school it affected (i.e. if its school was middle - deemed primary - the project was assigned to primary).
4.The average cost does not include costs associated with maintenance or building condition and enhancement works.
5. The measure does not include places in special schools or units attached to mainstream schools, or new places which were funded through central programmes (including free schools).</t>
  </si>
  <si>
    <t>1. Each square represents one fifth of local authorities that created new places in this type of provision. 
2. The blue square shows how the local authority’s average cost compares to the average cost of other local authorities, from least to most  expensive. 
3. The quoted financial figure states the average cost for this local authority for each type of build, calculated as a mean (as set out above).
4. The number of projects on which the calculated average cost per place is based is given at the base of the graphic.</t>
  </si>
  <si>
    <t>1. The side bars represent local authorities' average cost per place, the median of the average cost per place values of LAs with similar socio-economic characteristics (statistical neighbours), and the median of the average cost per place values of the LAs in the same geographical region.
2. Each bar indicates the position of its value within the quintile in which it falls. For example a blue bar in the middle of the middle quintile tells you that the LAs cost per place was at the middle of the range of cost per place values; a orange bar in the middle of the 5th quintile (top square) tells you that the median of LAs in the same region was at the mid point of the top 20% of most expensive LAs.</t>
  </si>
  <si>
    <t>Basic Need residual shortfall analysis</t>
  </si>
  <si>
    <t>Statistical Neighbour 1</t>
  </si>
  <si>
    <t>Statistical Neighbour 2</t>
  </si>
  <si>
    <t>Statistical Neighbour 3</t>
  </si>
  <si>
    <t>Statistical Neighbour 4</t>
  </si>
  <si>
    <t>Statistical Neighbour 5</t>
  </si>
  <si>
    <t>Statistical Neighbour 6</t>
  </si>
  <si>
    <t>Statistical Neighbour 7</t>
  </si>
  <si>
    <t>Statistical Neighbour 8</t>
  </si>
  <si>
    <t>Statistical Neighbour 9</t>
  </si>
  <si>
    <t>Statistical Neighbour 10</t>
  </si>
  <si>
    <t>St. Helens</t>
  </si>
  <si>
    <t>Kingston Upon Hull, City of</t>
  </si>
  <si>
    <t>Bristol, City of</t>
  </si>
  <si>
    <t>Isles of Scilly</t>
  </si>
  <si>
    <t>Local authority data provided through Capital Spend return 
See Scorecard underlying data</t>
  </si>
  <si>
    <t>Median of region</t>
  </si>
  <si>
    <t>Cost per place in LA</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</si>
</sst>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64" formatCode="&quot;£&quot;#,###"/>
    <numFmt numFmtId="165" formatCode="0.0"/>
    <numFmt numFmtId="166" formatCode="0.0%"/>
    <numFmt numFmtId="167" formatCode="&quot;£&quot;#,##0"/>
  </numFmts>
  <fonts count="49" x14ac:knownFonts="1">
    <font>
      <sz val="11"/>
      <color theme="1"/>
      <name val="Calibri"/>
      <family val="2"/>
      <scheme val="minor"/>
    </font>
    <font>
      <sz val="12"/>
      <color theme="1"/>
      <name val="Arial"/>
      <family val="2"/>
    </font>
    <font>
      <i/>
      <sz val="11"/>
      <color rgb="FF3378CE"/>
      <name val="Calibri"/>
      <family val="2"/>
      <scheme val="minor"/>
    </font>
    <font>
      <i/>
      <sz val="18"/>
      <color theme="0"/>
      <name val="Calibri"/>
      <family val="2"/>
      <scheme val="minor"/>
    </font>
    <font>
      <sz val="11"/>
      <color theme="1"/>
      <name val="Calibri"/>
      <family val="2"/>
      <scheme val="minor"/>
    </font>
    <font>
      <i/>
      <sz val="10"/>
      <color rgb="FF3378CE"/>
      <name val="Century Gothic"/>
      <family val="2"/>
    </font>
    <font>
      <sz val="11"/>
      <color theme="0"/>
      <name val="Century Gothic"/>
      <family val="2"/>
    </font>
    <font>
      <b/>
      <sz val="26"/>
      <color theme="1"/>
      <name val="Century Gothic"/>
      <family val="2"/>
    </font>
    <font>
      <sz val="11"/>
      <color rgb="FF3378CE"/>
      <name val="Calibri"/>
      <family val="2"/>
      <scheme val="minor"/>
    </font>
    <font>
      <b/>
      <sz val="28"/>
      <color theme="1"/>
      <name val="Century Gothic"/>
      <family val="2"/>
    </font>
    <font>
      <sz val="9"/>
      <color rgb="FF3378CE"/>
      <name val="Century Gothic"/>
      <family val="2"/>
    </font>
    <font>
      <sz val="11.5"/>
      <color theme="0"/>
      <name val="Century Gothic"/>
      <family val="2"/>
    </font>
    <font>
      <b/>
      <sz val="8"/>
      <color theme="1"/>
      <name val="Century Gothic"/>
      <family val="2"/>
    </font>
    <font>
      <sz val="11"/>
      <color rgb="FF3378CE"/>
      <name val="Century Gothic"/>
      <family val="2"/>
    </font>
    <font>
      <sz val="8"/>
      <color rgb="FF3378CE"/>
      <name val="Century Gothic"/>
      <family val="2"/>
    </font>
    <font>
      <b/>
      <sz val="11"/>
      <name val="Century Gothic"/>
      <family val="2"/>
    </font>
    <font>
      <b/>
      <sz val="11"/>
      <color theme="1"/>
      <name val="Calibri"/>
      <family val="2"/>
      <scheme val="minor"/>
    </font>
    <font>
      <b/>
      <i/>
      <sz val="12"/>
      <color theme="0"/>
      <name val="Century Gothic"/>
      <family val="2"/>
    </font>
    <font>
      <sz val="8"/>
      <color theme="0"/>
      <name val="Century Gothic"/>
      <family val="2"/>
    </font>
    <font>
      <b/>
      <sz val="16"/>
      <color theme="0"/>
      <name val="Calibri"/>
      <family val="2"/>
      <scheme val="minor"/>
    </font>
    <font>
      <b/>
      <sz val="11"/>
      <color rgb="FF3378CE"/>
      <name val="Century Gothic"/>
      <family val="2"/>
    </font>
    <font>
      <sz val="10"/>
      <color rgb="FF3378CE"/>
      <name val="Century Gothic"/>
      <family val="2"/>
    </font>
    <font>
      <sz val="48"/>
      <color rgb="FF3378CE"/>
      <name val="Century Gothic"/>
      <family val="2"/>
    </font>
    <font>
      <b/>
      <sz val="10"/>
      <color rgb="FF3378CE"/>
      <name val="Century Gothic"/>
      <family val="2"/>
    </font>
    <font>
      <b/>
      <sz val="28"/>
      <name val="Century Gothic"/>
      <family val="2"/>
    </font>
    <font>
      <b/>
      <sz val="16"/>
      <name val="Century Gothic"/>
      <family val="2"/>
    </font>
    <font>
      <sz val="7"/>
      <name val="Century Gothic"/>
      <family val="2"/>
    </font>
    <font>
      <b/>
      <sz val="16"/>
      <color rgb="FF3378CE"/>
      <name val="Century Gothic"/>
      <family val="2"/>
    </font>
    <font>
      <b/>
      <sz val="11"/>
      <color theme="0"/>
      <name val="Calibri"/>
      <family val="2"/>
      <scheme val="minor"/>
    </font>
    <font>
      <b/>
      <sz val="12"/>
      <color theme="0"/>
      <name val="Calibri"/>
      <family val="2"/>
      <scheme val="minor"/>
    </font>
    <font>
      <b/>
      <sz val="10"/>
      <color rgb="FF104F75"/>
      <name val="Calibri"/>
      <family val="2"/>
      <scheme val="minor"/>
    </font>
    <font>
      <b/>
      <sz val="8"/>
      <color theme="0"/>
      <name val="Calibri"/>
      <family val="2"/>
      <scheme val="minor"/>
    </font>
    <font>
      <sz val="9"/>
      <color rgb="FF104F75"/>
      <name val="Calibri"/>
      <family val="2"/>
      <scheme val="minor"/>
    </font>
    <font>
      <sz val="8"/>
      <color rgb="FF104F75"/>
      <name val="Calibri"/>
      <family val="2"/>
      <scheme val="minor"/>
    </font>
    <font>
      <b/>
      <sz val="14"/>
      <name val="Calibri"/>
      <family val="2"/>
      <scheme val="minor"/>
    </font>
    <font>
      <sz val="11"/>
      <color theme="1"/>
      <name val="Calibri"/>
      <family val="2"/>
    </font>
    <font>
      <b/>
      <sz val="8"/>
      <color rgb="FF8A2529"/>
      <name val="Century Gothic"/>
      <family val="2"/>
    </font>
    <font>
      <sz val="10"/>
      <color rgb="FF104F75"/>
      <name val="Calibri"/>
      <family val="2"/>
      <scheme val="minor"/>
    </font>
    <font>
      <sz val="11"/>
      <color theme="1"/>
      <name val="Webdings"/>
      <family val="1"/>
      <charset val="2"/>
    </font>
    <font>
      <b/>
      <sz val="11"/>
      <color theme="1"/>
      <name val="Webdings"/>
      <family val="1"/>
      <charset val="2"/>
    </font>
    <font>
      <b/>
      <u/>
      <sz val="14"/>
      <color theme="1"/>
      <name val="Calibri"/>
      <family val="2"/>
      <scheme val="minor"/>
    </font>
    <font>
      <vertAlign val="superscript"/>
      <sz val="11"/>
      <color theme="1"/>
      <name val="Calibri"/>
      <family val="2"/>
      <scheme val="minor"/>
    </font>
    <font>
      <sz val="10"/>
      <color theme="0"/>
      <name val="Calibri"/>
      <family val="2"/>
      <scheme val="minor"/>
    </font>
    <font>
      <b/>
      <sz val="12"/>
      <color theme="1"/>
      <name val="Calibri"/>
      <family val="2"/>
      <scheme val="minor"/>
    </font>
    <font>
      <sz val="11"/>
      <color theme="0"/>
      <name val="Calibri"/>
      <family val="2"/>
      <scheme val="minor"/>
    </font>
    <font>
      <sz val="14"/>
      <color theme="0"/>
      <name val="Calibri"/>
      <family val="2"/>
      <scheme val="minor"/>
    </font>
    <font>
      <sz val="11"/>
      <name val="Calibri"/>
      <family val="2"/>
      <scheme val="minor"/>
    </font>
    <font>
      <u/>
      <sz val="11"/>
      <color theme="10"/>
      <name val="Calibri"/>
      <family val="2"/>
      <scheme val="minor"/>
    </font>
    <font>
      <sz val="12"/>
      <color theme="0"/>
      <name val="Arial"/>
      <family val="2"/>
    </font>
  </fonts>
  <fills count="10">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104F75"/>
        <bgColor indexed="64"/>
      </patternFill>
    </fill>
    <fill>
      <patternFill patternType="solid">
        <fgColor theme="2" tint="-9.9978637043366805E-2"/>
        <bgColor indexed="64"/>
      </patternFill>
    </fill>
    <fill>
      <patternFill patternType="solid">
        <fgColor theme="2" tint="-0.249977111117893"/>
        <bgColor indexed="64"/>
      </patternFill>
    </fill>
  </fills>
  <borders count="45">
    <border>
      <left/>
      <right/>
      <top/>
      <bottom/>
      <diagonal/>
    </border>
    <border>
      <left style="thin">
        <color auto="1"/>
      </left>
      <right/>
      <top/>
      <bottom/>
      <diagonal/>
    </border>
    <border>
      <left style="thin">
        <color indexed="64"/>
      </left>
      <right style="thin">
        <color indexed="64"/>
      </right>
      <top style="thin">
        <color indexed="64"/>
      </top>
      <bottom style="thin">
        <color indexed="64"/>
      </bottom>
      <diagonal/>
    </border>
    <border>
      <left style="medium">
        <color rgb="FF104F75"/>
      </left>
      <right/>
      <top style="medium">
        <color rgb="FF104F75"/>
      </top>
      <bottom/>
      <diagonal/>
    </border>
    <border>
      <left/>
      <right/>
      <top style="medium">
        <color rgb="FF104F75"/>
      </top>
      <bottom/>
      <diagonal/>
    </border>
    <border>
      <left/>
      <right style="medium">
        <color rgb="FF104F75"/>
      </right>
      <top style="medium">
        <color rgb="FF104F75"/>
      </top>
      <bottom/>
      <diagonal/>
    </border>
    <border>
      <left style="medium">
        <color rgb="FF104F75"/>
      </left>
      <right/>
      <top/>
      <bottom/>
      <diagonal/>
    </border>
    <border>
      <left/>
      <right style="medium">
        <color rgb="FF104F75"/>
      </right>
      <top/>
      <bottom/>
      <diagonal/>
    </border>
    <border>
      <left style="medium">
        <color rgb="FF104F75"/>
      </left>
      <right/>
      <top/>
      <bottom style="medium">
        <color rgb="FF104F75"/>
      </bottom>
      <diagonal/>
    </border>
    <border>
      <left/>
      <right/>
      <top/>
      <bottom style="medium">
        <color rgb="FF104F75"/>
      </bottom>
      <diagonal/>
    </border>
    <border>
      <left/>
      <right style="medium">
        <color rgb="FF104F75"/>
      </right>
      <top/>
      <bottom style="medium">
        <color rgb="FF104F75"/>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medium">
        <color rgb="FF104F75"/>
      </left>
      <right style="medium">
        <color rgb="FF104F75"/>
      </right>
      <top/>
      <bottom/>
      <diagonal/>
    </border>
    <border>
      <left style="medium">
        <color rgb="FF104F75"/>
      </left>
      <right style="medium">
        <color rgb="FF104F75"/>
      </right>
      <top style="medium">
        <color rgb="FF104F75"/>
      </top>
      <bottom/>
      <diagonal/>
    </border>
    <border>
      <left style="medium">
        <color rgb="FF104F75"/>
      </left>
      <right style="medium">
        <color rgb="FF104F75"/>
      </right>
      <top/>
      <bottom style="medium">
        <color rgb="FF104F75"/>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rgb="FF104F75"/>
      </left>
      <right style="dotted">
        <color auto="1"/>
      </right>
      <top style="medium">
        <color rgb="FF104F75"/>
      </top>
      <bottom style="medium">
        <color rgb="FF104F75"/>
      </bottom>
      <diagonal/>
    </border>
    <border>
      <left style="dotted">
        <color auto="1"/>
      </left>
      <right style="dotted">
        <color auto="1"/>
      </right>
      <top style="medium">
        <color rgb="FF104F75"/>
      </top>
      <bottom style="medium">
        <color rgb="FF104F75"/>
      </bottom>
      <diagonal/>
    </border>
    <border>
      <left style="dotted">
        <color auto="1"/>
      </left>
      <right style="medium">
        <color rgb="FF104F75"/>
      </right>
      <top style="medium">
        <color rgb="FF104F75"/>
      </top>
      <bottom style="medium">
        <color rgb="FF104F75"/>
      </bottom>
      <diagonal/>
    </border>
    <border>
      <left style="medium">
        <color rgb="FF104F75"/>
      </left>
      <right style="dotted">
        <color auto="1"/>
      </right>
      <top style="medium">
        <color rgb="FF104F75"/>
      </top>
      <bottom style="dotted">
        <color auto="1"/>
      </bottom>
      <diagonal/>
    </border>
    <border>
      <left style="dotted">
        <color auto="1"/>
      </left>
      <right style="dotted">
        <color auto="1"/>
      </right>
      <top style="medium">
        <color rgb="FF104F75"/>
      </top>
      <bottom style="dotted">
        <color auto="1"/>
      </bottom>
      <diagonal/>
    </border>
    <border>
      <left style="dotted">
        <color auto="1"/>
      </left>
      <right style="medium">
        <color rgb="FF104F75"/>
      </right>
      <top style="medium">
        <color rgb="FF104F75"/>
      </top>
      <bottom style="dotted">
        <color auto="1"/>
      </bottom>
      <diagonal/>
    </border>
    <border>
      <left style="medium">
        <color rgb="FF104F75"/>
      </left>
      <right style="dotted">
        <color auto="1"/>
      </right>
      <top style="dotted">
        <color auto="1"/>
      </top>
      <bottom style="medium">
        <color rgb="FF104F75"/>
      </bottom>
      <diagonal/>
    </border>
    <border>
      <left style="dotted">
        <color auto="1"/>
      </left>
      <right style="dotted">
        <color auto="1"/>
      </right>
      <top style="dotted">
        <color auto="1"/>
      </top>
      <bottom style="medium">
        <color rgb="FF104F75"/>
      </bottom>
      <diagonal/>
    </border>
    <border>
      <left style="dotted">
        <color auto="1"/>
      </left>
      <right style="medium">
        <color rgb="FF104F75"/>
      </right>
      <top style="dotted">
        <color auto="1"/>
      </top>
      <bottom style="medium">
        <color rgb="FF104F75"/>
      </bottom>
      <diagonal/>
    </border>
    <border>
      <left style="medium">
        <color rgb="FF104F75"/>
      </left>
      <right style="dotted">
        <color auto="1"/>
      </right>
      <top style="dotted">
        <color auto="1"/>
      </top>
      <bottom style="dotted">
        <color auto="1"/>
      </bottom>
      <diagonal/>
    </border>
    <border>
      <left style="dotted">
        <color auto="1"/>
      </left>
      <right style="dotted">
        <color auto="1"/>
      </right>
      <top style="dotted">
        <color auto="1"/>
      </top>
      <bottom style="dotted">
        <color auto="1"/>
      </bottom>
      <diagonal/>
    </border>
    <border>
      <left style="dotted">
        <color auto="1"/>
      </left>
      <right style="medium">
        <color rgb="FF104F75"/>
      </right>
      <top style="dotted">
        <color auto="1"/>
      </top>
      <bottom style="dotted">
        <color auto="1"/>
      </bottom>
      <diagonal/>
    </border>
  </borders>
  <cellStyleXfs count="5">
    <xf numFmtId="0" fontId="0" fillId="0" borderId="0"/>
    <xf numFmtId="0" fontId="1" fillId="0" borderId="0"/>
    <xf numFmtId="9" fontId="1" fillId="0" borderId="0" applyFont="0" applyFill="0" applyBorder="0" applyAlignment="0" applyProtection="0"/>
    <xf numFmtId="9" fontId="4" fillId="0" borderId="0" applyFont="0" applyFill="0" applyBorder="0" applyAlignment="0" applyProtection="0"/>
    <xf numFmtId="0" fontId="47" fillId="0" borderId="0" applyNumberFormat="0" applyFill="0" applyBorder="0" applyAlignment="0" applyProtection="0"/>
  </cellStyleXfs>
  <cellXfs count="333">
    <xf numFmtId="0" fontId="0" fillId="0" borderId="0" xfId="0"/>
    <xf numFmtId="0" fontId="0" fillId="2" borderId="0" xfId="0" applyFill="1"/>
    <xf numFmtId="0" fontId="0" fillId="3" borderId="0" xfId="0" applyFill="1"/>
    <xf numFmtId="0" fontId="0" fillId="4" borderId="0" xfId="0" applyFill="1" applyBorder="1"/>
    <xf numFmtId="0" fontId="0" fillId="5" borderId="0" xfId="0" applyFill="1"/>
    <xf numFmtId="0" fontId="0" fillId="6" borderId="0" xfId="0" applyFill="1"/>
    <xf numFmtId="0" fontId="0" fillId="4" borderId="0" xfId="0" applyFill="1" applyBorder="1" applyAlignment="1">
      <alignment vertical="top" wrapText="1"/>
    </xf>
    <xf numFmtId="0" fontId="9" fillId="4" borderId="0" xfId="0" applyFont="1" applyFill="1" applyBorder="1" applyAlignment="1"/>
    <xf numFmtId="0" fontId="8" fillId="4" borderId="0" xfId="0" applyFont="1" applyFill="1" applyBorder="1" applyAlignment="1">
      <alignment vertical="top" wrapText="1"/>
    </xf>
    <xf numFmtId="0" fontId="0" fillId="2" borderId="0" xfId="0" applyFill="1" applyBorder="1"/>
    <xf numFmtId="0" fontId="3" fillId="2" borderId="0" xfId="0" applyFont="1" applyFill="1" applyBorder="1" applyAlignment="1">
      <alignment vertical="center" wrapText="1"/>
    </xf>
    <xf numFmtId="0" fontId="0" fillId="0" borderId="0" xfId="0" applyFill="1"/>
    <xf numFmtId="0" fontId="6" fillId="2" borderId="0" xfId="0" applyFont="1" applyFill="1" applyAlignment="1">
      <alignment vertical="center" wrapText="1"/>
    </xf>
    <xf numFmtId="0" fontId="0" fillId="0" borderId="0" xfId="0" applyBorder="1"/>
    <xf numFmtId="0" fontId="21" fillId="4" borderId="0" xfId="0" applyFont="1" applyFill="1" applyBorder="1" applyAlignment="1">
      <alignment horizontal="right"/>
    </xf>
    <xf numFmtId="0" fontId="0" fillId="4" borderId="0" xfId="0" applyFont="1" applyFill="1" applyBorder="1"/>
    <xf numFmtId="164" fontId="15" fillId="4" borderId="0" xfId="0" applyNumberFormat="1" applyFont="1" applyFill="1" applyBorder="1" applyAlignment="1">
      <alignment vertical="center"/>
    </xf>
    <xf numFmtId="0" fontId="0" fillId="2" borderId="2" xfId="0" applyFill="1" applyBorder="1"/>
    <xf numFmtId="0" fontId="0" fillId="0" borderId="1" xfId="0" applyFill="1" applyBorder="1"/>
    <xf numFmtId="0" fontId="0" fillId="2" borderId="2" xfId="0" applyFill="1" applyBorder="1" applyAlignment="1"/>
    <xf numFmtId="0" fontId="16" fillId="0" borderId="0" xfId="0" applyFont="1" applyAlignment="1"/>
    <xf numFmtId="0" fontId="0" fillId="0" borderId="0" xfId="0" applyAlignment="1"/>
    <xf numFmtId="0" fontId="14" fillId="4" borderId="0" xfId="0" applyFont="1" applyFill="1" applyBorder="1" applyAlignment="1">
      <alignment vertical="center" wrapText="1"/>
    </xf>
    <xf numFmtId="0" fontId="23" fillId="4" borderId="0" xfId="0" applyFont="1" applyFill="1" applyBorder="1" applyAlignment="1">
      <alignment horizontal="left"/>
    </xf>
    <xf numFmtId="0" fontId="0" fillId="0" borderId="0" xfId="0"/>
    <xf numFmtId="0" fontId="22" fillId="4" borderId="0" xfId="0" applyFont="1" applyFill="1" applyBorder="1" applyAlignment="1">
      <alignment vertical="top"/>
    </xf>
    <xf numFmtId="0" fontId="0" fillId="4" borderId="0" xfId="0" applyFill="1"/>
    <xf numFmtId="0" fontId="27" fillId="4" borderId="0" xfId="0" applyFont="1" applyFill="1" applyBorder="1" applyAlignment="1">
      <alignment vertical="top"/>
    </xf>
    <xf numFmtId="0" fontId="14" fillId="4" borderId="0" xfId="0" applyFont="1" applyFill="1" applyBorder="1" applyAlignment="1">
      <alignment horizontal="left"/>
    </xf>
    <xf numFmtId="0" fontId="7" fillId="4" borderId="0" xfId="0" applyFont="1" applyFill="1" applyBorder="1" applyAlignment="1"/>
    <xf numFmtId="0" fontId="17" fillId="7" borderId="0" xfId="0" applyFont="1" applyFill="1" applyBorder="1" applyAlignment="1">
      <alignment vertical="center" wrapText="1"/>
    </xf>
    <xf numFmtId="0" fontId="0" fillId="7" borderId="0" xfId="0" applyFill="1" applyBorder="1"/>
    <xf numFmtId="0" fontId="2" fillId="7" borderId="0" xfId="0" applyFont="1" applyFill="1" applyBorder="1"/>
    <xf numFmtId="0" fontId="28" fillId="7" borderId="0" xfId="0" applyFont="1" applyFill="1" applyBorder="1" applyAlignment="1">
      <alignment vertical="center" wrapText="1"/>
    </xf>
    <xf numFmtId="0" fontId="20" fillId="4" borderId="4" xfId="0" applyFont="1" applyFill="1" applyBorder="1" applyAlignment="1"/>
    <xf numFmtId="0" fontId="0" fillId="4" borderId="7" xfId="0" applyFill="1" applyBorder="1"/>
    <xf numFmtId="0" fontId="0" fillId="4" borderId="6" xfId="0" applyFill="1" applyBorder="1"/>
    <xf numFmtId="0" fontId="0" fillId="4" borderId="8" xfId="0" applyFill="1" applyBorder="1"/>
    <xf numFmtId="0" fontId="0" fillId="4" borderId="9" xfId="0" applyFill="1" applyBorder="1"/>
    <xf numFmtId="0" fontId="5" fillId="4" borderId="9" xfId="0" applyFont="1" applyFill="1" applyBorder="1" applyAlignment="1">
      <alignment horizontal="right"/>
    </xf>
    <xf numFmtId="0" fontId="0" fillId="4" borderId="10" xfId="0" applyFill="1" applyBorder="1"/>
    <xf numFmtId="0" fontId="19" fillId="7" borderId="4" xfId="0" applyFont="1" applyFill="1" applyBorder="1" applyAlignment="1">
      <alignment vertical="center" wrapText="1"/>
    </xf>
    <xf numFmtId="0" fontId="0" fillId="7" borderId="6" xfId="0" applyFill="1" applyBorder="1"/>
    <xf numFmtId="0" fontId="30" fillId="4" borderId="0" xfId="0" applyFont="1" applyFill="1" applyBorder="1" applyAlignment="1">
      <alignment horizontal="left"/>
    </xf>
    <xf numFmtId="0" fontId="30" fillId="4" borderId="4" xfId="0" applyFont="1" applyFill="1" applyBorder="1" applyAlignment="1">
      <alignment horizontal="left"/>
    </xf>
    <xf numFmtId="0" fontId="30" fillId="4" borderId="0" xfId="0" applyFont="1" applyFill="1" applyBorder="1" applyAlignment="1">
      <alignment horizontal="left" vertical="center"/>
    </xf>
    <xf numFmtId="0" fontId="31" fillId="7" borderId="4" xfId="0" applyFont="1" applyFill="1" applyBorder="1" applyAlignment="1">
      <alignment vertical="center" wrapText="1"/>
    </xf>
    <xf numFmtId="0" fontId="0" fillId="7" borderId="0" xfId="0" applyFill="1"/>
    <xf numFmtId="0" fontId="19" fillId="7" borderId="3" xfId="0" applyFont="1" applyFill="1" applyBorder="1" applyAlignment="1">
      <alignment horizontal="left" vertical="center"/>
    </xf>
    <xf numFmtId="0" fontId="0" fillId="7" borderId="4" xfId="0" applyFill="1" applyBorder="1"/>
    <xf numFmtId="0" fontId="31" fillId="7" borderId="0" xfId="0" applyFont="1" applyFill="1" applyBorder="1" applyAlignment="1">
      <alignment vertical="center" wrapText="1"/>
    </xf>
    <xf numFmtId="0" fontId="11" fillId="4" borderId="6" xfId="0" applyFont="1" applyFill="1" applyBorder="1" applyAlignment="1">
      <alignment vertical="top"/>
    </xf>
    <xf numFmtId="0" fontId="11" fillId="4" borderId="8" xfId="0" applyFont="1" applyFill="1" applyBorder="1" applyAlignment="1">
      <alignment horizontal="left" vertical="top"/>
    </xf>
    <xf numFmtId="0" fontId="11" fillId="4" borderId="9" xfId="0" applyFont="1" applyFill="1" applyBorder="1" applyAlignment="1">
      <alignment horizontal="left" vertical="top"/>
    </xf>
    <xf numFmtId="0" fontId="10" fillId="4" borderId="9" xfId="0" applyFont="1" applyFill="1" applyBorder="1" applyAlignment="1">
      <alignment horizontal="right" wrapText="1"/>
    </xf>
    <xf numFmtId="0" fontId="13" fillId="7" borderId="4" xfId="0" applyFont="1" applyFill="1" applyBorder="1" applyAlignment="1">
      <alignment horizontal="right" vertical="center"/>
    </xf>
    <xf numFmtId="0" fontId="12" fillId="7" borderId="4" xfId="0" applyFont="1" applyFill="1" applyBorder="1" applyAlignment="1"/>
    <xf numFmtId="0" fontId="7" fillId="7" borderId="0" xfId="0" applyFont="1" applyFill="1" applyBorder="1" applyAlignment="1"/>
    <xf numFmtId="0" fontId="8" fillId="7" borderId="0" xfId="0" applyFont="1" applyFill="1" applyBorder="1" applyAlignment="1">
      <alignment vertical="top" wrapText="1"/>
    </xf>
    <xf numFmtId="0" fontId="9" fillId="7" borderId="0" xfId="0" applyFont="1" applyFill="1" applyBorder="1" applyAlignment="1"/>
    <xf numFmtId="0" fontId="19" fillId="7" borderId="3" xfId="0" applyFont="1" applyFill="1" applyBorder="1" applyAlignment="1">
      <alignment vertical="center"/>
    </xf>
    <xf numFmtId="0" fontId="20" fillId="7" borderId="4" xfId="0" applyFont="1" applyFill="1" applyBorder="1" applyAlignment="1">
      <alignment horizontal="left" vertical="center"/>
    </xf>
    <xf numFmtId="0" fontId="26" fillId="4" borderId="6" xfId="0" applyNumberFormat="1" applyFont="1" applyFill="1" applyBorder="1" applyAlignment="1">
      <alignment horizontal="center" textRotation="90"/>
    </xf>
    <xf numFmtId="164" fontId="15" fillId="4" borderId="6" xfId="0" applyNumberFormat="1" applyFont="1" applyFill="1" applyBorder="1" applyAlignment="1">
      <alignment vertical="center"/>
    </xf>
    <xf numFmtId="164" fontId="25" fillId="4" borderId="0" xfId="0" applyNumberFormat="1" applyFont="1" applyFill="1" applyBorder="1" applyAlignment="1">
      <alignment vertical="center"/>
    </xf>
    <xf numFmtId="164" fontId="25" fillId="4" borderId="7" xfId="0" applyNumberFormat="1" applyFont="1" applyFill="1" applyBorder="1" applyAlignment="1">
      <alignment vertical="center"/>
    </xf>
    <xf numFmtId="0" fontId="14" fillId="4" borderId="7" xfId="0" applyFont="1" applyFill="1" applyBorder="1" applyAlignment="1">
      <alignment horizontal="right"/>
    </xf>
    <xf numFmtId="0" fontId="32" fillId="4" borderId="0" xfId="0" applyFont="1" applyFill="1" applyBorder="1" applyAlignment="1">
      <alignment vertical="center" wrapText="1"/>
    </xf>
    <xf numFmtId="0" fontId="24" fillId="4" borderId="0" xfId="0" applyFont="1" applyFill="1" applyBorder="1" applyAlignment="1">
      <alignment vertical="center"/>
    </xf>
    <xf numFmtId="0" fontId="24" fillId="4" borderId="7" xfId="0" applyFont="1" applyFill="1" applyBorder="1" applyAlignment="1">
      <alignment vertical="center"/>
    </xf>
    <xf numFmtId="0" fontId="0" fillId="7" borderId="5" xfId="0" applyFill="1" applyBorder="1"/>
    <xf numFmtId="0" fontId="0" fillId="7" borderId="7" xfId="0" applyFill="1" applyBorder="1"/>
    <xf numFmtId="0" fontId="0" fillId="2" borderId="18" xfId="0" applyFill="1" applyBorder="1"/>
    <xf numFmtId="0" fontId="0" fillId="2" borderId="18" xfId="0" applyFill="1" applyBorder="1" applyAlignment="1"/>
    <xf numFmtId="0" fontId="35" fillId="4" borderId="4" xfId="0" applyFont="1" applyFill="1" applyBorder="1"/>
    <xf numFmtId="0" fontId="36" fillId="4" borderId="0" xfId="0" applyFont="1" applyFill="1" applyBorder="1" applyAlignment="1">
      <alignment horizontal="right" vertical="center"/>
    </xf>
    <xf numFmtId="0" fontId="0" fillId="3" borderId="11" xfId="0" applyFill="1" applyBorder="1"/>
    <xf numFmtId="0" fontId="0" fillId="3" borderId="12" xfId="0" applyFill="1" applyBorder="1"/>
    <xf numFmtId="0" fontId="0" fillId="3" borderId="13" xfId="0" applyFill="1" applyBorder="1"/>
    <xf numFmtId="0" fontId="0" fillId="3" borderId="1" xfId="0" applyFill="1" applyBorder="1"/>
    <xf numFmtId="0" fontId="0" fillId="3" borderId="0" xfId="0" applyFill="1" applyBorder="1"/>
    <xf numFmtId="0" fontId="0" fillId="3" borderId="14" xfId="0" applyFill="1" applyBorder="1"/>
    <xf numFmtId="0" fontId="0" fillId="3" borderId="15" xfId="0" applyFill="1" applyBorder="1"/>
    <xf numFmtId="0" fontId="0" fillId="3" borderId="16" xfId="0" applyFill="1" applyBorder="1"/>
    <xf numFmtId="0" fontId="0" fillId="3" borderId="17" xfId="0" applyFill="1" applyBorder="1"/>
    <xf numFmtId="0" fontId="0" fillId="2" borderId="11" xfId="0" applyFill="1" applyBorder="1"/>
    <xf numFmtId="0" fontId="0" fillId="2" borderId="12" xfId="0" applyFill="1" applyBorder="1"/>
    <xf numFmtId="0" fontId="0" fillId="2" borderId="13" xfId="0" applyFill="1" applyBorder="1"/>
    <xf numFmtId="0" fontId="0" fillId="2" borderId="1" xfId="0" applyFill="1" applyBorder="1"/>
    <xf numFmtId="0" fontId="0" fillId="2" borderId="0" xfId="0" applyFill="1" applyBorder="1" applyAlignment="1">
      <alignment horizontal="right"/>
    </xf>
    <xf numFmtId="0" fontId="0" fillId="2" borderId="14" xfId="0" applyFill="1" applyBorder="1"/>
    <xf numFmtId="0" fontId="0" fillId="2" borderId="1" xfId="0" applyFill="1" applyBorder="1" applyAlignment="1">
      <alignment horizontal="left"/>
    </xf>
    <xf numFmtId="0" fontId="0" fillId="2" borderId="15" xfId="0" applyFill="1" applyBorder="1"/>
    <xf numFmtId="0" fontId="0" fillId="2" borderId="16" xfId="0" applyFill="1" applyBorder="1"/>
    <xf numFmtId="0" fontId="0" fillId="2" borderId="17" xfId="0" applyFill="1" applyBorder="1"/>
    <xf numFmtId="0" fontId="0" fillId="5" borderId="11" xfId="0" applyFill="1" applyBorder="1"/>
    <xf numFmtId="0" fontId="0" fillId="5" borderId="12" xfId="0" applyFill="1" applyBorder="1" applyAlignment="1">
      <alignment wrapText="1"/>
    </xf>
    <xf numFmtId="0" fontId="0" fillId="5" borderId="12" xfId="0" applyFill="1" applyBorder="1"/>
    <xf numFmtId="0" fontId="0" fillId="5" borderId="13" xfId="0" applyFill="1" applyBorder="1"/>
    <xf numFmtId="0" fontId="0" fillId="5" borderId="1" xfId="0" applyFill="1" applyBorder="1"/>
    <xf numFmtId="0" fontId="0" fillId="5" borderId="0" xfId="0" applyFill="1" applyBorder="1"/>
    <xf numFmtId="0" fontId="0" fillId="5" borderId="14" xfId="0" applyFill="1" applyBorder="1"/>
    <xf numFmtId="0" fontId="0" fillId="5" borderId="15" xfId="0" applyFill="1" applyBorder="1"/>
    <xf numFmtId="0" fontId="0" fillId="5" borderId="16" xfId="0" applyFill="1" applyBorder="1"/>
    <xf numFmtId="0" fontId="0" fillId="5" borderId="17" xfId="0" applyFill="1" applyBorder="1"/>
    <xf numFmtId="0" fontId="0" fillId="3" borderId="1" xfId="0" applyFill="1" applyBorder="1" applyAlignment="1"/>
    <xf numFmtId="0" fontId="0" fillId="3" borderId="0" xfId="0" applyFill="1" applyBorder="1" applyAlignment="1"/>
    <xf numFmtId="0" fontId="0" fillId="3" borderId="14" xfId="0" applyFill="1" applyBorder="1" applyAlignment="1"/>
    <xf numFmtId="0" fontId="0" fillId="3" borderId="0" xfId="0" applyFill="1" applyBorder="1" applyAlignment="1">
      <alignment horizontal="left"/>
    </xf>
    <xf numFmtId="0" fontId="0" fillId="3" borderId="16" xfId="0" applyFill="1" applyBorder="1" applyAlignment="1">
      <alignment horizontal="left"/>
    </xf>
    <xf numFmtId="0" fontId="0" fillId="6" borderId="11" xfId="0" applyFill="1" applyBorder="1"/>
    <xf numFmtId="0" fontId="0" fillId="6" borderId="12" xfId="0" applyFill="1" applyBorder="1"/>
    <xf numFmtId="0" fontId="0" fillId="6" borderId="13" xfId="0" applyFill="1" applyBorder="1"/>
    <xf numFmtId="0" fontId="0" fillId="6" borderId="1" xfId="0" applyFill="1" applyBorder="1"/>
    <xf numFmtId="0" fontId="0" fillId="6" borderId="0" xfId="0" applyFill="1" applyBorder="1"/>
    <xf numFmtId="0" fontId="0" fillId="6" borderId="14" xfId="0" applyFill="1" applyBorder="1"/>
    <xf numFmtId="0" fontId="0" fillId="6" borderId="15" xfId="0" applyFill="1" applyBorder="1"/>
    <xf numFmtId="0" fontId="0" fillId="6" borderId="16" xfId="0" applyFill="1" applyBorder="1"/>
    <xf numFmtId="0" fontId="0" fillId="6" borderId="17" xfId="0" applyFill="1" applyBorder="1"/>
    <xf numFmtId="0" fontId="38" fillId="0" borderId="0" xfId="0" applyFont="1"/>
    <xf numFmtId="0" fontId="39" fillId="0" borderId="0" xfId="0" applyFont="1" applyAlignment="1"/>
    <xf numFmtId="0" fontId="0" fillId="6" borderId="0" xfId="0" applyFill="1" applyBorder="1" applyAlignment="1"/>
    <xf numFmtId="9" fontId="0" fillId="0" borderId="0" xfId="3" applyNumberFormat="1" applyFont="1"/>
    <xf numFmtId="165" fontId="0" fillId="2" borderId="0" xfId="0" applyNumberFormat="1" applyFill="1" applyBorder="1"/>
    <xf numFmtId="0" fontId="0" fillId="0" borderId="0" xfId="0" applyAlignment="1">
      <alignment wrapText="1"/>
    </xf>
    <xf numFmtId="0" fontId="22" fillId="4" borderId="4" xfId="0" applyFont="1" applyFill="1" applyBorder="1" applyAlignment="1">
      <alignment vertical="top"/>
    </xf>
    <xf numFmtId="0" fontId="20" fillId="2" borderId="19" xfId="0" applyFont="1" applyFill="1" applyBorder="1" applyAlignment="1"/>
    <xf numFmtId="0" fontId="21" fillId="2" borderId="19" xfId="0" applyFont="1" applyFill="1" applyBorder="1" applyAlignment="1">
      <alignment horizontal="right"/>
    </xf>
    <xf numFmtId="0" fontId="0" fillId="2" borderId="19" xfId="0" applyFont="1" applyFill="1" applyBorder="1"/>
    <xf numFmtId="0" fontId="0" fillId="2" borderId="19" xfId="0" applyFill="1" applyBorder="1"/>
    <xf numFmtId="0" fontId="20" fillId="7" borderId="4" xfId="0" applyFont="1" applyFill="1" applyBorder="1" applyAlignment="1"/>
    <xf numFmtId="0" fontId="20" fillId="7" borderId="5" xfId="0" applyFont="1" applyFill="1" applyBorder="1" applyAlignment="1"/>
    <xf numFmtId="0" fontId="33" fillId="4" borderId="0" xfId="0" applyFont="1" applyFill="1" applyBorder="1" applyAlignment="1">
      <alignment vertical="top"/>
    </xf>
    <xf numFmtId="0" fontId="33" fillId="4" borderId="0" xfId="0" applyFont="1" applyFill="1" applyBorder="1" applyAlignment="1">
      <alignment horizontal="left" vertical="top" indent="3"/>
    </xf>
    <xf numFmtId="0" fontId="0" fillId="8" borderId="11" xfId="0" applyFill="1" applyBorder="1"/>
    <xf numFmtId="0" fontId="0" fillId="8" borderId="12" xfId="0" applyFill="1" applyBorder="1"/>
    <xf numFmtId="0" fontId="0" fillId="8" borderId="13" xfId="0" applyFill="1" applyBorder="1"/>
    <xf numFmtId="0" fontId="0" fillId="8" borderId="1" xfId="0" applyFill="1" applyBorder="1"/>
    <xf numFmtId="0" fontId="0" fillId="8" borderId="0" xfId="0" applyFill="1" applyBorder="1"/>
    <xf numFmtId="0" fontId="0" fillId="8" borderId="14" xfId="0" applyFill="1" applyBorder="1"/>
    <xf numFmtId="0" fontId="0" fillId="8" borderId="15" xfId="0" applyFill="1" applyBorder="1"/>
    <xf numFmtId="0" fontId="0" fillId="8" borderId="16" xfId="0" applyFill="1" applyBorder="1"/>
    <xf numFmtId="0" fontId="0" fillId="8" borderId="17" xfId="0" applyFill="1" applyBorder="1"/>
    <xf numFmtId="0" fontId="0" fillId="8" borderId="0" xfId="0" applyFill="1"/>
    <xf numFmtId="0" fontId="0" fillId="9" borderId="0" xfId="0" applyFill="1"/>
    <xf numFmtId="0" fontId="0" fillId="9" borderId="11" xfId="0" applyFill="1" applyBorder="1"/>
    <xf numFmtId="0" fontId="0" fillId="9" borderId="12" xfId="0" applyFill="1" applyBorder="1"/>
    <xf numFmtId="0" fontId="0" fillId="9" borderId="13" xfId="0" applyFill="1" applyBorder="1"/>
    <xf numFmtId="0" fontId="0" fillId="9" borderId="1" xfId="0" applyFill="1" applyBorder="1"/>
    <xf numFmtId="0" fontId="0" fillId="9" borderId="0" xfId="0" applyFill="1" applyBorder="1"/>
    <xf numFmtId="0" fontId="0" fillId="9" borderId="14" xfId="0" applyFill="1" applyBorder="1"/>
    <xf numFmtId="0" fontId="0" fillId="9" borderId="15" xfId="0" applyFill="1" applyBorder="1"/>
    <xf numFmtId="0" fontId="0" fillId="9" borderId="16" xfId="0" applyFill="1" applyBorder="1"/>
    <xf numFmtId="0" fontId="0" fillId="9" borderId="17" xfId="0" applyFill="1" applyBorder="1"/>
    <xf numFmtId="0" fontId="0" fillId="0" borderId="0" xfId="0" quotePrefix="1" applyAlignment="1">
      <alignment horizontal="right"/>
    </xf>
    <xf numFmtId="0" fontId="0" fillId="0" borderId="22" xfId="0" applyBorder="1" applyAlignment="1">
      <alignment horizontal="right" vertical="center" wrapText="1" indent="3"/>
    </xf>
    <xf numFmtId="0" fontId="0" fillId="0" borderId="23" xfId="0" applyBorder="1" applyAlignment="1">
      <alignment horizontal="right" vertical="center" wrapText="1" indent="3"/>
    </xf>
    <xf numFmtId="0" fontId="0" fillId="0" borderId="24" xfId="0" applyBorder="1" applyAlignment="1">
      <alignment horizontal="right" vertical="center" wrapText="1" indent="3"/>
    </xf>
    <xf numFmtId="164" fontId="0" fillId="0" borderId="25" xfId="0" applyNumberFormat="1" applyBorder="1" applyAlignment="1">
      <alignment horizontal="right" indent="3"/>
    </xf>
    <xf numFmtId="3" fontId="0" fillId="0" borderId="26" xfId="0" applyNumberFormat="1" applyBorder="1" applyAlignment="1">
      <alignment horizontal="right" indent="3"/>
    </xf>
    <xf numFmtId="164" fontId="0" fillId="0" borderId="28" xfId="0" applyNumberFormat="1" applyBorder="1" applyAlignment="1">
      <alignment horizontal="right" indent="3"/>
    </xf>
    <xf numFmtId="3" fontId="0" fillId="0" borderId="0" xfId="0" applyNumberFormat="1" applyBorder="1" applyAlignment="1">
      <alignment horizontal="right" indent="3"/>
    </xf>
    <xf numFmtId="164" fontId="0" fillId="0" borderId="30" xfId="0" applyNumberFormat="1" applyBorder="1" applyAlignment="1">
      <alignment horizontal="right" indent="3"/>
    </xf>
    <xf numFmtId="3" fontId="0" fillId="0" borderId="31" xfId="0" applyNumberFormat="1" applyBorder="1" applyAlignment="1">
      <alignment horizontal="right" indent="3"/>
    </xf>
    <xf numFmtId="9" fontId="0" fillId="0" borderId="26" xfId="3" applyFont="1" applyBorder="1" applyAlignment="1">
      <alignment horizontal="right" indent="3"/>
    </xf>
    <xf numFmtId="9" fontId="0" fillId="0" borderId="0" xfId="3" applyFont="1" applyBorder="1" applyAlignment="1">
      <alignment horizontal="right" indent="3"/>
    </xf>
    <xf numFmtId="9" fontId="0" fillId="0" borderId="31" xfId="3" applyFont="1" applyBorder="1" applyAlignment="1">
      <alignment horizontal="right" indent="3"/>
    </xf>
    <xf numFmtId="3" fontId="0" fillId="0" borderId="25" xfId="0" applyNumberFormat="1" applyBorder="1" applyAlignment="1">
      <alignment horizontal="right" indent="3"/>
    </xf>
    <xf numFmtId="3" fontId="0" fillId="0" borderId="27" xfId="0" applyNumberFormat="1" applyBorder="1" applyAlignment="1">
      <alignment horizontal="right" indent="3"/>
    </xf>
    <xf numFmtId="3" fontId="0" fillId="0" borderId="28" xfId="0" applyNumberFormat="1" applyBorder="1" applyAlignment="1">
      <alignment horizontal="right" indent="3"/>
    </xf>
    <xf numFmtId="3" fontId="0" fillId="0" borderId="29" xfId="0" applyNumberFormat="1" applyBorder="1" applyAlignment="1">
      <alignment horizontal="right" indent="3"/>
    </xf>
    <xf numFmtId="3" fontId="0" fillId="0" borderId="30" xfId="0" applyNumberFormat="1" applyBorder="1" applyAlignment="1">
      <alignment horizontal="right" indent="3"/>
    </xf>
    <xf numFmtId="3" fontId="0" fillId="0" borderId="32" xfId="0" applyNumberFormat="1" applyBorder="1" applyAlignment="1">
      <alignment horizontal="right" indent="3"/>
    </xf>
    <xf numFmtId="166" fontId="0" fillId="0" borderId="26" xfId="3" applyNumberFormat="1" applyFont="1" applyBorder="1" applyAlignment="1">
      <alignment horizontal="right" indent="3"/>
    </xf>
    <xf numFmtId="166" fontId="0" fillId="0" borderId="27" xfId="3" applyNumberFormat="1" applyFont="1" applyBorder="1" applyAlignment="1">
      <alignment horizontal="right" indent="3"/>
    </xf>
    <xf numFmtId="166" fontId="0" fillId="0" borderId="0" xfId="3" applyNumberFormat="1" applyFont="1" applyBorder="1" applyAlignment="1">
      <alignment horizontal="right" indent="3"/>
    </xf>
    <xf numFmtId="166" fontId="0" fillId="0" borderId="29" xfId="3" applyNumberFormat="1" applyFont="1" applyBorder="1" applyAlignment="1">
      <alignment horizontal="right" indent="3"/>
    </xf>
    <xf numFmtId="166" fontId="0" fillId="0" borderId="31" xfId="3" applyNumberFormat="1" applyFont="1" applyBorder="1" applyAlignment="1">
      <alignment horizontal="right" indent="3"/>
    </xf>
    <xf numFmtId="166" fontId="0" fillId="0" borderId="32" xfId="3" applyNumberFormat="1" applyFont="1" applyBorder="1" applyAlignment="1">
      <alignment horizontal="right" indent="3"/>
    </xf>
    <xf numFmtId="0" fontId="0" fillId="0" borderId="25" xfId="0" applyBorder="1" applyAlignment="1">
      <alignment horizontal="right" indent="3"/>
    </xf>
    <xf numFmtId="0" fontId="0" fillId="0" borderId="26" xfId="0" applyBorder="1" applyAlignment="1">
      <alignment horizontal="right" indent="3"/>
    </xf>
    <xf numFmtId="0" fontId="0" fillId="0" borderId="27" xfId="0" applyBorder="1" applyAlignment="1">
      <alignment horizontal="right" indent="3"/>
    </xf>
    <xf numFmtId="0" fontId="0" fillId="0" borderId="28" xfId="0" applyBorder="1" applyAlignment="1">
      <alignment horizontal="right" indent="3"/>
    </xf>
    <xf numFmtId="0" fontId="0" fillId="0" borderId="0" xfId="0" applyBorder="1" applyAlignment="1">
      <alignment horizontal="right" indent="3"/>
    </xf>
    <xf numFmtId="0" fontId="0" fillId="0" borderId="29" xfId="0" applyBorder="1" applyAlignment="1">
      <alignment horizontal="right" indent="3"/>
    </xf>
    <xf numFmtId="0" fontId="0" fillId="0" borderId="30" xfId="0" applyBorder="1" applyAlignment="1">
      <alignment horizontal="right" indent="3"/>
    </xf>
    <xf numFmtId="0" fontId="0" fillId="0" borderId="31" xfId="0" applyBorder="1" applyAlignment="1">
      <alignment horizontal="right" indent="3"/>
    </xf>
    <xf numFmtId="0" fontId="0" fillId="0" borderId="32" xfId="0" applyBorder="1" applyAlignment="1">
      <alignment horizontal="right" indent="3"/>
    </xf>
    <xf numFmtId="0" fontId="16" fillId="0" borderId="0" xfId="0" applyFont="1"/>
    <xf numFmtId="0" fontId="16" fillId="0" borderId="0" xfId="0" quotePrefix="1" applyFont="1" applyAlignment="1">
      <alignment horizontal="right"/>
    </xf>
    <xf numFmtId="0" fontId="16" fillId="0" borderId="0" xfId="0" quotePrefix="1" applyFont="1" applyAlignment="1">
      <alignment horizontal="right" vertical="top"/>
    </xf>
    <xf numFmtId="0" fontId="0" fillId="0" borderId="0" xfId="0" applyAlignment="1">
      <alignment horizontal="left" vertical="top" wrapText="1"/>
    </xf>
    <xf numFmtId="0" fontId="33" fillId="4" borderId="0" xfId="0" applyFont="1" applyFill="1" applyBorder="1" applyAlignment="1">
      <alignment horizontal="center" vertical="top"/>
    </xf>
    <xf numFmtId="0" fontId="45" fillId="7" borderId="0" xfId="0" applyFont="1" applyFill="1" applyAlignment="1">
      <alignment vertical="center"/>
    </xf>
    <xf numFmtId="0" fontId="0" fillId="7" borderId="0" xfId="0" applyFill="1" applyAlignment="1">
      <alignment wrapText="1"/>
    </xf>
    <xf numFmtId="0" fontId="0" fillId="2" borderId="0" xfId="0" applyFill="1" applyAlignment="1">
      <alignment wrapText="1"/>
    </xf>
    <xf numFmtId="0" fontId="44" fillId="7" borderId="0" xfId="0" applyFont="1" applyFill="1" applyAlignment="1">
      <alignment wrapText="1"/>
    </xf>
    <xf numFmtId="0" fontId="0" fillId="2" borderId="0" xfId="0" applyFill="1" applyAlignment="1">
      <alignment horizontal="left" vertical="top"/>
    </xf>
    <xf numFmtId="0" fontId="0" fillId="0" borderId="33" xfId="0" applyBorder="1" applyAlignment="1">
      <alignment horizontal="left" vertical="top" wrapText="1"/>
    </xf>
    <xf numFmtId="0" fontId="0" fillId="0" borderId="34" xfId="0" applyBorder="1" applyAlignment="1">
      <alignment horizontal="left" vertical="top" wrapText="1"/>
    </xf>
    <xf numFmtId="6" fontId="0" fillId="0" borderId="35" xfId="0" applyNumberFormat="1" applyBorder="1" applyAlignment="1">
      <alignment horizontal="center" vertical="center" wrapText="1"/>
    </xf>
    <xf numFmtId="0" fontId="0" fillId="0" borderId="0" xfId="0" applyAlignment="1">
      <alignment horizontal="left" vertical="top"/>
    </xf>
    <xf numFmtId="0" fontId="0" fillId="2" borderId="0" xfId="0" applyFill="1" applyAlignment="1">
      <alignment horizontal="left" vertical="top" wrapText="1"/>
    </xf>
    <xf numFmtId="0" fontId="0" fillId="0" borderId="37" xfId="0" applyBorder="1" applyAlignment="1">
      <alignment horizontal="left" vertical="top" wrapText="1"/>
    </xf>
    <xf numFmtId="0" fontId="0" fillId="0" borderId="40" xfId="0" applyBorder="1" applyAlignment="1">
      <alignment horizontal="left" vertical="top" wrapText="1"/>
    </xf>
    <xf numFmtId="0" fontId="0" fillId="0" borderId="43" xfId="0" applyBorder="1" applyAlignment="1">
      <alignment horizontal="left" vertical="top" wrapText="1"/>
    </xf>
    <xf numFmtId="0" fontId="0" fillId="0" borderId="44" xfId="0" applyBorder="1" applyAlignment="1">
      <alignment horizontal="center" vertical="center" wrapText="1"/>
    </xf>
    <xf numFmtId="0" fontId="16" fillId="0" borderId="33" xfId="0" applyFont="1" applyBorder="1" applyAlignment="1">
      <alignment horizontal="left" vertical="top" wrapText="1"/>
    </xf>
    <xf numFmtId="0" fontId="0" fillId="0" borderId="41" xfId="0" applyBorder="1" applyAlignment="1">
      <alignment horizontal="center" vertical="center" wrapText="1"/>
    </xf>
    <xf numFmtId="0" fontId="0" fillId="0" borderId="38" xfId="0" applyBorder="1" applyAlignment="1">
      <alignment horizontal="center" vertical="center" wrapText="1"/>
    </xf>
    <xf numFmtId="0" fontId="16" fillId="0" borderId="0" xfId="0" applyFont="1" applyAlignment="1" applyProtection="1">
      <protection locked="0"/>
    </xf>
    <xf numFmtId="0" fontId="0" fillId="0" borderId="35" xfId="0" applyBorder="1" applyAlignment="1">
      <alignment horizontal="center" vertical="center" wrapText="1"/>
    </xf>
    <xf numFmtId="0" fontId="16" fillId="0" borderId="22" xfId="0" applyFont="1" applyBorder="1" applyAlignment="1">
      <alignment vertical="center" wrapText="1"/>
    </xf>
    <xf numFmtId="0" fontId="16" fillId="0" borderId="23" xfId="0" applyFont="1" applyBorder="1" applyAlignment="1">
      <alignment vertical="center" wrapText="1"/>
    </xf>
    <xf numFmtId="0" fontId="16" fillId="0" borderId="24" xfId="0" applyFont="1" applyBorder="1" applyAlignment="1">
      <alignment vertical="center" wrapText="1"/>
    </xf>
    <xf numFmtId="167" fontId="0" fillId="0" borderId="25" xfId="0" applyNumberFormat="1" applyBorder="1" applyAlignment="1">
      <alignment horizontal="right" indent="3"/>
    </xf>
    <xf numFmtId="167" fontId="0" fillId="0" borderId="28" xfId="0" applyNumberFormat="1" applyBorder="1" applyAlignment="1">
      <alignment horizontal="right" indent="3"/>
    </xf>
    <xf numFmtId="167" fontId="0" fillId="0" borderId="30" xfId="0" applyNumberFormat="1" applyBorder="1" applyAlignment="1">
      <alignment horizontal="right" indent="3"/>
    </xf>
    <xf numFmtId="167" fontId="0" fillId="0" borderId="26" xfId="0" applyNumberFormat="1" applyBorder="1" applyAlignment="1">
      <alignment horizontal="right" indent="3"/>
    </xf>
    <xf numFmtId="167" fontId="0" fillId="0" borderId="0" xfId="0" applyNumberFormat="1" applyBorder="1" applyAlignment="1">
      <alignment horizontal="right" indent="3"/>
    </xf>
    <xf numFmtId="167" fontId="0" fillId="0" borderId="31" xfId="0" applyNumberFormat="1" applyBorder="1" applyAlignment="1">
      <alignment horizontal="right" indent="3"/>
    </xf>
    <xf numFmtId="0" fontId="0" fillId="0" borderId="0" xfId="0" applyProtection="1"/>
    <xf numFmtId="0" fontId="16" fillId="0" borderId="0" xfId="0" applyFont="1" applyProtection="1"/>
    <xf numFmtId="0" fontId="16" fillId="0" borderId="22" xfId="0" applyFont="1" applyBorder="1" applyAlignment="1" applyProtection="1">
      <alignment vertical="center" wrapText="1"/>
    </xf>
    <xf numFmtId="0" fontId="16" fillId="0" borderId="23" xfId="0" applyFont="1" applyBorder="1" applyAlignment="1" applyProtection="1">
      <alignment vertical="center" wrapText="1"/>
    </xf>
    <xf numFmtId="0" fontId="16" fillId="0" borderId="24" xfId="0" applyFont="1" applyBorder="1" applyAlignment="1" applyProtection="1">
      <alignment vertical="center" wrapText="1"/>
    </xf>
    <xf numFmtId="0" fontId="0" fillId="0" borderId="22" xfId="0" applyBorder="1" applyAlignment="1" applyProtection="1">
      <alignment horizontal="right" vertical="center" wrapText="1" indent="3"/>
    </xf>
    <xf numFmtId="0" fontId="0" fillId="0" borderId="23" xfId="0" applyBorder="1" applyAlignment="1" applyProtection="1">
      <alignment horizontal="right" vertical="center" wrapText="1" indent="3"/>
    </xf>
    <xf numFmtId="0" fontId="0" fillId="0" borderId="24" xfId="0" applyBorder="1" applyAlignment="1" applyProtection="1">
      <alignment horizontal="right" vertical="center" wrapText="1" indent="3"/>
    </xf>
    <xf numFmtId="164" fontId="0" fillId="0" borderId="25" xfId="0" applyNumberFormat="1" applyBorder="1" applyAlignment="1" applyProtection="1">
      <alignment horizontal="right" indent="3"/>
    </xf>
    <xf numFmtId="3" fontId="0" fillId="0" borderId="26" xfId="0" applyNumberFormat="1" applyBorder="1" applyAlignment="1" applyProtection="1">
      <alignment horizontal="right" indent="3"/>
    </xf>
    <xf numFmtId="9" fontId="0" fillId="0" borderId="26" xfId="3" applyFont="1" applyBorder="1" applyAlignment="1" applyProtection="1">
      <alignment horizontal="right" indent="3"/>
    </xf>
    <xf numFmtId="3" fontId="0" fillId="0" borderId="25" xfId="0" applyNumberFormat="1" applyBorder="1" applyAlignment="1" applyProtection="1">
      <alignment horizontal="right" indent="3"/>
    </xf>
    <xf numFmtId="3" fontId="0" fillId="0" borderId="27" xfId="0" applyNumberFormat="1" applyBorder="1" applyAlignment="1" applyProtection="1">
      <alignment horizontal="right" indent="3"/>
    </xf>
    <xf numFmtId="166" fontId="0" fillId="0" borderId="26" xfId="3" applyNumberFormat="1" applyFont="1" applyBorder="1" applyAlignment="1" applyProtection="1">
      <alignment horizontal="right" indent="3"/>
    </xf>
    <xf numFmtId="166" fontId="0" fillId="0" borderId="27" xfId="3" applyNumberFormat="1" applyFont="1" applyBorder="1" applyAlignment="1" applyProtection="1">
      <alignment horizontal="right" indent="3"/>
    </xf>
    <xf numFmtId="0" fontId="0" fillId="0" borderId="25" xfId="0" applyBorder="1" applyAlignment="1" applyProtection="1">
      <alignment horizontal="right" indent="3"/>
    </xf>
    <xf numFmtId="0" fontId="0" fillId="0" borderId="26" xfId="0" applyBorder="1" applyAlignment="1" applyProtection="1">
      <alignment horizontal="right" indent="3"/>
    </xf>
    <xf numFmtId="0" fontId="0" fillId="0" borderId="27" xfId="0" applyBorder="1" applyAlignment="1" applyProtection="1">
      <alignment horizontal="right" indent="3"/>
    </xf>
    <xf numFmtId="167" fontId="0" fillId="0" borderId="25" xfId="0" applyNumberFormat="1" applyBorder="1" applyAlignment="1" applyProtection="1">
      <alignment horizontal="right" indent="3"/>
    </xf>
    <xf numFmtId="167" fontId="0" fillId="0" borderId="26" xfId="0" applyNumberFormat="1" applyBorder="1" applyAlignment="1" applyProtection="1">
      <alignment horizontal="right" indent="3"/>
    </xf>
    <xf numFmtId="164" fontId="0" fillId="0" borderId="28" xfId="0" applyNumberFormat="1" applyBorder="1" applyAlignment="1" applyProtection="1">
      <alignment horizontal="right" indent="3"/>
    </xf>
    <xf numFmtId="3" fontId="0" fillId="0" borderId="0" xfId="0" applyNumberFormat="1" applyBorder="1" applyAlignment="1" applyProtection="1">
      <alignment horizontal="right" indent="3"/>
    </xf>
    <xf numFmtId="9" fontId="0" fillId="0" borderId="0" xfId="3" applyFont="1" applyBorder="1" applyAlignment="1" applyProtection="1">
      <alignment horizontal="right" indent="3"/>
    </xf>
    <xf numFmtId="3" fontId="0" fillId="0" borderId="28" xfId="0" applyNumberFormat="1" applyBorder="1" applyAlignment="1" applyProtection="1">
      <alignment horizontal="right" indent="3"/>
    </xf>
    <xf numFmtId="3" fontId="0" fillId="0" borderId="29" xfId="0" applyNumberFormat="1" applyBorder="1" applyAlignment="1" applyProtection="1">
      <alignment horizontal="right" indent="3"/>
    </xf>
    <xf numFmtId="166" fontId="0" fillId="0" borderId="0" xfId="3" applyNumberFormat="1" applyFont="1" applyBorder="1" applyAlignment="1" applyProtection="1">
      <alignment horizontal="right" indent="3"/>
    </xf>
    <xf numFmtId="166" fontId="0" fillId="0" borderId="29" xfId="3" applyNumberFormat="1" applyFont="1" applyBorder="1" applyAlignment="1" applyProtection="1">
      <alignment horizontal="right" indent="3"/>
    </xf>
    <xf numFmtId="0" fontId="0" fillId="0" borderId="28" xfId="0" applyBorder="1" applyAlignment="1" applyProtection="1">
      <alignment horizontal="right" indent="3"/>
    </xf>
    <xf numFmtId="0" fontId="0" fillId="0" borderId="0" xfId="0" applyBorder="1" applyAlignment="1" applyProtection="1">
      <alignment horizontal="right" indent="3"/>
    </xf>
    <xf numFmtId="0" fontId="0" fillId="0" borderId="29" xfId="0" applyBorder="1" applyAlignment="1" applyProtection="1">
      <alignment horizontal="right" indent="3"/>
    </xf>
    <xf numFmtId="167" fontId="0" fillId="0" borderId="28" xfId="0" applyNumberFormat="1" applyBorder="1" applyAlignment="1" applyProtection="1">
      <alignment horizontal="right" indent="3"/>
    </xf>
    <xf numFmtId="167" fontId="0" fillId="0" borderId="0" xfId="0" applyNumberFormat="1" applyBorder="1" applyAlignment="1" applyProtection="1">
      <alignment horizontal="right" indent="3"/>
    </xf>
    <xf numFmtId="164" fontId="0" fillId="0" borderId="30" xfId="0" applyNumberFormat="1" applyBorder="1" applyAlignment="1" applyProtection="1">
      <alignment horizontal="right" indent="3"/>
    </xf>
    <xf numFmtId="3" fontId="0" fillId="0" borderId="31" xfId="0" applyNumberFormat="1" applyBorder="1" applyAlignment="1" applyProtection="1">
      <alignment horizontal="right" indent="3"/>
    </xf>
    <xf numFmtId="9" fontId="0" fillId="0" borderId="31" xfId="3" applyFont="1" applyBorder="1" applyAlignment="1" applyProtection="1">
      <alignment horizontal="right" indent="3"/>
    </xf>
    <xf numFmtId="3" fontId="0" fillId="0" borderId="30" xfId="0" applyNumberFormat="1" applyBorder="1" applyAlignment="1" applyProtection="1">
      <alignment horizontal="right" indent="3"/>
    </xf>
    <xf numFmtId="3" fontId="0" fillId="0" borderId="32" xfId="0" applyNumberFormat="1" applyBorder="1" applyAlignment="1" applyProtection="1">
      <alignment horizontal="right" indent="3"/>
    </xf>
    <xf numFmtId="166" fontId="0" fillId="0" borderId="31" xfId="3" applyNumberFormat="1" applyFont="1" applyBorder="1" applyAlignment="1" applyProtection="1">
      <alignment horizontal="right" indent="3"/>
    </xf>
    <xf numFmtId="166" fontId="0" fillId="0" borderId="32" xfId="3" applyNumberFormat="1" applyFont="1" applyBorder="1" applyAlignment="1" applyProtection="1">
      <alignment horizontal="right" indent="3"/>
    </xf>
    <xf numFmtId="0" fontId="0" fillId="0" borderId="30" xfId="0" applyBorder="1" applyAlignment="1" applyProtection="1">
      <alignment horizontal="right" indent="3"/>
    </xf>
    <xf numFmtId="0" fontId="0" fillId="0" borderId="31" xfId="0" applyBorder="1" applyAlignment="1" applyProtection="1">
      <alignment horizontal="right" indent="3"/>
    </xf>
    <xf numFmtId="0" fontId="0" fillId="0" borderId="32" xfId="0" applyBorder="1" applyAlignment="1" applyProtection="1">
      <alignment horizontal="right" indent="3"/>
    </xf>
    <xf numFmtId="167" fontId="0" fillId="0" borderId="30" xfId="0" applyNumberFormat="1" applyBorder="1" applyAlignment="1" applyProtection="1">
      <alignment horizontal="right" indent="3"/>
    </xf>
    <xf numFmtId="167" fontId="0" fillId="0" borderId="31" xfId="0" applyNumberFormat="1" applyBorder="1" applyAlignment="1" applyProtection="1">
      <alignment horizontal="right" indent="3"/>
    </xf>
    <xf numFmtId="0" fontId="16" fillId="0" borderId="0" xfId="0" quotePrefix="1" applyFont="1" applyAlignment="1" applyProtection="1">
      <alignment horizontal="right"/>
    </xf>
    <xf numFmtId="0" fontId="16" fillId="0" borderId="0" xfId="0" quotePrefix="1" applyFont="1" applyAlignment="1" applyProtection="1">
      <alignment horizontal="right" vertical="top"/>
    </xf>
    <xf numFmtId="0" fontId="40" fillId="4" borderId="0" xfId="0" applyFont="1" applyFill="1"/>
    <xf numFmtId="0" fontId="43" fillId="4" borderId="0" xfId="0" applyFont="1" applyFill="1"/>
    <xf numFmtId="0" fontId="47" fillId="0" borderId="34" xfId="4" applyBorder="1" applyAlignment="1">
      <alignment horizontal="left" vertical="top" wrapText="1"/>
    </xf>
    <xf numFmtId="0" fontId="47" fillId="0" borderId="40" xfId="4" applyBorder="1" applyAlignment="1">
      <alignment horizontal="left" vertical="top" wrapText="1"/>
    </xf>
    <xf numFmtId="0" fontId="47" fillId="0" borderId="37" xfId="4" applyBorder="1" applyAlignment="1">
      <alignment horizontal="left" vertical="top" wrapText="1"/>
    </xf>
    <xf numFmtId="0" fontId="47" fillId="0" borderId="43" xfId="4" applyBorder="1" applyAlignment="1">
      <alignment horizontal="left" vertical="top" wrapText="1"/>
    </xf>
    <xf numFmtId="0" fontId="1" fillId="0" borderId="0" xfId="1"/>
    <xf numFmtId="0" fontId="48" fillId="7" borderId="0" xfId="1" applyFont="1" applyFill="1"/>
    <xf numFmtId="0" fontId="37" fillId="4" borderId="6" xfId="0" applyFont="1" applyFill="1" applyBorder="1" applyAlignment="1">
      <alignment horizontal="left" vertical="center" textRotation="90"/>
    </xf>
    <xf numFmtId="0" fontId="37" fillId="4" borderId="0" xfId="0" applyFont="1" applyFill="1" applyBorder="1" applyAlignment="1">
      <alignment horizontal="left" vertical="center" textRotation="90"/>
    </xf>
    <xf numFmtId="0" fontId="37" fillId="4" borderId="0" xfId="0" applyFont="1" applyFill="1" applyBorder="1" applyAlignment="1">
      <alignment horizontal="center" vertical="center"/>
    </xf>
    <xf numFmtId="0" fontId="37" fillId="4" borderId="7" xfId="0" applyFont="1" applyFill="1" applyBorder="1" applyAlignment="1">
      <alignment horizontal="center" vertical="center"/>
    </xf>
    <xf numFmtId="0" fontId="32" fillId="4" borderId="0" xfId="0" applyFont="1" applyFill="1" applyBorder="1" applyAlignment="1">
      <alignment horizontal="right" vertical="center" wrapText="1"/>
    </xf>
    <xf numFmtId="9" fontId="24" fillId="4" borderId="0" xfId="0" applyNumberFormat="1" applyFont="1" applyFill="1" applyBorder="1" applyAlignment="1">
      <alignment horizontal="center" vertical="center"/>
    </xf>
    <xf numFmtId="0" fontId="24" fillId="4" borderId="0" xfId="0" applyFont="1" applyFill="1" applyBorder="1" applyAlignment="1">
      <alignment horizontal="center" vertical="center"/>
    </xf>
    <xf numFmtId="0" fontId="32" fillId="4" borderId="0" xfId="0" applyFont="1" applyFill="1" applyBorder="1" applyAlignment="1">
      <alignment horizontal="left" vertical="top"/>
    </xf>
    <xf numFmtId="0" fontId="32" fillId="4" borderId="9" xfId="0" applyFont="1" applyFill="1" applyBorder="1" applyAlignment="1">
      <alignment horizontal="left" vertical="top"/>
    </xf>
    <xf numFmtId="0" fontId="32" fillId="4" borderId="0" xfId="0" applyFont="1" applyFill="1" applyBorder="1" applyAlignment="1">
      <alignment horizontal="right" vertical="top" indent="1"/>
    </xf>
    <xf numFmtId="0" fontId="32" fillId="4" borderId="7" xfId="0" applyFont="1" applyFill="1" applyBorder="1" applyAlignment="1">
      <alignment horizontal="right" vertical="top" indent="1"/>
    </xf>
    <xf numFmtId="0" fontId="32" fillId="4" borderId="9" xfId="0" applyFont="1" applyFill="1" applyBorder="1" applyAlignment="1">
      <alignment horizontal="right" vertical="top" indent="1"/>
    </xf>
    <xf numFmtId="0" fontId="32" fillId="4" borderId="10" xfId="0" applyFont="1" applyFill="1" applyBorder="1" applyAlignment="1">
      <alignment horizontal="right" vertical="top" indent="1"/>
    </xf>
    <xf numFmtId="0" fontId="32" fillId="0" borderId="0" xfId="0" applyFont="1" applyAlignment="1">
      <alignment horizontal="left" vertical="top" indent="2"/>
    </xf>
    <xf numFmtId="0" fontId="32" fillId="0" borderId="9" xfId="0" applyFont="1" applyBorder="1" applyAlignment="1">
      <alignment horizontal="left" vertical="top" indent="2"/>
    </xf>
    <xf numFmtId="0" fontId="29" fillId="7" borderId="0" xfId="0" applyFont="1" applyFill="1" applyBorder="1" applyAlignment="1">
      <alignment horizontal="left" vertical="center" wrapText="1"/>
    </xf>
    <xf numFmtId="0" fontId="31" fillId="7" borderId="4" xfId="0" applyFont="1" applyFill="1" applyBorder="1" applyAlignment="1">
      <alignment horizontal="left" vertical="top" wrapText="1"/>
    </xf>
    <xf numFmtId="0" fontId="31" fillId="7" borderId="0" xfId="0" applyFont="1" applyFill="1" applyBorder="1" applyAlignment="1">
      <alignment horizontal="left" vertical="top" wrapText="1"/>
    </xf>
    <xf numFmtId="0" fontId="31" fillId="7" borderId="4" xfId="0" applyFont="1" applyFill="1" applyBorder="1" applyAlignment="1">
      <alignment horizontal="right" vertical="center" wrapText="1"/>
    </xf>
    <xf numFmtId="0" fontId="31" fillId="7" borderId="0" xfId="0" applyFont="1" applyFill="1" applyBorder="1" applyAlignment="1">
      <alignment horizontal="right" vertical="center" wrapText="1"/>
    </xf>
    <xf numFmtId="0" fontId="14" fillId="4" borderId="0" xfId="0" applyFont="1" applyFill="1" applyBorder="1" applyAlignment="1">
      <alignment horizontal="right"/>
    </xf>
    <xf numFmtId="0" fontId="14" fillId="4" borderId="0" xfId="0" applyFont="1" applyFill="1" applyBorder="1" applyAlignment="1">
      <alignment horizontal="right" wrapText="1"/>
    </xf>
    <xf numFmtId="164" fontId="34" fillId="4" borderId="0" xfId="0" applyNumberFormat="1" applyFont="1" applyFill="1" applyBorder="1" applyAlignment="1">
      <alignment horizontal="left" vertical="center" indent="1"/>
    </xf>
    <xf numFmtId="0" fontId="37" fillId="4" borderId="6" xfId="0" applyFont="1" applyFill="1" applyBorder="1" applyAlignment="1">
      <alignment horizontal="left" vertical="center" textRotation="90" wrapText="1"/>
    </xf>
    <xf numFmtId="0" fontId="37" fillId="4" borderId="0" xfId="0" applyFont="1" applyFill="1" applyBorder="1" applyAlignment="1">
      <alignment horizontal="left" vertical="center" textRotation="90" wrapText="1"/>
    </xf>
    <xf numFmtId="0" fontId="33" fillId="4" borderId="6" xfId="0" applyFont="1" applyFill="1" applyBorder="1" applyAlignment="1">
      <alignment horizontal="right" indent="1"/>
    </xf>
    <xf numFmtId="0" fontId="33" fillId="4" borderId="0" xfId="0" applyFont="1" applyFill="1" applyBorder="1" applyAlignment="1">
      <alignment horizontal="right" indent="1"/>
    </xf>
    <xf numFmtId="0" fontId="33" fillId="4" borderId="7" xfId="0" applyFont="1" applyFill="1" applyBorder="1" applyAlignment="1">
      <alignment horizontal="right" indent="1"/>
    </xf>
    <xf numFmtId="164" fontId="34" fillId="4" borderId="0" xfId="0" applyNumberFormat="1" applyFont="1" applyFill="1" applyBorder="1" applyAlignment="1">
      <alignment horizontal="left" vertical="center" indent="4"/>
    </xf>
    <xf numFmtId="164" fontId="34" fillId="4" borderId="7" xfId="0" applyNumberFormat="1" applyFont="1" applyFill="1" applyBorder="1" applyAlignment="1">
      <alignment horizontal="left" vertical="center" indent="4"/>
    </xf>
    <xf numFmtId="0" fontId="9" fillId="4" borderId="0" xfId="0" applyFont="1" applyFill="1" applyBorder="1" applyAlignment="1">
      <alignment horizontal="left" indent="1"/>
    </xf>
    <xf numFmtId="0" fontId="18" fillId="7" borderId="0" xfId="0" applyFont="1" applyFill="1" applyAlignment="1">
      <alignment horizontal="left" vertical="center" wrapText="1"/>
    </xf>
    <xf numFmtId="0" fontId="42" fillId="7" borderId="6" xfId="0" applyFont="1" applyFill="1" applyBorder="1" applyAlignment="1">
      <alignment horizontal="left" vertical="center" wrapText="1" indent="1"/>
    </xf>
    <xf numFmtId="0" fontId="42" fillId="7" borderId="0" xfId="0" applyFont="1" applyFill="1" applyBorder="1" applyAlignment="1">
      <alignment horizontal="left" vertical="center" wrapText="1" indent="1"/>
    </xf>
    <xf numFmtId="0" fontId="34" fillId="7" borderId="20" xfId="0" applyFont="1" applyFill="1" applyBorder="1" applyAlignment="1">
      <alignment horizontal="center" vertical="center" wrapText="1"/>
    </xf>
    <xf numFmtId="0" fontId="34" fillId="7" borderId="21" xfId="0" applyFont="1" applyFill="1" applyBorder="1" applyAlignment="1">
      <alignment horizontal="center" vertical="center" wrapText="1"/>
    </xf>
    <xf numFmtId="0" fontId="34" fillId="7" borderId="5" xfId="0" applyFont="1" applyFill="1" applyBorder="1" applyAlignment="1">
      <alignment horizontal="center" vertical="center" wrapText="1"/>
    </xf>
    <xf numFmtId="0" fontId="34" fillId="7" borderId="7" xfId="0" applyFont="1" applyFill="1" applyBorder="1" applyAlignment="1">
      <alignment horizontal="center" vertical="center" wrapText="1"/>
    </xf>
    <xf numFmtId="0" fontId="0" fillId="5" borderId="0" xfId="0" applyFill="1" applyBorder="1" applyAlignment="1">
      <alignment horizontal="center"/>
    </xf>
    <xf numFmtId="0" fontId="0" fillId="0" borderId="36" xfId="0" applyBorder="1" applyAlignment="1">
      <alignment horizontal="left" vertical="top" wrapText="1"/>
    </xf>
    <xf numFmtId="0" fontId="0" fillId="0" borderId="39" xfId="0" applyBorder="1" applyAlignment="1">
      <alignment horizontal="left" vertical="top" wrapText="1"/>
    </xf>
    <xf numFmtId="0" fontId="0" fillId="0" borderId="37" xfId="0" applyBorder="1" applyAlignment="1">
      <alignment horizontal="left" vertical="top" wrapText="1"/>
    </xf>
    <xf numFmtId="0" fontId="0" fillId="0" borderId="40" xfId="0" applyBorder="1" applyAlignment="1">
      <alignment horizontal="left" vertical="top" wrapText="1"/>
    </xf>
    <xf numFmtId="0" fontId="0" fillId="0" borderId="3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left" vertical="top" wrapText="1"/>
    </xf>
    <xf numFmtId="0" fontId="0" fillId="0" borderId="43" xfId="0" applyBorder="1" applyAlignment="1">
      <alignment horizontal="left" vertical="top" wrapText="1"/>
    </xf>
    <xf numFmtId="0" fontId="0" fillId="0" borderId="44" xfId="0" applyBorder="1" applyAlignment="1">
      <alignment horizontal="center" vertical="center" wrapText="1"/>
    </xf>
    <xf numFmtId="0" fontId="47" fillId="0" borderId="43" xfId="4" applyBorder="1" applyAlignment="1">
      <alignment horizontal="left" vertical="top" wrapText="1"/>
    </xf>
    <xf numFmtId="0" fontId="47" fillId="0" borderId="40" xfId="4" applyBorder="1" applyAlignment="1">
      <alignment horizontal="left" vertical="top" wrapText="1"/>
    </xf>
    <xf numFmtId="0" fontId="16" fillId="0" borderId="22" xfId="0" applyFont="1" applyBorder="1" applyAlignment="1" applyProtection="1">
      <alignment horizontal="center"/>
    </xf>
    <xf numFmtId="0" fontId="16" fillId="0" borderId="23" xfId="0" applyFont="1" applyBorder="1" applyAlignment="1" applyProtection="1">
      <alignment horizontal="center"/>
    </xf>
    <xf numFmtId="0" fontId="16" fillId="0" borderId="24" xfId="0" applyFont="1" applyBorder="1" applyAlignment="1" applyProtection="1">
      <alignment horizontal="center"/>
    </xf>
    <xf numFmtId="0" fontId="0" fillId="0" borderId="0" xfId="0" applyAlignment="1" applyProtection="1">
      <alignment horizontal="left" vertical="top" wrapText="1"/>
    </xf>
    <xf numFmtId="0" fontId="16" fillId="0" borderId="22" xfId="0" applyFont="1" applyBorder="1" applyAlignment="1">
      <alignment horizontal="center"/>
    </xf>
    <xf numFmtId="0" fontId="16" fillId="0" borderId="23" xfId="0" applyFont="1" applyBorder="1" applyAlignment="1">
      <alignment horizontal="center"/>
    </xf>
    <xf numFmtId="0" fontId="16" fillId="0" borderId="24" xfId="0" applyFont="1" applyBorder="1" applyAlignment="1">
      <alignment horizontal="center"/>
    </xf>
    <xf numFmtId="0" fontId="0" fillId="0" borderId="0" xfId="0" applyAlignment="1">
      <alignment horizontal="left" vertical="top" wrapText="1"/>
    </xf>
  </cellXfs>
  <cellStyles count="5">
    <cellStyle name="Hyperlink" xfId="4" builtinId="8"/>
    <cellStyle name="Normal" xfId="0" builtinId="0"/>
    <cellStyle name="Normal 2" xfId="1"/>
    <cellStyle name="Percent" xfId="3" builtinId="5"/>
    <cellStyle name="Percent 2" xfId="2"/>
  </cellStyles>
  <dxfs count="0"/>
  <tableStyles count="0" defaultTableStyle="TableStyleMedium2" defaultPivotStyle="PivotStyleLight16"/>
  <colors>
    <mruColors>
      <color rgb="FF104F75"/>
      <color rgb="FF669171"/>
      <color rgb="FFE87D1E"/>
      <color rgb="FFCEB536"/>
      <color rgb="FF99B5A0"/>
      <color rgb="FFED974B"/>
      <color rgb="FF7095AC"/>
      <color rgb="FFE7DA87"/>
      <color rgb="FFA89CBD"/>
      <color rgb="FF8A252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20" Type="http://schemas.openxmlformats.org/officeDocument/2006/relationships/customXml" Target="../customXml/item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customXml" Target="../customXml/item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10-EC42-11CE-9E0D-00AA006002F3}" ax:persistence="persistStreamInit" r:id="rId1"/>
</file>

<file path=xl/activeX/activeX10.xml><?xml version="1.0" encoding="utf-8"?>
<ax:ocx xmlns:ax="http://schemas.microsoft.com/office/2006/activeX" xmlns:r="http://schemas.openxmlformats.org/officeDocument/2006/relationships" ax:classid="{8BD21D10-EC42-11CE-9E0D-00AA006002F3}" ax:persistence="persistStreamInit" r:id="rId1"/>
</file>

<file path=xl/activeX/activeX11.xml><?xml version="1.0" encoding="utf-8"?>
<ax:ocx xmlns:ax="http://schemas.microsoft.com/office/2006/activeX" xmlns:r="http://schemas.openxmlformats.org/officeDocument/2006/relationships" ax:classid="{8BD21D10-EC42-11CE-9E0D-00AA006002F3}" ax:persistence="persistStreamInit" r:id="rId1"/>
</file>

<file path=xl/activeX/activeX12.xml><?xml version="1.0" encoding="utf-8"?>
<ax:ocx xmlns:ax="http://schemas.microsoft.com/office/2006/activeX" xmlns:r="http://schemas.openxmlformats.org/officeDocument/2006/relationships" ax:classid="{8BD21D10-EC42-11CE-9E0D-00AA006002F3}" ax:persistence="persistStreamInit" r:id="rId1"/>
</file>

<file path=xl/activeX/activeX13.xml><?xml version="1.0" encoding="utf-8"?>
<ax:ocx xmlns:ax="http://schemas.microsoft.com/office/2006/activeX" xmlns:r="http://schemas.openxmlformats.org/officeDocument/2006/relationships" ax:classid="{8BD21D10-EC42-11CE-9E0D-00AA006002F3}" ax:persistence="persistStreamInit" r:id="rId1"/>
</file>

<file path=xl/activeX/activeX14.xml><?xml version="1.0" encoding="utf-8"?>
<ax:ocx xmlns:ax="http://schemas.microsoft.com/office/2006/activeX" xmlns:r="http://schemas.openxmlformats.org/officeDocument/2006/relationships" ax:classid="{8BD21D10-EC42-11CE-9E0D-00AA006002F3}" ax:persistence="persistStreamInit" r:id="rId1"/>
</file>

<file path=xl/activeX/activeX15.xml><?xml version="1.0" encoding="utf-8"?>
<ax:ocx xmlns:ax="http://schemas.microsoft.com/office/2006/activeX" xmlns:r="http://schemas.openxmlformats.org/officeDocument/2006/relationships" ax:classid="{8BD21D10-EC42-11CE-9E0D-00AA006002F3}" ax:persistence="persistStreamInit" r:id="rId1"/>
</file>

<file path=xl/activeX/activeX16.xml><?xml version="1.0" encoding="utf-8"?>
<ax:ocx xmlns:ax="http://schemas.microsoft.com/office/2006/activeX" xmlns:r="http://schemas.openxmlformats.org/officeDocument/2006/relationships" ax:classid="{8BD21D30-EC42-11CE-9E0D-00AA006002F3}" ax:persistence="persistStreamInit" r:id="rId1"/>
</file>

<file path=xl/activeX/activeX17.xml><?xml version="1.0" encoding="utf-8"?>
<ax:ocx xmlns:ax="http://schemas.microsoft.com/office/2006/activeX" xmlns:r="http://schemas.openxmlformats.org/officeDocument/2006/relationships" ax:classid="{8BD21D30-EC42-11CE-9E0D-00AA006002F3}" ax:persistence="persistStreamInit" r:id="rId1"/>
</file>

<file path=xl/activeX/activeX18.xml><?xml version="1.0" encoding="utf-8"?>
<ax:ocx xmlns:ax="http://schemas.microsoft.com/office/2006/activeX" xmlns:r="http://schemas.openxmlformats.org/officeDocument/2006/relationships" ax:classid="{8BD21D10-EC42-11CE-9E0D-00AA006002F3}" ax:persistence="persistStreamInit" r:id="rId1"/>
</file>

<file path=xl/activeX/activeX19.xml><?xml version="1.0" encoding="utf-8"?>
<ax:ocx xmlns:ax="http://schemas.microsoft.com/office/2006/activeX" xmlns:r="http://schemas.openxmlformats.org/officeDocument/2006/relationships" ax:classid="{8BD21D10-EC42-11CE-9E0D-00AA006002F3}" ax:persistence="persistStreamInit" r:id="rId1"/>
</file>

<file path=xl/activeX/activeX2.xml><?xml version="1.0" encoding="utf-8"?>
<ax:ocx xmlns:ax="http://schemas.microsoft.com/office/2006/activeX" xmlns:r="http://schemas.openxmlformats.org/officeDocument/2006/relationships" ax:classid="{8BD21D10-EC42-11CE-9E0D-00AA006002F3}" ax:persistence="persistStreamInit" r:id="rId1"/>
</file>

<file path=xl/activeX/activeX20.xml><?xml version="1.0" encoding="utf-8"?>
<ax:ocx xmlns:ax="http://schemas.microsoft.com/office/2006/activeX" xmlns:r="http://schemas.openxmlformats.org/officeDocument/2006/relationships" ax:classid="{8BD21D10-EC42-11CE-9E0D-00AA006002F3}" ax:persistence="persistStreamInit" r:id="rId1"/>
</file>

<file path=xl/activeX/activeX21.xml><?xml version="1.0" encoding="utf-8"?>
<ax:ocx xmlns:ax="http://schemas.microsoft.com/office/2006/activeX" xmlns:r="http://schemas.openxmlformats.org/officeDocument/2006/relationships" ax:classid="{8BD21D10-EC42-11CE-9E0D-00AA006002F3}" ax:persistence="persistStreamInit" r:id="rId1"/>
</file>

<file path=xl/activeX/activeX22.xml><?xml version="1.0" encoding="utf-8"?>
<ax:ocx xmlns:ax="http://schemas.microsoft.com/office/2006/activeX" xmlns:r="http://schemas.openxmlformats.org/officeDocument/2006/relationships" ax:classid="{8BD21D10-EC42-11CE-9E0D-00AA006002F3}" ax:persistence="persistStreamInit" r:id="rId1"/>
</file>

<file path=xl/activeX/activeX23.xml><?xml version="1.0" encoding="utf-8"?>
<ax:ocx xmlns:ax="http://schemas.microsoft.com/office/2006/activeX" xmlns:r="http://schemas.openxmlformats.org/officeDocument/2006/relationships" ax:classid="{8BD21D30-EC42-11CE-9E0D-00AA006002F3}" ax:persistence="persistStreamInit" r:id="rId1"/>
</file>

<file path=xl/activeX/activeX24.xml><?xml version="1.0" encoding="utf-8"?>
<ax:ocx xmlns:ax="http://schemas.microsoft.com/office/2006/activeX" xmlns:r="http://schemas.openxmlformats.org/officeDocument/2006/relationships" ax:classid="{8BD21D10-EC42-11CE-9E0D-00AA006002F3}" ax:persistence="persistStreamInit" r:id="rId1"/>
</file>

<file path=xl/activeX/activeX25.xml><?xml version="1.0" encoding="utf-8"?>
<ax:ocx xmlns:ax="http://schemas.microsoft.com/office/2006/activeX" xmlns:r="http://schemas.openxmlformats.org/officeDocument/2006/relationships" ax:classid="{8BD21D10-EC42-11CE-9E0D-00AA006002F3}" ax:persistence="persistStreamInit" r:id="rId1"/>
</file>

<file path=xl/activeX/activeX26.xml><?xml version="1.0" encoding="utf-8"?>
<ax:ocx xmlns:ax="http://schemas.microsoft.com/office/2006/activeX" xmlns:r="http://schemas.openxmlformats.org/officeDocument/2006/relationships" ax:classid="{8BD21D10-EC42-11CE-9E0D-00AA006002F3}" ax:persistence="persistStreamInit" r:id="rId1"/>
</file>

<file path=xl/activeX/activeX27.xml><?xml version="1.0" encoding="utf-8"?>
<ax:ocx xmlns:ax="http://schemas.microsoft.com/office/2006/activeX" xmlns:r="http://schemas.openxmlformats.org/officeDocument/2006/relationships" ax:classid="{8BD21D10-EC42-11CE-9E0D-00AA006002F3}" ax:persistence="persistStreamInit" r:id="rId1"/>
</file>

<file path=xl/activeX/activeX28.xml><?xml version="1.0" encoding="utf-8"?>
<ax:ocx xmlns:ax="http://schemas.microsoft.com/office/2006/activeX" xmlns:r="http://schemas.openxmlformats.org/officeDocument/2006/relationships" ax:classid="{8BD21D10-EC42-11CE-9E0D-00AA006002F3}" ax:persistence="persistStreamInit" r:id="rId1"/>
</file>

<file path=xl/activeX/activeX29.xml><?xml version="1.0" encoding="utf-8"?>
<ax:ocx xmlns:ax="http://schemas.microsoft.com/office/2006/activeX" xmlns:r="http://schemas.openxmlformats.org/officeDocument/2006/relationships" ax:classid="{8BD21D10-EC42-11CE-9E0D-00AA006002F3}" ax:persistence="persistStreamInit" r:id="rId1"/>
</file>

<file path=xl/activeX/activeX3.xml><?xml version="1.0" encoding="utf-8"?>
<ax:ocx xmlns:ax="http://schemas.microsoft.com/office/2006/activeX" xmlns:r="http://schemas.openxmlformats.org/officeDocument/2006/relationships" ax:classid="{8BD21D10-EC42-11CE-9E0D-00AA006002F3}" ax:persistence="persistStreamInit" r:id="rId1"/>
</file>

<file path=xl/activeX/activeX30.xml><?xml version="1.0" encoding="utf-8"?>
<ax:ocx xmlns:ax="http://schemas.microsoft.com/office/2006/activeX" xmlns:r="http://schemas.openxmlformats.org/officeDocument/2006/relationships" ax:classid="{8BD21D10-EC42-11CE-9E0D-00AA006002F3}" ax:persistence="persistStreamInit" r:id="rId1"/>
</file>

<file path=xl/activeX/activeX31.xml><?xml version="1.0" encoding="utf-8"?>
<ax:ocx xmlns:ax="http://schemas.microsoft.com/office/2006/activeX" xmlns:r="http://schemas.openxmlformats.org/officeDocument/2006/relationships" ax:classid="{8BD21D10-EC42-11CE-9E0D-00AA006002F3}" ax:persistence="persistStreamInit" r:id="rId1"/>
</file>

<file path=xl/activeX/activeX32.xml><?xml version="1.0" encoding="utf-8"?>
<ax:ocx xmlns:ax="http://schemas.microsoft.com/office/2006/activeX" xmlns:r="http://schemas.openxmlformats.org/officeDocument/2006/relationships" ax:classid="{8BD21D10-EC42-11CE-9E0D-00AA006002F3}" ax:persistence="persistStreamInit" r:id="rId1"/>
</file>

<file path=xl/activeX/activeX33.xml><?xml version="1.0" encoding="utf-8"?>
<ax:ocx xmlns:ax="http://schemas.microsoft.com/office/2006/activeX" xmlns:r="http://schemas.openxmlformats.org/officeDocument/2006/relationships" ax:classid="{8BD21D10-EC42-11CE-9E0D-00AA006002F3}" ax:persistence="persistStreamInit" r:id="rId1"/>
</file>

<file path=xl/activeX/activeX34.xml><?xml version="1.0" encoding="utf-8"?>
<ax:ocx xmlns:ax="http://schemas.microsoft.com/office/2006/activeX" xmlns:r="http://schemas.openxmlformats.org/officeDocument/2006/relationships" ax:classid="{8BD21D10-EC42-11CE-9E0D-00AA006002F3}" ax:persistence="persistStreamInit" r:id="rId1"/>
</file>

<file path=xl/activeX/activeX35.xml><?xml version="1.0" encoding="utf-8"?>
<ax:ocx xmlns:ax="http://schemas.microsoft.com/office/2006/activeX" xmlns:r="http://schemas.openxmlformats.org/officeDocument/2006/relationships" ax:classid="{8BD21D10-EC42-11CE-9E0D-00AA006002F3}" ax:persistence="persistStreamInit" r:id="rId1"/>
</file>

<file path=xl/activeX/activeX36.xml><?xml version="1.0" encoding="utf-8"?>
<ax:ocx xmlns:ax="http://schemas.microsoft.com/office/2006/activeX" xmlns:r="http://schemas.openxmlformats.org/officeDocument/2006/relationships" ax:classid="{8BD21D10-EC42-11CE-9E0D-00AA006002F3}" ax:persistence="persistStreamInit" r:id="rId1"/>
</file>

<file path=xl/activeX/activeX37.xml><?xml version="1.0" encoding="utf-8"?>
<ax:ocx xmlns:ax="http://schemas.microsoft.com/office/2006/activeX" xmlns:r="http://schemas.openxmlformats.org/officeDocument/2006/relationships" ax:classid="{8BD21D10-EC42-11CE-9E0D-00AA006002F3}" ax:persistence="persistStreamInit" r:id="rId1"/>
</file>

<file path=xl/activeX/activeX38.xml><?xml version="1.0" encoding="utf-8"?>
<ax:ocx xmlns:ax="http://schemas.microsoft.com/office/2006/activeX" xmlns:r="http://schemas.openxmlformats.org/officeDocument/2006/relationships" ax:classid="{8BD21D10-EC42-11CE-9E0D-00AA006002F3}" ax:persistence="persistStreamInit" r:id="rId1"/>
</file>

<file path=xl/activeX/activeX39.xml><?xml version="1.0" encoding="utf-8"?>
<ax:ocx xmlns:ax="http://schemas.microsoft.com/office/2006/activeX" xmlns:r="http://schemas.openxmlformats.org/officeDocument/2006/relationships" ax:classid="{8BD21D10-EC42-11CE-9E0D-00AA006002F3}" ax:persistence="persistStreamInit" r:id="rId1"/>
</file>

<file path=xl/activeX/activeX4.xml><?xml version="1.0" encoding="utf-8"?>
<ax:ocx xmlns:ax="http://schemas.microsoft.com/office/2006/activeX" xmlns:r="http://schemas.openxmlformats.org/officeDocument/2006/relationships" ax:classid="{8BD21D10-EC42-11CE-9E0D-00AA006002F3}" ax:persistence="persistStreamInit" r:id="rId1"/>
</file>

<file path=xl/activeX/activeX40.xml><?xml version="1.0" encoding="utf-8"?>
<ax:ocx xmlns:ax="http://schemas.microsoft.com/office/2006/activeX" xmlns:r="http://schemas.openxmlformats.org/officeDocument/2006/relationships" ax:classid="{8BD21D10-EC42-11CE-9E0D-00AA006002F3}" ax:persistence="persistStreamInit" r:id="rId1"/>
</file>

<file path=xl/activeX/activeX41.xml><?xml version="1.0" encoding="utf-8"?>
<ax:ocx xmlns:ax="http://schemas.microsoft.com/office/2006/activeX" xmlns:r="http://schemas.openxmlformats.org/officeDocument/2006/relationships" ax:classid="{8BD21D10-EC42-11CE-9E0D-00AA006002F3}" ax:persistence="persistStreamInit" r:id="rId1"/>
</file>

<file path=xl/activeX/activeX42.xml><?xml version="1.0" encoding="utf-8"?>
<ax:ocx xmlns:ax="http://schemas.microsoft.com/office/2006/activeX" xmlns:r="http://schemas.openxmlformats.org/officeDocument/2006/relationships" ax:classid="{8BD21D10-EC42-11CE-9E0D-00AA006002F3}" ax:persistence="persistStreamInit" r:id="rId1"/>
</file>

<file path=xl/activeX/activeX43.xml><?xml version="1.0" encoding="utf-8"?>
<ax:ocx xmlns:ax="http://schemas.microsoft.com/office/2006/activeX" xmlns:r="http://schemas.openxmlformats.org/officeDocument/2006/relationships" ax:classid="{8BD21D10-EC42-11CE-9E0D-00AA006002F3}" ax:persistence="persistStreamInit" r:id="rId1"/>
</file>

<file path=xl/activeX/activeX44.xml><?xml version="1.0" encoding="utf-8"?>
<ax:ocx xmlns:ax="http://schemas.microsoft.com/office/2006/activeX" xmlns:r="http://schemas.openxmlformats.org/officeDocument/2006/relationships" ax:classid="{8BD21D10-EC42-11CE-9E0D-00AA006002F3}" ax:persistence="persistStreamInit" r:id="rId1"/>
</file>

<file path=xl/activeX/activeX45.xml><?xml version="1.0" encoding="utf-8"?>
<ax:ocx xmlns:ax="http://schemas.microsoft.com/office/2006/activeX" xmlns:r="http://schemas.openxmlformats.org/officeDocument/2006/relationships" ax:classid="{8BD21D10-EC42-11CE-9E0D-00AA006002F3}" ax:persistence="persistStreamInit" r:id="rId1"/>
</file>

<file path=xl/activeX/activeX46.xml><?xml version="1.0" encoding="utf-8"?>
<ax:ocx xmlns:ax="http://schemas.microsoft.com/office/2006/activeX" xmlns:r="http://schemas.openxmlformats.org/officeDocument/2006/relationships" ax:classid="{8BD21D10-EC42-11CE-9E0D-00AA006002F3}" ax:persistence="persistStreamInit" r:id="rId1"/>
</file>

<file path=xl/activeX/activeX5.xml><?xml version="1.0" encoding="utf-8"?>
<ax:ocx xmlns:ax="http://schemas.microsoft.com/office/2006/activeX" xmlns:r="http://schemas.openxmlformats.org/officeDocument/2006/relationships" ax:classid="{8BD21D10-EC42-11CE-9E0D-00AA006002F3}" ax:persistence="persistStreamInit" r:id="rId1"/>
</file>

<file path=xl/activeX/activeX6.xml><?xml version="1.0" encoding="utf-8"?>
<ax:ocx xmlns:ax="http://schemas.microsoft.com/office/2006/activeX" xmlns:r="http://schemas.openxmlformats.org/officeDocument/2006/relationships" ax:classid="{8BD21D10-EC42-11CE-9E0D-00AA006002F3}" ax:persistence="persistStreamInit" r:id="rId1"/>
</file>

<file path=xl/activeX/activeX7.xml><?xml version="1.0" encoding="utf-8"?>
<ax:ocx xmlns:ax="http://schemas.microsoft.com/office/2006/activeX" xmlns:r="http://schemas.openxmlformats.org/officeDocument/2006/relationships" ax:classid="{8BD21D10-EC42-11CE-9E0D-00AA006002F3}" ax:persistence="persistStreamInit" r:id="rId1"/>
</file>

<file path=xl/activeX/activeX8.xml><?xml version="1.0" encoding="utf-8"?>
<ax:ocx xmlns:ax="http://schemas.microsoft.com/office/2006/activeX" xmlns:r="http://schemas.openxmlformats.org/officeDocument/2006/relationships" ax:classid="{8BD21D10-EC42-11CE-9E0D-00AA006002F3}" ax:persistence="persistStreamInit" r:id="rId1"/>
</file>

<file path=xl/activeX/activeX9.xml><?xml version="1.0" encoding="utf-8"?>
<ax:ocx xmlns:ax="http://schemas.microsoft.com/office/2006/activeX" xmlns:r="http://schemas.openxmlformats.org/officeDocument/2006/relationships" ax:classid="{8BD21D10-EC42-11CE-9E0D-00AA006002F3}" ax:persistence="persistStreamInit" r:id="rId1"/>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275696093815192"/>
          <c:y val="7.8965674695081242E-2"/>
          <c:w val="0.7157762139945788"/>
          <c:h val="0.95125641903457725"/>
        </c:manualLayout>
      </c:layout>
      <c:doughnutChart>
        <c:varyColors val="0"/>
        <c:ser>
          <c:idx val="0"/>
          <c:order val="0"/>
          <c:spPr>
            <a:ln>
              <a:noFill/>
            </a:ln>
          </c:spPr>
          <c:dPt>
            <c:idx val="0"/>
            <c:bubble3D val="0"/>
            <c:spPr>
              <a:noFill/>
              <a:ln>
                <a:noFill/>
              </a:ln>
            </c:spPr>
          </c:dPt>
          <c:dPt>
            <c:idx val="1"/>
            <c:bubble3D val="0"/>
            <c:spPr>
              <a:solidFill>
                <a:schemeClr val="bg1">
                  <a:lumMod val="85000"/>
                </a:schemeClr>
              </a:solidFill>
              <a:ln w="6350">
                <a:noFill/>
              </a:ln>
            </c:spPr>
          </c:dPt>
          <c:dPt>
            <c:idx val="2"/>
            <c:bubble3D val="0"/>
            <c:spPr>
              <a:solidFill>
                <a:srgbClr val="104F75"/>
              </a:solidFill>
              <a:ln w="6350">
                <a:noFill/>
              </a:ln>
            </c:spPr>
          </c:dPt>
          <c:dPt>
            <c:idx val="3"/>
            <c:bubble3D val="0"/>
            <c:spPr>
              <a:solidFill>
                <a:schemeClr val="bg1">
                  <a:lumMod val="95000"/>
                </a:schemeClr>
              </a:solidFill>
              <a:ln>
                <a:noFill/>
              </a:ln>
            </c:spPr>
          </c:dPt>
          <c:val>
            <c:numRef>
              <c:f>Calculations!$V$10:$X$10</c:f>
              <c:numCache>
                <c:formatCode>General</c:formatCode>
                <c:ptCount val="3"/>
                <c:pt idx="0">
                  <c:v>0.75</c:v>
                </c:pt>
                <c:pt idx="1">
                  <c:v>0.25</c:v>
                </c:pt>
                <c:pt idx="2">
                  <c:v>0</c:v>
                </c:pt>
              </c:numCache>
            </c:numRef>
          </c:val>
        </c:ser>
        <c:dLbls>
          <c:showLegendKey val="0"/>
          <c:showVal val="0"/>
          <c:showCatName val="0"/>
          <c:showSerName val="0"/>
          <c:showPercent val="0"/>
          <c:showBubbleSize val="0"/>
          <c:showLeaderLines val="1"/>
        </c:dLbls>
        <c:firstSliceAng val="0"/>
        <c:holeSize val="70"/>
      </c:doughnutChart>
    </c:plotArea>
    <c:plotVisOnly val="1"/>
    <c:dispBlanksAs val="gap"/>
    <c:showDLblsOverMax val="0"/>
  </c:chart>
  <c:spPr>
    <a:noFill/>
    <a:ln>
      <a:no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2016744434723437"/>
          <c:y val="0.10357815442561205"/>
          <c:w val="0.59052991639933894"/>
          <c:h val="0.72064667763987134"/>
        </c:manualLayout>
      </c:layout>
      <c:pieChart>
        <c:varyColors val="1"/>
        <c:ser>
          <c:idx val="0"/>
          <c:order val="0"/>
          <c:spPr>
            <a:ln w="3175">
              <a:solidFill>
                <a:schemeClr val="bg1">
                  <a:lumMod val="95000"/>
                </a:schemeClr>
              </a:solidFill>
            </a:ln>
          </c:spPr>
          <c:dPt>
            <c:idx val="0"/>
            <c:bubble3D val="0"/>
            <c:spPr>
              <a:solidFill>
                <a:srgbClr val="669171"/>
              </a:solidFill>
              <a:ln w="3175">
                <a:solidFill>
                  <a:schemeClr val="bg1">
                    <a:lumMod val="95000"/>
                  </a:schemeClr>
                </a:solidFill>
              </a:ln>
            </c:spPr>
          </c:dPt>
          <c:dPt>
            <c:idx val="1"/>
            <c:bubble3D val="0"/>
            <c:spPr>
              <a:solidFill>
                <a:srgbClr val="CEB536"/>
              </a:solidFill>
              <a:ln w="3175">
                <a:solidFill>
                  <a:schemeClr val="bg1">
                    <a:lumMod val="95000"/>
                  </a:schemeClr>
                </a:solidFill>
              </a:ln>
            </c:spPr>
          </c:dPt>
          <c:dPt>
            <c:idx val="2"/>
            <c:bubble3D val="0"/>
            <c:spPr>
              <a:solidFill>
                <a:srgbClr val="E87D1E"/>
              </a:solidFill>
              <a:ln w="3175">
                <a:solidFill>
                  <a:schemeClr val="bg1">
                    <a:lumMod val="95000"/>
                  </a:schemeClr>
                </a:solidFill>
              </a:ln>
            </c:spPr>
          </c:dPt>
          <c:dPt>
            <c:idx val="3"/>
            <c:bubble3D val="0"/>
            <c:spPr>
              <a:solidFill>
                <a:schemeClr val="bg1">
                  <a:lumMod val="95000"/>
                </a:schemeClr>
              </a:solidFill>
              <a:ln w="3175">
                <a:solidFill>
                  <a:schemeClr val="bg1">
                    <a:lumMod val="95000"/>
                  </a:schemeClr>
                </a:solidFill>
              </a:ln>
            </c:spPr>
          </c:dPt>
          <c:cat>
            <c:strRef>
              <c:f>Calculations!$K$82:$N$82</c:f>
              <c:strCache>
                <c:ptCount val="3"/>
                <c:pt idx="0">
                  <c:v>1st</c:v>
                </c:pt>
                <c:pt idx="1">
                  <c:v>2nd</c:v>
                </c:pt>
                <c:pt idx="2">
                  <c:v>3rd</c:v>
                </c:pt>
              </c:strCache>
            </c:strRef>
          </c:cat>
          <c:val>
            <c:numRef>
              <c:f>Calculations!$K$83:$N$83</c:f>
              <c:numCache>
                <c:formatCode>General</c:formatCode>
                <c:ptCount val="4"/>
                <c:pt idx="0">
                  <c:v>90.7</c:v>
                </c:pt>
                <c:pt idx="1">
                  <c:v>4.8</c:v>
                </c:pt>
                <c:pt idx="2">
                  <c:v>2.1</c:v>
                </c:pt>
                <c:pt idx="3">
                  <c:v>2.3999999999999972</c:v>
                </c:pt>
              </c:numCache>
            </c:numRef>
          </c:val>
        </c:ser>
        <c:dLbls>
          <c:showLegendKey val="0"/>
          <c:showVal val="0"/>
          <c:showCatName val="0"/>
          <c:showSerName val="0"/>
          <c:showPercent val="0"/>
          <c:showBubbleSize val="0"/>
          <c:showLeaderLines val="1"/>
        </c:dLbls>
        <c:firstSliceAng val="0"/>
      </c:pieChart>
    </c:plotArea>
    <c:legend>
      <c:legendPos val="b"/>
      <c:layout>
        <c:manualLayout>
          <c:xMode val="edge"/>
          <c:yMode val="edge"/>
          <c:x val="0.13392857142857142"/>
          <c:y val="0.80594976013668918"/>
          <c:w val="0.68005952380952384"/>
          <c:h val="0.19405023986331077"/>
        </c:manualLayout>
      </c:layout>
      <c:overlay val="0"/>
      <c:txPr>
        <a:bodyPr/>
        <a:lstStyle/>
        <a:p>
          <a:pPr>
            <a:defRPr sz="800">
              <a:solidFill>
                <a:srgbClr val="104F75"/>
              </a:solidFill>
            </a:defRPr>
          </a:pPr>
          <a:endParaRPr lang="en-US"/>
        </a:p>
      </c:txPr>
    </c:legend>
    <c:plotVisOnly val="1"/>
    <c:dispBlanksAs val="gap"/>
    <c:showDLblsOverMax val="0"/>
  </c:chart>
  <c:spPr>
    <a:noFill/>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275696093815192"/>
          <c:y val="7.8965674695081242E-2"/>
          <c:w val="0.7157762139945788"/>
          <c:h val="0.95125641903457725"/>
        </c:manualLayout>
      </c:layout>
      <c:doughnutChart>
        <c:varyColors val="0"/>
        <c:ser>
          <c:idx val="0"/>
          <c:order val="0"/>
          <c:dPt>
            <c:idx val="0"/>
            <c:bubble3D val="0"/>
            <c:spPr>
              <a:solidFill>
                <a:srgbClr val="104F75"/>
              </a:solidFill>
              <a:ln w="6350">
                <a:noFill/>
              </a:ln>
            </c:spPr>
          </c:dPt>
          <c:dPt>
            <c:idx val="1"/>
            <c:bubble3D val="0"/>
            <c:spPr>
              <a:solidFill>
                <a:schemeClr val="bg1">
                  <a:lumMod val="85000"/>
                </a:schemeClr>
              </a:solidFill>
              <a:ln w="6350">
                <a:noFill/>
              </a:ln>
            </c:spPr>
          </c:dPt>
          <c:dPt>
            <c:idx val="2"/>
            <c:bubble3D val="0"/>
            <c:spPr>
              <a:noFill/>
            </c:spPr>
          </c:dPt>
          <c:dPt>
            <c:idx val="3"/>
            <c:bubble3D val="0"/>
            <c:spPr>
              <a:solidFill>
                <a:schemeClr val="bg1">
                  <a:lumMod val="95000"/>
                </a:schemeClr>
              </a:solidFill>
            </c:spPr>
          </c:dPt>
          <c:val>
            <c:numRef>
              <c:f>Calculations!$S$10:$U$10</c:f>
              <c:numCache>
                <c:formatCode>General</c:formatCode>
                <c:ptCount val="3"/>
                <c:pt idx="0">
                  <c:v>0.1391195840897306</c:v>
                </c:pt>
                <c:pt idx="1">
                  <c:v>0.1108804159102694</c:v>
                </c:pt>
                <c:pt idx="2">
                  <c:v>0.75</c:v>
                </c:pt>
              </c:numCache>
            </c:numRef>
          </c:val>
        </c:ser>
        <c:dLbls>
          <c:showLegendKey val="0"/>
          <c:showVal val="0"/>
          <c:showCatName val="0"/>
          <c:showSerName val="0"/>
          <c:showPercent val="0"/>
          <c:showBubbleSize val="0"/>
          <c:showLeaderLines val="1"/>
        </c:dLbls>
        <c:firstSliceAng val="0"/>
        <c:holeSize val="70"/>
      </c:doughnutChart>
    </c:plotArea>
    <c:plotVisOnly val="1"/>
    <c:dispBlanksAs val="gap"/>
    <c:showDLblsOverMax val="0"/>
  </c:chart>
  <c:spPr>
    <a:noFill/>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6122258834718588E-2"/>
          <c:y val="0.10646554537040186"/>
          <c:w val="0.92212708705529456"/>
          <c:h val="0.75497050921581266"/>
        </c:manualLayout>
      </c:layout>
      <c:barChart>
        <c:barDir val="bar"/>
        <c:grouping val="stacked"/>
        <c:varyColors val="0"/>
        <c:ser>
          <c:idx val="0"/>
          <c:order val="0"/>
          <c:spPr>
            <a:solidFill>
              <a:srgbClr val="669171"/>
            </a:solidFill>
            <a:ln>
              <a:noFill/>
            </a:ln>
          </c:spPr>
          <c:invertIfNegative val="0"/>
          <c:dLbls>
            <c:dLbl>
              <c:idx val="0"/>
              <c:layout/>
              <c:numFmt formatCode="#,##0;;&quot;&quot;\ " sourceLinked="0"/>
              <c:spPr>
                <a:noFill/>
                <a:ln>
                  <a:noFill/>
                </a:ln>
              </c:spPr>
              <c:txPr>
                <a:bodyPr/>
                <a:lstStyle/>
                <a:p>
                  <a:pPr>
                    <a:defRPr sz="1400" b="1">
                      <a:solidFill>
                        <a:sysClr val="windowText" lastClr="000000"/>
                      </a:solidFill>
                      <a:latin typeface="+mn-lt"/>
                    </a:defRPr>
                  </a:pPr>
                  <a:endParaRPr lang="en-US"/>
                </a:p>
              </c:txPr>
              <c:dLblPos val="ctr"/>
              <c:showLegendKey val="0"/>
              <c:showVal val="1"/>
              <c:showCatName val="0"/>
              <c:showSerName val="0"/>
              <c:showPercent val="0"/>
              <c:showBubbleSize val="0"/>
            </c:dLbl>
            <c:numFmt formatCode="#,##0;;&quot;&quot;\ " sourceLinked="0"/>
            <c:spPr>
              <a:noFill/>
              <a:ln>
                <a:noFill/>
              </a:ln>
            </c:spPr>
            <c:txPr>
              <a:bodyPr/>
              <a:lstStyle/>
              <a:p>
                <a:pPr>
                  <a:defRPr sz="1400" b="1">
                    <a:solidFill>
                      <a:schemeClr val="bg1"/>
                    </a:solidFill>
                    <a:latin typeface="+mn-lt"/>
                  </a:defRPr>
                </a:pPr>
                <a:endParaRPr lang="en-US"/>
              </a:p>
            </c:txPr>
            <c:showLegendKey val="0"/>
            <c:showVal val="1"/>
            <c:showCatName val="0"/>
            <c:showSerName val="0"/>
            <c:showPercent val="0"/>
            <c:showBubbleSize val="0"/>
            <c:showLeaderLines val="0"/>
          </c:dLbls>
          <c:cat>
            <c:strRef>
              <c:f>Calculations!$E$2</c:f>
              <c:strCache>
                <c:ptCount val="1"/>
                <c:pt idx="0">
                  <c:v>Barking and Dagenham</c:v>
                </c:pt>
              </c:strCache>
            </c:strRef>
          </c:cat>
          <c:val>
            <c:numRef>
              <c:f>Calculations!$K$4</c:f>
              <c:numCache>
                <c:formatCode>General</c:formatCode>
                <c:ptCount val="1"/>
                <c:pt idx="0">
                  <c:v>8084</c:v>
                </c:pt>
              </c:numCache>
            </c:numRef>
          </c:val>
        </c:ser>
        <c:ser>
          <c:idx val="1"/>
          <c:order val="1"/>
          <c:spPr>
            <a:solidFill>
              <a:srgbClr val="99B5A0"/>
            </a:solidFill>
          </c:spPr>
          <c:invertIfNegative val="0"/>
          <c:dLbls>
            <c:dLbl>
              <c:idx val="0"/>
              <c:layout/>
              <c:numFmt formatCode="#,##0;;&quot;&quot;\ " sourceLinked="0"/>
              <c:spPr>
                <a:noFill/>
                <a:ln>
                  <a:noFill/>
                </a:ln>
              </c:spPr>
              <c:txPr>
                <a:bodyPr/>
                <a:lstStyle/>
                <a:p>
                  <a:pPr>
                    <a:defRPr sz="1400" b="1">
                      <a:solidFill>
                        <a:sysClr val="windowText" lastClr="000000"/>
                      </a:solidFill>
                      <a:latin typeface="+mn-lt"/>
                    </a:defRPr>
                  </a:pPr>
                  <a:endParaRPr lang="en-US"/>
                </a:p>
              </c:txPr>
              <c:dLblPos val="ctr"/>
              <c:showLegendKey val="0"/>
              <c:showVal val="1"/>
              <c:showCatName val="0"/>
              <c:showSerName val="0"/>
              <c:showPercent val="0"/>
              <c:showBubbleSize val="0"/>
            </c:dLbl>
            <c:numFmt formatCode="#,##0;;&quot;&quot;\ " sourceLinked="0"/>
            <c:spPr>
              <a:noFill/>
              <a:ln>
                <a:noFill/>
              </a:ln>
            </c:spPr>
            <c:txPr>
              <a:bodyPr/>
              <a:lstStyle/>
              <a:p>
                <a:pPr>
                  <a:defRPr sz="1400" b="1">
                    <a:solidFill>
                      <a:schemeClr val="bg1"/>
                    </a:solidFill>
                    <a:latin typeface="+mn-lt"/>
                  </a:defRPr>
                </a:pPr>
                <a:endParaRPr lang="en-US"/>
              </a:p>
            </c:txPr>
            <c:showLegendKey val="0"/>
            <c:showVal val="1"/>
            <c:showCatName val="0"/>
            <c:showSerName val="0"/>
            <c:showPercent val="0"/>
            <c:showBubbleSize val="0"/>
            <c:showLeaderLines val="0"/>
          </c:dLbls>
          <c:cat>
            <c:strRef>
              <c:f>Calculations!$E$2</c:f>
              <c:strCache>
                <c:ptCount val="1"/>
                <c:pt idx="0">
                  <c:v>Barking and Dagenham</c:v>
                </c:pt>
              </c:strCache>
            </c:strRef>
          </c:cat>
          <c:val>
            <c:numRef>
              <c:f>Calculations!$K$5</c:f>
              <c:numCache>
                <c:formatCode>General</c:formatCode>
                <c:ptCount val="1"/>
                <c:pt idx="0">
                  <c:v>4017</c:v>
                </c:pt>
              </c:numCache>
            </c:numRef>
          </c:val>
        </c:ser>
        <c:ser>
          <c:idx val="2"/>
          <c:order val="2"/>
          <c:spPr>
            <a:solidFill>
              <a:srgbClr val="7095AC"/>
            </a:solidFill>
          </c:spPr>
          <c:invertIfNegative val="0"/>
          <c:cat>
            <c:strRef>
              <c:f>Calculations!$E$2</c:f>
              <c:strCache>
                <c:ptCount val="1"/>
                <c:pt idx="0">
                  <c:v>Barking and Dagenham</c:v>
                </c:pt>
              </c:strCache>
            </c:strRef>
          </c:cat>
          <c:val>
            <c:numRef>
              <c:f>Calculations!$K$6</c:f>
              <c:numCache>
                <c:formatCode>General</c:formatCode>
                <c:ptCount val="1"/>
                <c:pt idx="0">
                  <c:v>210</c:v>
                </c:pt>
              </c:numCache>
            </c:numRef>
          </c:val>
        </c:ser>
        <c:dLbls>
          <c:showLegendKey val="0"/>
          <c:showVal val="0"/>
          <c:showCatName val="0"/>
          <c:showSerName val="0"/>
          <c:showPercent val="0"/>
          <c:showBubbleSize val="0"/>
        </c:dLbls>
        <c:gapWidth val="100"/>
        <c:overlap val="100"/>
        <c:axId val="84384384"/>
        <c:axId val="84386176"/>
      </c:barChart>
      <c:catAx>
        <c:axId val="84384384"/>
        <c:scaling>
          <c:orientation val="minMax"/>
        </c:scaling>
        <c:delete val="0"/>
        <c:axPos val="l"/>
        <c:numFmt formatCode="General" sourceLinked="1"/>
        <c:majorTickMark val="out"/>
        <c:minorTickMark val="none"/>
        <c:tickLblPos val="nextTo"/>
        <c:spPr>
          <a:ln>
            <a:noFill/>
          </a:ln>
        </c:spPr>
        <c:txPr>
          <a:bodyPr rot="-5400000" vert="horz"/>
          <a:lstStyle/>
          <a:p>
            <a:pPr>
              <a:defRPr>
                <a:solidFill>
                  <a:srgbClr val="104F75"/>
                </a:solidFill>
                <a:latin typeface="+mn-lt"/>
              </a:defRPr>
            </a:pPr>
            <a:endParaRPr lang="en-US"/>
          </a:p>
        </c:txPr>
        <c:crossAx val="84386176"/>
        <c:crosses val="autoZero"/>
        <c:auto val="1"/>
        <c:lblAlgn val="ctr"/>
        <c:lblOffset val="100"/>
        <c:noMultiLvlLbl val="0"/>
      </c:catAx>
      <c:valAx>
        <c:axId val="84386176"/>
        <c:scaling>
          <c:orientation val="minMax"/>
          <c:min val="0"/>
        </c:scaling>
        <c:delete val="0"/>
        <c:axPos val="b"/>
        <c:numFmt formatCode="[&gt;=1]#,##0;[White][&lt;&gt;0]0.0;0" sourceLinked="0"/>
        <c:majorTickMark val="none"/>
        <c:minorTickMark val="none"/>
        <c:tickLblPos val="nextTo"/>
        <c:spPr>
          <a:ln>
            <a:solidFill>
              <a:srgbClr val="104F75"/>
            </a:solidFill>
          </a:ln>
        </c:spPr>
        <c:txPr>
          <a:bodyPr/>
          <a:lstStyle/>
          <a:p>
            <a:pPr>
              <a:defRPr sz="1000">
                <a:solidFill>
                  <a:srgbClr val="104F75"/>
                </a:solidFill>
                <a:latin typeface="+mn-lt"/>
              </a:defRPr>
            </a:pPr>
            <a:endParaRPr lang="en-US"/>
          </a:p>
        </c:txPr>
        <c:crossAx val="84384384"/>
        <c:crosses val="autoZero"/>
        <c:crossBetween val="between"/>
      </c:valAx>
      <c:spPr>
        <a:noFill/>
        <a:ln>
          <a:noFill/>
        </a:ln>
      </c:spPr>
    </c:plotArea>
    <c:plotVisOnly val="1"/>
    <c:dispBlanksAs val="gap"/>
    <c:showDLblsOverMax val="0"/>
  </c:chart>
  <c:spPr>
    <a:noFill/>
    <a:ln>
      <a:noFill/>
    </a:ln>
  </c:spPr>
  <c:txPr>
    <a:bodyPr/>
    <a:lstStyle/>
    <a:p>
      <a:pPr>
        <a:defRPr sz="900">
          <a:latin typeface="Century Gothic" panose="020B0502020202020204" pitchFamily="34" charset="0"/>
        </a:defRPr>
      </a:pPr>
      <a:endParaRPr lang="en-US"/>
    </a:p>
  </c:txPr>
  <c:printSettings>
    <c:headerFooter/>
    <c:pageMargins b="0.75" l="0.7" r="0.7"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2764462556215562"/>
          <c:y val="7.246376811594203E-3"/>
          <c:w val="0.68399199551810419"/>
          <c:h val="0.70435923770398268"/>
        </c:manualLayout>
      </c:layout>
      <c:barChart>
        <c:barDir val="bar"/>
        <c:grouping val="percentStacked"/>
        <c:varyColors val="0"/>
        <c:ser>
          <c:idx val="1"/>
          <c:order val="0"/>
          <c:tx>
            <c:strRef>
              <c:f>Calculations!$M$18</c:f>
              <c:strCache>
                <c:ptCount val="1"/>
                <c:pt idx="0">
                  <c:v>Outstanding</c:v>
                </c:pt>
              </c:strCache>
            </c:strRef>
          </c:tx>
          <c:spPr>
            <a:solidFill>
              <a:srgbClr val="669171"/>
            </a:solidFill>
            <a:ln>
              <a:solidFill>
                <a:schemeClr val="bg1"/>
              </a:solidFill>
            </a:ln>
          </c:spPr>
          <c:invertIfNegative val="0"/>
          <c:dLbls>
            <c:numFmt formatCode="#,##0;;&quot;&quot;\ " sourceLinked="0"/>
            <c:spPr>
              <a:noFill/>
            </c:spPr>
            <c:txPr>
              <a:bodyPr/>
              <a:lstStyle/>
              <a:p>
                <a:pPr>
                  <a:defRPr sz="900" b="1">
                    <a:latin typeface="+mn-lt"/>
                  </a:defRPr>
                </a:pPr>
                <a:endParaRPr lang="en-US"/>
              </a:p>
            </c:txPr>
            <c:showLegendKey val="0"/>
            <c:showVal val="1"/>
            <c:showCatName val="0"/>
            <c:showSerName val="0"/>
            <c:showPercent val="0"/>
            <c:showBubbleSize val="0"/>
            <c:showLeaderLines val="0"/>
          </c:dLbls>
          <c:cat>
            <c:strRef>
              <c:f>Calculations!$L$19:$L$22</c:f>
              <c:strCache>
                <c:ptCount val="4"/>
                <c:pt idx="0">
                  <c:v>Existing places</c:v>
                </c:pt>
                <c:pt idx="1">
                  <c:v>New places</c:v>
                </c:pt>
                <c:pt idx="2">
                  <c:v>Existing places</c:v>
                </c:pt>
                <c:pt idx="3">
                  <c:v>New places</c:v>
                </c:pt>
              </c:strCache>
            </c:strRef>
          </c:cat>
          <c:val>
            <c:numRef>
              <c:f>Calculations!$M$19:$M$22</c:f>
              <c:numCache>
                <c:formatCode>General</c:formatCode>
                <c:ptCount val="4"/>
                <c:pt idx="0">
                  <c:v>771320</c:v>
                </c:pt>
                <c:pt idx="1">
                  <c:v>18682</c:v>
                </c:pt>
                <c:pt idx="2">
                  <c:v>1406</c:v>
                </c:pt>
                <c:pt idx="3">
                  <c:v>0</c:v>
                </c:pt>
              </c:numCache>
            </c:numRef>
          </c:val>
        </c:ser>
        <c:ser>
          <c:idx val="0"/>
          <c:order val="1"/>
          <c:tx>
            <c:strRef>
              <c:f>Calculations!$N$18</c:f>
              <c:strCache>
                <c:ptCount val="1"/>
                <c:pt idx="0">
                  <c:v>Good</c:v>
                </c:pt>
              </c:strCache>
            </c:strRef>
          </c:tx>
          <c:spPr>
            <a:solidFill>
              <a:srgbClr val="CEB536"/>
            </a:solidFill>
            <a:ln>
              <a:solidFill>
                <a:schemeClr val="bg1"/>
              </a:solidFill>
            </a:ln>
          </c:spPr>
          <c:invertIfNegative val="0"/>
          <c:dLbls>
            <c:numFmt formatCode="#,##0;;&quot;&quot;\ " sourceLinked="0"/>
            <c:spPr>
              <a:noFill/>
              <a:ln w="6350">
                <a:noFill/>
              </a:ln>
            </c:spPr>
            <c:txPr>
              <a:bodyPr/>
              <a:lstStyle/>
              <a:p>
                <a:pPr>
                  <a:defRPr sz="900" b="1">
                    <a:latin typeface="+mn-lt"/>
                  </a:defRPr>
                </a:pPr>
                <a:endParaRPr lang="en-US"/>
              </a:p>
            </c:txPr>
            <c:showLegendKey val="0"/>
            <c:showVal val="1"/>
            <c:showCatName val="0"/>
            <c:showSerName val="0"/>
            <c:showPercent val="0"/>
            <c:showBubbleSize val="0"/>
            <c:showLeaderLines val="0"/>
          </c:dLbls>
          <c:cat>
            <c:strRef>
              <c:f>Calculations!$L$19:$L$22</c:f>
              <c:strCache>
                <c:ptCount val="4"/>
                <c:pt idx="0">
                  <c:v>Existing places</c:v>
                </c:pt>
                <c:pt idx="1">
                  <c:v>New places</c:v>
                </c:pt>
                <c:pt idx="2">
                  <c:v>Existing places</c:v>
                </c:pt>
                <c:pt idx="3">
                  <c:v>New places</c:v>
                </c:pt>
              </c:strCache>
            </c:strRef>
          </c:cat>
          <c:val>
            <c:numRef>
              <c:f>Calculations!$N$19:$N$22</c:f>
              <c:numCache>
                <c:formatCode>General</c:formatCode>
                <c:ptCount val="4"/>
                <c:pt idx="0">
                  <c:v>2894673</c:v>
                </c:pt>
                <c:pt idx="1">
                  <c:v>69067</c:v>
                </c:pt>
                <c:pt idx="2">
                  <c:v>17089</c:v>
                </c:pt>
                <c:pt idx="3">
                  <c:v>30</c:v>
                </c:pt>
              </c:numCache>
            </c:numRef>
          </c:val>
        </c:ser>
        <c:ser>
          <c:idx val="4"/>
          <c:order val="2"/>
          <c:tx>
            <c:strRef>
              <c:f>Calculations!$O$18</c:f>
              <c:strCache>
                <c:ptCount val="1"/>
                <c:pt idx="0">
                  <c:v>Requires improvement</c:v>
                </c:pt>
              </c:strCache>
            </c:strRef>
          </c:tx>
          <c:spPr>
            <a:solidFill>
              <a:srgbClr val="ED974B"/>
            </a:solidFill>
            <a:ln>
              <a:solidFill>
                <a:schemeClr val="bg1"/>
              </a:solidFill>
            </a:ln>
          </c:spPr>
          <c:invertIfNegative val="0"/>
          <c:dLbls>
            <c:numFmt formatCode="#,##0;;&quot;&quot;\ " sourceLinked="0"/>
            <c:spPr>
              <a:noFill/>
              <a:ln w="6350">
                <a:noFill/>
              </a:ln>
            </c:spPr>
            <c:txPr>
              <a:bodyPr/>
              <a:lstStyle/>
              <a:p>
                <a:pPr>
                  <a:defRPr sz="900" b="1">
                    <a:latin typeface="+mn-lt"/>
                  </a:defRPr>
                </a:pPr>
                <a:endParaRPr lang="en-US"/>
              </a:p>
            </c:txPr>
            <c:dLblPos val="ctr"/>
            <c:showLegendKey val="0"/>
            <c:showVal val="1"/>
            <c:showCatName val="0"/>
            <c:showSerName val="0"/>
            <c:showPercent val="0"/>
            <c:showBubbleSize val="0"/>
            <c:showLeaderLines val="0"/>
          </c:dLbls>
          <c:cat>
            <c:strRef>
              <c:f>Calculations!$L$19:$L$22</c:f>
              <c:strCache>
                <c:ptCount val="4"/>
                <c:pt idx="0">
                  <c:v>Existing places</c:v>
                </c:pt>
                <c:pt idx="1">
                  <c:v>New places</c:v>
                </c:pt>
                <c:pt idx="2">
                  <c:v>Existing places</c:v>
                </c:pt>
                <c:pt idx="3">
                  <c:v>New places</c:v>
                </c:pt>
              </c:strCache>
            </c:strRef>
          </c:cat>
          <c:val>
            <c:numRef>
              <c:f>Calculations!$O$19:$O$22</c:f>
              <c:numCache>
                <c:formatCode>General</c:formatCode>
                <c:ptCount val="4"/>
                <c:pt idx="0">
                  <c:v>685916</c:v>
                </c:pt>
                <c:pt idx="1">
                  <c:v>13967</c:v>
                </c:pt>
                <c:pt idx="2">
                  <c:v>6099</c:v>
                </c:pt>
                <c:pt idx="3">
                  <c:v>0</c:v>
                </c:pt>
              </c:numCache>
            </c:numRef>
          </c:val>
        </c:ser>
        <c:ser>
          <c:idx val="3"/>
          <c:order val="3"/>
          <c:tx>
            <c:strRef>
              <c:f>Calculations!$P$18</c:f>
              <c:strCache>
                <c:ptCount val="1"/>
                <c:pt idx="0">
                  <c:v>Inadequate</c:v>
                </c:pt>
              </c:strCache>
            </c:strRef>
          </c:tx>
          <c:spPr>
            <a:solidFill>
              <a:srgbClr val="A15154"/>
            </a:solidFill>
            <a:ln>
              <a:solidFill>
                <a:schemeClr val="bg1"/>
              </a:solidFill>
            </a:ln>
          </c:spPr>
          <c:invertIfNegative val="0"/>
          <c:dLbls>
            <c:dLbl>
              <c:idx val="0"/>
              <c:layout>
                <c:manualLayout>
                  <c:x val="8.1535970284416198E-2"/>
                  <c:y val="0"/>
                </c:manualLayout>
              </c:layout>
              <c:dLblPos val="ctr"/>
              <c:showLegendKey val="0"/>
              <c:showVal val="1"/>
              <c:showCatName val="0"/>
              <c:showSerName val="0"/>
              <c:showPercent val="0"/>
              <c:showBubbleSize val="0"/>
            </c:dLbl>
            <c:dLbl>
              <c:idx val="1"/>
              <c:layout>
                <c:manualLayout>
                  <c:x val="9.3094119813970616E-2"/>
                  <c:y val="0"/>
                </c:manualLayout>
              </c:layout>
              <c:dLblPos val="ctr"/>
              <c:showLegendKey val="0"/>
              <c:showVal val="1"/>
              <c:showCatName val="0"/>
              <c:showSerName val="0"/>
              <c:showPercent val="0"/>
              <c:showBubbleSize val="0"/>
            </c:dLbl>
            <c:dLbl>
              <c:idx val="2"/>
              <c:layout>
                <c:manualLayout>
                  <c:x val="0.25381421620543049"/>
                  <c:y val="2.9607754437255799E-17"/>
                </c:manualLayout>
              </c:layout>
              <c:dLblPos val="ctr"/>
              <c:showLegendKey val="0"/>
              <c:showVal val="1"/>
              <c:showCatName val="0"/>
              <c:showSerName val="0"/>
              <c:showPercent val="0"/>
              <c:showBubbleSize val="0"/>
            </c:dLbl>
            <c:dLbl>
              <c:idx val="3"/>
              <c:layout>
                <c:manualLayout>
                  <c:x val="0.4056603121978174"/>
                  <c:y val="0"/>
                </c:manualLayout>
              </c:layout>
              <c:dLblPos val="ctr"/>
              <c:showLegendKey val="0"/>
              <c:showVal val="1"/>
              <c:showCatName val="0"/>
              <c:showSerName val="0"/>
              <c:showPercent val="0"/>
              <c:showBubbleSize val="0"/>
            </c:dLbl>
            <c:numFmt formatCode="#,##0;;&quot;&quot;\ " sourceLinked="0"/>
            <c:txPr>
              <a:bodyPr/>
              <a:lstStyle/>
              <a:p>
                <a:pPr>
                  <a:defRPr sz="900" b="1">
                    <a:latin typeface="+mn-lt"/>
                  </a:defRPr>
                </a:pPr>
                <a:endParaRPr lang="en-US"/>
              </a:p>
            </c:txPr>
            <c:dLblPos val="inEnd"/>
            <c:showLegendKey val="0"/>
            <c:showVal val="1"/>
            <c:showCatName val="0"/>
            <c:showSerName val="0"/>
            <c:showPercent val="0"/>
            <c:showBubbleSize val="0"/>
            <c:showLeaderLines val="0"/>
          </c:dLbls>
          <c:cat>
            <c:strRef>
              <c:f>Calculations!$L$19:$L$22</c:f>
              <c:strCache>
                <c:ptCount val="4"/>
                <c:pt idx="0">
                  <c:v>Existing places</c:v>
                </c:pt>
                <c:pt idx="1">
                  <c:v>New places</c:v>
                </c:pt>
                <c:pt idx="2">
                  <c:v>Existing places</c:v>
                </c:pt>
                <c:pt idx="3">
                  <c:v>New places</c:v>
                </c:pt>
              </c:strCache>
            </c:strRef>
          </c:cat>
          <c:val>
            <c:numRef>
              <c:f>Calculations!$P$19:$P$22</c:f>
              <c:numCache>
                <c:formatCode>General</c:formatCode>
                <c:ptCount val="4"/>
                <c:pt idx="0">
                  <c:v>69158</c:v>
                </c:pt>
                <c:pt idx="1">
                  <c:v>1253</c:v>
                </c:pt>
                <c:pt idx="2">
                  <c:v>0</c:v>
                </c:pt>
                <c:pt idx="3">
                  <c:v>0</c:v>
                </c:pt>
              </c:numCache>
            </c:numRef>
          </c:val>
        </c:ser>
        <c:dLbls>
          <c:showLegendKey val="0"/>
          <c:showVal val="1"/>
          <c:showCatName val="0"/>
          <c:showSerName val="0"/>
          <c:showPercent val="0"/>
          <c:showBubbleSize val="0"/>
        </c:dLbls>
        <c:gapWidth val="50"/>
        <c:overlap val="100"/>
        <c:axId val="84405632"/>
        <c:axId val="84481152"/>
      </c:barChart>
      <c:catAx>
        <c:axId val="84405632"/>
        <c:scaling>
          <c:orientation val="minMax"/>
        </c:scaling>
        <c:delete val="1"/>
        <c:axPos val="l"/>
        <c:majorTickMark val="none"/>
        <c:minorTickMark val="none"/>
        <c:tickLblPos val="nextTo"/>
        <c:crossAx val="84481152"/>
        <c:crossesAt val="0"/>
        <c:auto val="0"/>
        <c:lblAlgn val="ctr"/>
        <c:lblOffset val="500"/>
        <c:tickMarkSkip val="1"/>
        <c:noMultiLvlLbl val="0"/>
      </c:catAx>
      <c:valAx>
        <c:axId val="84481152"/>
        <c:scaling>
          <c:orientation val="minMax"/>
          <c:min val="0"/>
        </c:scaling>
        <c:delete val="0"/>
        <c:axPos val="b"/>
        <c:numFmt formatCode="0%" sourceLinked="1"/>
        <c:majorTickMark val="none"/>
        <c:minorTickMark val="none"/>
        <c:tickLblPos val="nextTo"/>
        <c:spPr>
          <a:ln>
            <a:solidFill>
              <a:srgbClr val="104F75"/>
            </a:solidFill>
          </a:ln>
        </c:spPr>
        <c:txPr>
          <a:bodyPr/>
          <a:lstStyle/>
          <a:p>
            <a:pPr>
              <a:defRPr sz="900">
                <a:solidFill>
                  <a:srgbClr val="104F75"/>
                </a:solidFill>
                <a:latin typeface="+mn-lt"/>
              </a:defRPr>
            </a:pPr>
            <a:endParaRPr lang="en-US"/>
          </a:p>
        </c:txPr>
        <c:crossAx val="84405632"/>
        <c:crosses val="autoZero"/>
        <c:crossBetween val="between"/>
        <c:majorUnit val="0.2"/>
      </c:valAx>
      <c:spPr>
        <a:noFill/>
        <a:ln>
          <a:noFill/>
        </a:ln>
      </c:spPr>
    </c:plotArea>
    <c:legend>
      <c:legendPos val="r"/>
      <c:layout>
        <c:manualLayout>
          <c:xMode val="edge"/>
          <c:yMode val="edge"/>
          <c:x val="3.1420980164364697E-2"/>
          <c:y val="0.86481452318460195"/>
          <c:w val="0.93888645066907617"/>
          <c:h val="0.11851877211000798"/>
        </c:manualLayout>
      </c:layout>
      <c:overlay val="0"/>
      <c:txPr>
        <a:bodyPr/>
        <a:lstStyle/>
        <a:p>
          <a:pPr>
            <a:defRPr sz="1000">
              <a:solidFill>
                <a:srgbClr val="104F75"/>
              </a:solidFill>
              <a:latin typeface="+mn-lt"/>
            </a:defRPr>
          </a:pPr>
          <a:endParaRPr lang="en-US"/>
        </a:p>
      </c:txPr>
    </c:legend>
    <c:plotVisOnly val="1"/>
    <c:dispBlanksAs val="gap"/>
    <c:showDLblsOverMax val="0"/>
  </c:chart>
  <c:spPr>
    <a:noFill/>
    <a:ln w="3175">
      <a:noFill/>
    </a:ln>
  </c:spPr>
  <c:txPr>
    <a:bodyPr/>
    <a:lstStyle/>
    <a:p>
      <a:pPr>
        <a:defRPr sz="800">
          <a:latin typeface="Century Gothic" panose="020B0502020202020204" pitchFamily="34" charset="0"/>
        </a:defRPr>
      </a:pPr>
      <a:endParaRPr lang="en-US"/>
    </a:p>
  </c:txPr>
  <c:printSettings>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275696093815192"/>
          <c:y val="7.8965674695081242E-2"/>
          <c:w val="0.7157762139945788"/>
          <c:h val="0.95125641903457725"/>
        </c:manualLayout>
      </c:layout>
      <c:doughnutChart>
        <c:varyColors val="0"/>
        <c:ser>
          <c:idx val="0"/>
          <c:order val="0"/>
          <c:spPr>
            <a:ln>
              <a:noFill/>
            </a:ln>
          </c:spPr>
          <c:dPt>
            <c:idx val="0"/>
            <c:bubble3D val="0"/>
            <c:spPr>
              <a:solidFill>
                <a:srgbClr val="104F75"/>
              </a:solidFill>
              <a:ln w="6350">
                <a:noFill/>
              </a:ln>
            </c:spPr>
          </c:dPt>
          <c:dPt>
            <c:idx val="1"/>
            <c:bubble3D val="0"/>
            <c:spPr>
              <a:solidFill>
                <a:schemeClr val="bg1">
                  <a:lumMod val="85000"/>
                </a:schemeClr>
              </a:solidFill>
              <a:ln w="6350">
                <a:noFill/>
              </a:ln>
            </c:spPr>
          </c:dPt>
          <c:dPt>
            <c:idx val="2"/>
            <c:bubble3D val="0"/>
            <c:spPr>
              <a:noFill/>
              <a:ln>
                <a:noFill/>
              </a:ln>
            </c:spPr>
          </c:dPt>
          <c:dPt>
            <c:idx val="3"/>
            <c:bubble3D val="0"/>
            <c:spPr>
              <a:solidFill>
                <a:schemeClr val="bg1">
                  <a:lumMod val="95000"/>
                </a:schemeClr>
              </a:solidFill>
              <a:ln>
                <a:noFill/>
              </a:ln>
            </c:spPr>
          </c:dPt>
          <c:val>
            <c:numRef>
              <c:f>Calculations!$S$11:$U$11</c:f>
              <c:numCache>
                <c:formatCode>General</c:formatCode>
                <c:ptCount val="3"/>
                <c:pt idx="0">
                  <c:v>7.9849547610315236E-2</c:v>
                </c:pt>
                <c:pt idx="1">
                  <c:v>0.17015045238968479</c:v>
                </c:pt>
                <c:pt idx="2">
                  <c:v>0.75</c:v>
                </c:pt>
              </c:numCache>
            </c:numRef>
          </c:val>
        </c:ser>
        <c:dLbls>
          <c:showLegendKey val="0"/>
          <c:showVal val="0"/>
          <c:showCatName val="0"/>
          <c:showSerName val="0"/>
          <c:showPercent val="0"/>
          <c:showBubbleSize val="0"/>
          <c:showLeaderLines val="1"/>
        </c:dLbls>
        <c:firstSliceAng val="0"/>
        <c:holeSize val="70"/>
      </c:doughnutChart>
    </c:plotArea>
    <c:plotVisOnly val="1"/>
    <c:dispBlanksAs val="gap"/>
    <c:showDLblsOverMax val="0"/>
  </c:chart>
  <c:spPr>
    <a:noFill/>
    <a:ln>
      <a:no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275696093815192"/>
          <c:y val="7.8965674695081242E-2"/>
          <c:w val="0.7157762139945788"/>
          <c:h val="0.95125641903457725"/>
        </c:manualLayout>
      </c:layout>
      <c:doughnutChart>
        <c:varyColors val="0"/>
        <c:ser>
          <c:idx val="0"/>
          <c:order val="0"/>
          <c:spPr>
            <a:ln>
              <a:noFill/>
            </a:ln>
          </c:spPr>
          <c:dPt>
            <c:idx val="0"/>
            <c:bubble3D val="0"/>
            <c:spPr>
              <a:noFill/>
              <a:ln>
                <a:noFill/>
              </a:ln>
            </c:spPr>
          </c:dPt>
          <c:dPt>
            <c:idx val="1"/>
            <c:bubble3D val="0"/>
            <c:spPr>
              <a:solidFill>
                <a:schemeClr val="bg1">
                  <a:lumMod val="85000"/>
                </a:schemeClr>
              </a:solidFill>
              <a:ln w="6350">
                <a:noFill/>
              </a:ln>
            </c:spPr>
          </c:dPt>
          <c:dPt>
            <c:idx val="2"/>
            <c:bubble3D val="0"/>
            <c:spPr>
              <a:solidFill>
                <a:srgbClr val="104F75"/>
              </a:solidFill>
              <a:ln w="6350">
                <a:noFill/>
              </a:ln>
            </c:spPr>
          </c:dPt>
          <c:dPt>
            <c:idx val="3"/>
            <c:bubble3D val="0"/>
            <c:spPr>
              <a:solidFill>
                <a:schemeClr val="bg1">
                  <a:lumMod val="95000"/>
                </a:schemeClr>
              </a:solidFill>
              <a:ln>
                <a:noFill/>
              </a:ln>
            </c:spPr>
          </c:dPt>
          <c:val>
            <c:numRef>
              <c:f>Calculations!$V$11:$X$11</c:f>
              <c:numCache>
                <c:formatCode>General</c:formatCode>
                <c:ptCount val="3"/>
                <c:pt idx="0">
                  <c:v>0.75</c:v>
                </c:pt>
                <c:pt idx="1">
                  <c:v>0.25</c:v>
                </c:pt>
                <c:pt idx="2">
                  <c:v>0</c:v>
                </c:pt>
              </c:numCache>
            </c:numRef>
          </c:val>
        </c:ser>
        <c:dLbls>
          <c:showLegendKey val="0"/>
          <c:showVal val="0"/>
          <c:showCatName val="0"/>
          <c:showSerName val="0"/>
          <c:showPercent val="0"/>
          <c:showBubbleSize val="0"/>
          <c:showLeaderLines val="1"/>
        </c:dLbls>
        <c:firstSliceAng val="0"/>
        <c:holeSize val="70"/>
      </c:doughnutChart>
    </c:plotArea>
    <c:plotVisOnly val="1"/>
    <c:dispBlanksAs val="gap"/>
    <c:showDLblsOverMax val="0"/>
  </c:chart>
  <c:spPr>
    <a:noFill/>
    <a:ln>
      <a:no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5555555555555552E-2"/>
          <c:y val="2.6990553306342781E-2"/>
          <c:w val="0.877944006999125"/>
          <c:h val="0.94032988523493399"/>
        </c:manualLayout>
      </c:layout>
      <c:scatterChart>
        <c:scatterStyle val="lineMarker"/>
        <c:varyColors val="0"/>
        <c:ser>
          <c:idx val="3"/>
          <c:order val="0"/>
          <c:tx>
            <c:v>Region</c:v>
          </c:tx>
          <c:spPr>
            <a:ln w="28575">
              <a:noFill/>
            </a:ln>
            <a:effectLst>
              <a:outerShdw dist="38100" algn="tl" rotWithShape="0">
                <a:srgbClr val="ED974B"/>
              </a:outerShdw>
            </a:effectLst>
          </c:spPr>
          <c:marker>
            <c:symbol val="dot"/>
            <c:size val="22"/>
            <c:spPr>
              <a:solidFill>
                <a:srgbClr val="ED974B"/>
              </a:solidFill>
              <a:ln w="9525">
                <a:noFill/>
              </a:ln>
              <a:effectLst>
                <a:outerShdw dist="38100" algn="tl" rotWithShape="0">
                  <a:srgbClr val="ED974B"/>
                </a:outerShdw>
              </a:effectLst>
            </c:spPr>
          </c:marker>
          <c:xVal>
            <c:numRef>
              <c:f>Calculations!$M$37</c:f>
              <c:numCache>
                <c:formatCode>General</c:formatCode>
                <c:ptCount val="1"/>
                <c:pt idx="0">
                  <c:v>2</c:v>
                </c:pt>
              </c:numCache>
            </c:numRef>
          </c:xVal>
          <c:yVal>
            <c:numRef>
              <c:f>Calculations!$S$63</c:f>
              <c:numCache>
                <c:formatCode>General</c:formatCode>
                <c:ptCount val="1"/>
                <c:pt idx="0">
                  <c:v>4.5154914485218383</c:v>
                </c:pt>
              </c:numCache>
            </c:numRef>
          </c:yVal>
          <c:smooth val="0"/>
        </c:ser>
        <c:ser>
          <c:idx val="2"/>
          <c:order val="1"/>
          <c:tx>
            <c:v>Stats</c:v>
          </c:tx>
          <c:spPr>
            <a:ln w="28575">
              <a:noFill/>
            </a:ln>
            <a:effectLst>
              <a:outerShdw dist="12700" algn="tl" rotWithShape="0">
                <a:srgbClr val="CEB536"/>
              </a:outerShdw>
            </a:effectLst>
          </c:spPr>
          <c:marker>
            <c:symbol val="dot"/>
            <c:size val="22"/>
            <c:spPr>
              <a:solidFill>
                <a:srgbClr val="CEB536"/>
              </a:solidFill>
              <a:ln w="12700">
                <a:noFill/>
                <a:tailEnd type="none"/>
              </a:ln>
              <a:effectLst>
                <a:outerShdw dist="12700" algn="tl" rotWithShape="0">
                  <a:srgbClr val="CEB536"/>
                </a:outerShdw>
              </a:effectLst>
            </c:spPr>
          </c:marker>
          <c:xVal>
            <c:numRef>
              <c:f>Calculations!$M$37</c:f>
              <c:numCache>
                <c:formatCode>General</c:formatCode>
                <c:ptCount val="1"/>
                <c:pt idx="0">
                  <c:v>2</c:v>
                </c:pt>
              </c:numCache>
            </c:numRef>
          </c:xVal>
          <c:yVal>
            <c:numRef>
              <c:f>Calculations!$O$63</c:f>
              <c:numCache>
                <c:formatCode>General</c:formatCode>
                <c:ptCount val="1"/>
                <c:pt idx="0">
                  <c:v>2.9694131034628728</c:v>
                </c:pt>
              </c:numCache>
            </c:numRef>
          </c:yVal>
          <c:smooth val="0"/>
        </c:ser>
        <c:ser>
          <c:idx val="0"/>
          <c:order val="2"/>
          <c:spPr>
            <a:ln w="28575">
              <a:noFill/>
            </a:ln>
          </c:spPr>
          <c:marker>
            <c:symbol val="square"/>
            <c:size val="25"/>
            <c:spPr>
              <a:solidFill>
                <a:schemeClr val="bg1">
                  <a:lumMod val="85000"/>
                </a:schemeClr>
              </a:solidFill>
              <a:ln w="6350">
                <a:noFill/>
              </a:ln>
            </c:spPr>
          </c:marker>
          <c:xVal>
            <c:numRef>
              <c:f>Calculations!$K$37:$K$41</c:f>
              <c:numCache>
                <c:formatCode>General</c:formatCode>
                <c:ptCount val="5"/>
                <c:pt idx="0">
                  <c:v>1</c:v>
                </c:pt>
                <c:pt idx="1">
                  <c:v>1</c:v>
                </c:pt>
                <c:pt idx="2">
                  <c:v>1</c:v>
                </c:pt>
                <c:pt idx="3">
                  <c:v>1</c:v>
                </c:pt>
                <c:pt idx="4">
                  <c:v>1</c:v>
                </c:pt>
              </c:numCache>
            </c:numRef>
          </c:xVal>
          <c:yVal>
            <c:numRef>
              <c:f>Calculations!$L$37:$L$41</c:f>
              <c:numCache>
                <c:formatCode>General</c:formatCode>
                <c:ptCount val="5"/>
                <c:pt idx="0">
                  <c:v>1</c:v>
                </c:pt>
                <c:pt idx="1">
                  <c:v>2</c:v>
                </c:pt>
                <c:pt idx="2">
                  <c:v>3</c:v>
                </c:pt>
                <c:pt idx="3">
                  <c:v>4</c:v>
                </c:pt>
                <c:pt idx="4">
                  <c:v>5</c:v>
                </c:pt>
              </c:numCache>
            </c:numRef>
          </c:yVal>
          <c:smooth val="0"/>
        </c:ser>
        <c:ser>
          <c:idx val="1"/>
          <c:order val="3"/>
          <c:spPr>
            <a:ln w="28575">
              <a:noFill/>
            </a:ln>
          </c:spPr>
          <c:marker>
            <c:symbol val="square"/>
            <c:size val="25"/>
            <c:spPr>
              <a:solidFill>
                <a:srgbClr val="104F75"/>
              </a:solidFill>
              <a:ln w="15875">
                <a:noFill/>
              </a:ln>
            </c:spPr>
          </c:marker>
          <c:xVal>
            <c:numRef>
              <c:f>Calculations!$K$37</c:f>
              <c:numCache>
                <c:formatCode>General</c:formatCode>
                <c:ptCount val="1"/>
                <c:pt idx="0">
                  <c:v>1</c:v>
                </c:pt>
              </c:numCache>
            </c:numRef>
          </c:xVal>
          <c:yVal>
            <c:numRef>
              <c:f>Calculations!$K$44</c:f>
              <c:numCache>
                <c:formatCode>General</c:formatCode>
                <c:ptCount val="1"/>
                <c:pt idx="0">
                  <c:v>3</c:v>
                </c:pt>
              </c:numCache>
            </c:numRef>
          </c:yVal>
          <c:smooth val="0"/>
        </c:ser>
        <c:ser>
          <c:idx val="4"/>
          <c:order val="4"/>
          <c:spPr>
            <a:ln w="28575">
              <a:noFill/>
            </a:ln>
          </c:spPr>
          <c:marker>
            <c:symbol val="dot"/>
            <c:size val="22"/>
            <c:spPr>
              <a:solidFill>
                <a:srgbClr val="104F75"/>
              </a:solidFill>
              <a:ln w="15875">
                <a:noFill/>
              </a:ln>
            </c:spPr>
          </c:marker>
          <c:xVal>
            <c:numRef>
              <c:f>Calculations!$M$37</c:f>
              <c:numCache>
                <c:formatCode>General</c:formatCode>
                <c:ptCount val="1"/>
                <c:pt idx="0">
                  <c:v>2</c:v>
                </c:pt>
              </c:numCache>
            </c:numRef>
          </c:xVal>
          <c:yVal>
            <c:numRef>
              <c:f>Calculations!$K$63</c:f>
              <c:numCache>
                <c:formatCode>General</c:formatCode>
                <c:ptCount val="1"/>
                <c:pt idx="0">
                  <c:v>3.4863169469821562</c:v>
                </c:pt>
              </c:numCache>
            </c:numRef>
          </c:yVal>
          <c:smooth val="0"/>
        </c:ser>
        <c:dLbls>
          <c:showLegendKey val="0"/>
          <c:showVal val="0"/>
          <c:showCatName val="0"/>
          <c:showSerName val="0"/>
          <c:showPercent val="0"/>
          <c:showBubbleSize val="0"/>
        </c:dLbls>
        <c:axId val="84519168"/>
        <c:axId val="84525440"/>
      </c:scatterChart>
      <c:valAx>
        <c:axId val="84519168"/>
        <c:scaling>
          <c:orientation val="minMax"/>
        </c:scaling>
        <c:delete val="1"/>
        <c:axPos val="b"/>
        <c:numFmt formatCode="General" sourceLinked="1"/>
        <c:majorTickMark val="out"/>
        <c:minorTickMark val="none"/>
        <c:tickLblPos val="nextTo"/>
        <c:crossAx val="84525440"/>
        <c:crosses val="autoZero"/>
        <c:crossBetween val="midCat"/>
      </c:valAx>
      <c:valAx>
        <c:axId val="84525440"/>
        <c:scaling>
          <c:orientation val="minMax"/>
          <c:max val="5.5"/>
          <c:min val="0.5"/>
        </c:scaling>
        <c:delete val="1"/>
        <c:axPos val="l"/>
        <c:numFmt formatCode="General" sourceLinked="1"/>
        <c:majorTickMark val="out"/>
        <c:minorTickMark val="none"/>
        <c:tickLblPos val="nextTo"/>
        <c:crossAx val="84519168"/>
        <c:crosses val="autoZero"/>
        <c:crossBetween val="midCat"/>
      </c:valAx>
      <c:spPr>
        <a:noFill/>
      </c:spPr>
    </c:plotArea>
    <c:plotVisOnly val="1"/>
    <c:dispBlanksAs val="gap"/>
    <c:showDLblsOverMax val="0"/>
  </c:chart>
  <c:spPr>
    <a:noFill/>
    <a:ln w="12700">
      <a:no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5555555555555552E-2"/>
          <c:y val="4.6296296296296294E-2"/>
          <c:w val="0.877944006999125"/>
          <c:h val="0.91553565346316446"/>
        </c:manualLayout>
      </c:layout>
      <c:scatterChart>
        <c:scatterStyle val="lineMarker"/>
        <c:varyColors val="0"/>
        <c:ser>
          <c:idx val="3"/>
          <c:order val="0"/>
          <c:tx>
            <c:v>Region</c:v>
          </c:tx>
          <c:spPr>
            <a:ln w="28575">
              <a:noFill/>
            </a:ln>
            <a:effectLst>
              <a:outerShdw dist="38100" algn="ctr" rotWithShape="0">
                <a:srgbClr val="ED974B"/>
              </a:outerShdw>
            </a:effectLst>
          </c:spPr>
          <c:marker>
            <c:symbol val="dot"/>
            <c:size val="22"/>
            <c:spPr>
              <a:solidFill>
                <a:srgbClr val="ED974B"/>
              </a:solidFill>
              <a:ln w="9525">
                <a:noFill/>
              </a:ln>
              <a:effectLst>
                <a:outerShdw dist="38100" algn="ctr" rotWithShape="0">
                  <a:srgbClr val="ED974B"/>
                </a:outerShdw>
              </a:effectLst>
            </c:spPr>
          </c:marker>
          <c:xVal>
            <c:numRef>
              <c:f>Calculations!$M$37</c:f>
              <c:numCache>
                <c:formatCode>General</c:formatCode>
                <c:ptCount val="1"/>
                <c:pt idx="0">
                  <c:v>2</c:v>
                </c:pt>
              </c:numCache>
            </c:numRef>
          </c:xVal>
          <c:yVal>
            <c:numRef>
              <c:f>Calculations!$T$63</c:f>
              <c:numCache>
                <c:formatCode>General</c:formatCode>
                <c:ptCount val="1"/>
                <c:pt idx="0">
                  <c:v>3.6116400455049167</c:v>
                </c:pt>
              </c:numCache>
            </c:numRef>
          </c:yVal>
          <c:smooth val="0"/>
        </c:ser>
        <c:ser>
          <c:idx val="2"/>
          <c:order val="1"/>
          <c:tx>
            <c:v>Stats</c:v>
          </c:tx>
          <c:spPr>
            <a:ln w="28575">
              <a:noFill/>
            </a:ln>
            <a:effectLst>
              <a:outerShdw dist="12700" algn="ctr" rotWithShape="0">
                <a:srgbClr val="CEB536"/>
              </a:outerShdw>
            </a:effectLst>
          </c:spPr>
          <c:marker>
            <c:symbol val="dot"/>
            <c:size val="22"/>
            <c:spPr>
              <a:solidFill>
                <a:srgbClr val="CEB536"/>
              </a:solidFill>
              <a:ln w="9525">
                <a:noFill/>
              </a:ln>
              <a:effectLst>
                <a:outerShdw dist="12700" algn="ctr" rotWithShape="0">
                  <a:srgbClr val="CEB536"/>
                </a:outerShdw>
              </a:effectLst>
            </c:spPr>
          </c:marker>
          <c:xVal>
            <c:numRef>
              <c:f>Calculations!$M$37</c:f>
              <c:numCache>
                <c:formatCode>General</c:formatCode>
                <c:ptCount val="1"/>
                <c:pt idx="0">
                  <c:v>2</c:v>
                </c:pt>
              </c:numCache>
            </c:numRef>
          </c:xVal>
          <c:yVal>
            <c:numRef>
              <c:f>Calculations!$P$63</c:f>
              <c:numCache>
                <c:formatCode>General</c:formatCode>
                <c:ptCount val="1"/>
                <c:pt idx="0">
                  <c:v>3.2186872365857266</c:v>
                </c:pt>
              </c:numCache>
            </c:numRef>
          </c:yVal>
          <c:smooth val="0"/>
        </c:ser>
        <c:ser>
          <c:idx val="0"/>
          <c:order val="2"/>
          <c:spPr>
            <a:ln w="28575">
              <a:noFill/>
            </a:ln>
          </c:spPr>
          <c:marker>
            <c:symbol val="square"/>
            <c:size val="25"/>
            <c:spPr>
              <a:solidFill>
                <a:schemeClr val="bg1">
                  <a:lumMod val="85000"/>
                </a:schemeClr>
              </a:solidFill>
              <a:ln w="6350">
                <a:noFill/>
              </a:ln>
            </c:spPr>
          </c:marker>
          <c:xVal>
            <c:numRef>
              <c:f>Calculations!$K$37:$K$41</c:f>
              <c:numCache>
                <c:formatCode>General</c:formatCode>
                <c:ptCount val="5"/>
                <c:pt idx="0">
                  <c:v>1</c:v>
                </c:pt>
                <c:pt idx="1">
                  <c:v>1</c:v>
                </c:pt>
                <c:pt idx="2">
                  <c:v>1</c:v>
                </c:pt>
                <c:pt idx="3">
                  <c:v>1</c:v>
                </c:pt>
                <c:pt idx="4">
                  <c:v>1</c:v>
                </c:pt>
              </c:numCache>
            </c:numRef>
          </c:xVal>
          <c:yVal>
            <c:numRef>
              <c:f>Calculations!$L$37:$L$41</c:f>
              <c:numCache>
                <c:formatCode>General</c:formatCode>
                <c:ptCount val="5"/>
                <c:pt idx="0">
                  <c:v>1</c:v>
                </c:pt>
                <c:pt idx="1">
                  <c:v>2</c:v>
                </c:pt>
                <c:pt idx="2">
                  <c:v>3</c:v>
                </c:pt>
                <c:pt idx="3">
                  <c:v>4</c:v>
                </c:pt>
                <c:pt idx="4">
                  <c:v>5</c:v>
                </c:pt>
              </c:numCache>
            </c:numRef>
          </c:yVal>
          <c:smooth val="0"/>
        </c:ser>
        <c:ser>
          <c:idx val="1"/>
          <c:order val="3"/>
          <c:spPr>
            <a:ln w="28575">
              <a:noFill/>
            </a:ln>
          </c:spPr>
          <c:marker>
            <c:symbol val="square"/>
            <c:size val="25"/>
            <c:spPr>
              <a:solidFill>
                <a:srgbClr val="104F75"/>
              </a:solidFill>
              <a:ln w="15875">
                <a:noFill/>
              </a:ln>
            </c:spPr>
          </c:marker>
          <c:xVal>
            <c:numRef>
              <c:f>Calculations!$K$37</c:f>
              <c:numCache>
                <c:formatCode>General</c:formatCode>
                <c:ptCount val="1"/>
                <c:pt idx="0">
                  <c:v>1</c:v>
                </c:pt>
              </c:numCache>
            </c:numRef>
          </c:xVal>
          <c:yVal>
            <c:numRef>
              <c:f>Calculations!$L$44</c:f>
              <c:numCache>
                <c:formatCode>General</c:formatCode>
                <c:ptCount val="1"/>
                <c:pt idx="0">
                  <c:v>-1</c:v>
                </c:pt>
              </c:numCache>
            </c:numRef>
          </c:yVal>
          <c:smooth val="0"/>
        </c:ser>
        <c:ser>
          <c:idx val="4"/>
          <c:order val="4"/>
          <c:spPr>
            <a:ln w="28575">
              <a:noFill/>
            </a:ln>
          </c:spPr>
          <c:marker>
            <c:symbol val="dot"/>
            <c:size val="22"/>
            <c:spPr>
              <a:solidFill>
                <a:srgbClr val="104F75"/>
              </a:solidFill>
              <a:ln w="15875">
                <a:noFill/>
              </a:ln>
            </c:spPr>
          </c:marker>
          <c:xVal>
            <c:numRef>
              <c:f>Calculations!$M$37</c:f>
              <c:numCache>
                <c:formatCode>General</c:formatCode>
                <c:ptCount val="1"/>
                <c:pt idx="0">
                  <c:v>2</c:v>
                </c:pt>
              </c:numCache>
            </c:numRef>
          </c:xVal>
          <c:yVal>
            <c:numRef>
              <c:f>Calculations!$L$63</c:f>
              <c:numCache>
                <c:formatCode>General</c:formatCode>
                <c:ptCount val="1"/>
                <c:pt idx="0">
                  <c:v>-1</c:v>
                </c:pt>
              </c:numCache>
            </c:numRef>
          </c:yVal>
          <c:smooth val="0"/>
        </c:ser>
        <c:dLbls>
          <c:showLegendKey val="0"/>
          <c:showVal val="0"/>
          <c:showCatName val="0"/>
          <c:showSerName val="0"/>
          <c:showPercent val="0"/>
          <c:showBubbleSize val="0"/>
        </c:dLbls>
        <c:axId val="84568704"/>
        <c:axId val="84574976"/>
      </c:scatterChart>
      <c:valAx>
        <c:axId val="84568704"/>
        <c:scaling>
          <c:orientation val="minMax"/>
        </c:scaling>
        <c:delete val="1"/>
        <c:axPos val="b"/>
        <c:numFmt formatCode="General" sourceLinked="1"/>
        <c:majorTickMark val="out"/>
        <c:minorTickMark val="none"/>
        <c:tickLblPos val="nextTo"/>
        <c:crossAx val="84574976"/>
        <c:crosses val="autoZero"/>
        <c:crossBetween val="midCat"/>
      </c:valAx>
      <c:valAx>
        <c:axId val="84574976"/>
        <c:scaling>
          <c:orientation val="minMax"/>
          <c:max val="5.5"/>
          <c:min val="0.5"/>
        </c:scaling>
        <c:delete val="1"/>
        <c:axPos val="l"/>
        <c:numFmt formatCode="General" sourceLinked="1"/>
        <c:majorTickMark val="out"/>
        <c:minorTickMark val="none"/>
        <c:tickLblPos val="nextTo"/>
        <c:crossAx val="84568704"/>
        <c:crosses val="autoZero"/>
        <c:crossBetween val="midCat"/>
      </c:valAx>
      <c:spPr>
        <a:noFill/>
      </c:spPr>
    </c:plotArea>
    <c:plotVisOnly val="1"/>
    <c:dispBlanksAs val="gap"/>
    <c:showDLblsOverMax val="0"/>
  </c:chart>
  <c:spPr>
    <a:noFill/>
    <a:ln w="12700">
      <a:no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5555555555555552E-2"/>
          <c:y val="3.1806615776081425E-2"/>
          <c:w val="0.877944006999125"/>
          <c:h val="0.92349332770185322"/>
        </c:manualLayout>
      </c:layout>
      <c:scatterChart>
        <c:scatterStyle val="lineMarker"/>
        <c:varyColors val="0"/>
        <c:ser>
          <c:idx val="3"/>
          <c:order val="0"/>
          <c:tx>
            <c:v>Region</c:v>
          </c:tx>
          <c:spPr>
            <a:ln w="28575">
              <a:noFill/>
            </a:ln>
            <a:effectLst>
              <a:outerShdw dist="25400" algn="ctr" rotWithShape="0">
                <a:srgbClr val="ED974B"/>
              </a:outerShdw>
            </a:effectLst>
          </c:spPr>
          <c:marker>
            <c:symbol val="dot"/>
            <c:size val="22"/>
            <c:spPr>
              <a:solidFill>
                <a:srgbClr val="ED974B"/>
              </a:solidFill>
              <a:ln w="9525">
                <a:noFill/>
              </a:ln>
              <a:effectLst>
                <a:outerShdw dist="25400" algn="ctr" rotWithShape="0">
                  <a:srgbClr val="ED974B"/>
                </a:outerShdw>
              </a:effectLst>
            </c:spPr>
          </c:marker>
          <c:dPt>
            <c:idx val="0"/>
            <c:marker>
              <c:spPr>
                <a:solidFill>
                  <a:srgbClr val="ED974B"/>
                </a:solidFill>
                <a:ln w="9525">
                  <a:noFill/>
                </a:ln>
                <a:effectLst>
                  <a:outerShdw dist="38100" algn="ctr" rotWithShape="0">
                    <a:srgbClr val="ED974B"/>
                  </a:outerShdw>
                </a:effectLst>
              </c:spPr>
            </c:marker>
            <c:bubble3D val="0"/>
            <c:spPr>
              <a:ln w="28575">
                <a:noFill/>
              </a:ln>
              <a:effectLst>
                <a:outerShdw dist="38100" algn="ctr" rotWithShape="0">
                  <a:srgbClr val="ED974B"/>
                </a:outerShdw>
              </a:effectLst>
            </c:spPr>
          </c:dPt>
          <c:xVal>
            <c:numRef>
              <c:f>Calculations!$M$37</c:f>
              <c:numCache>
                <c:formatCode>General</c:formatCode>
                <c:ptCount val="1"/>
                <c:pt idx="0">
                  <c:v>2</c:v>
                </c:pt>
              </c:numCache>
            </c:numRef>
          </c:xVal>
          <c:yVal>
            <c:numRef>
              <c:f>Calculations!$U$63</c:f>
              <c:numCache>
                <c:formatCode>General</c:formatCode>
                <c:ptCount val="1"/>
                <c:pt idx="0">
                  <c:v>2.7737625858705277</c:v>
                </c:pt>
              </c:numCache>
            </c:numRef>
          </c:yVal>
          <c:smooth val="0"/>
        </c:ser>
        <c:ser>
          <c:idx val="2"/>
          <c:order val="1"/>
          <c:tx>
            <c:v>Stats</c:v>
          </c:tx>
          <c:spPr>
            <a:ln w="28575">
              <a:noFill/>
            </a:ln>
            <a:effectLst>
              <a:outerShdw dist="12700" algn="ctr" rotWithShape="0">
                <a:srgbClr val="CEB536"/>
              </a:outerShdw>
            </a:effectLst>
          </c:spPr>
          <c:marker>
            <c:symbol val="dot"/>
            <c:size val="22"/>
            <c:spPr>
              <a:solidFill>
                <a:srgbClr val="CEB536"/>
              </a:solidFill>
              <a:ln w="9525">
                <a:noFill/>
              </a:ln>
              <a:effectLst>
                <a:outerShdw dist="12700" algn="ctr" rotWithShape="0">
                  <a:srgbClr val="CEB536"/>
                </a:outerShdw>
              </a:effectLst>
            </c:spPr>
          </c:marker>
          <c:xVal>
            <c:numRef>
              <c:f>Calculations!$M$37</c:f>
              <c:numCache>
                <c:formatCode>General</c:formatCode>
                <c:ptCount val="1"/>
                <c:pt idx="0">
                  <c:v>2</c:v>
                </c:pt>
              </c:numCache>
            </c:numRef>
          </c:xVal>
          <c:yVal>
            <c:numRef>
              <c:f>Calculations!$P$63</c:f>
              <c:numCache>
                <c:formatCode>General</c:formatCode>
                <c:ptCount val="1"/>
                <c:pt idx="0">
                  <c:v>3.2186872365857266</c:v>
                </c:pt>
              </c:numCache>
            </c:numRef>
          </c:yVal>
          <c:smooth val="0"/>
        </c:ser>
        <c:ser>
          <c:idx val="0"/>
          <c:order val="2"/>
          <c:spPr>
            <a:ln w="28575">
              <a:noFill/>
            </a:ln>
          </c:spPr>
          <c:marker>
            <c:symbol val="square"/>
            <c:size val="25"/>
            <c:spPr>
              <a:solidFill>
                <a:schemeClr val="bg1">
                  <a:lumMod val="85000"/>
                </a:schemeClr>
              </a:solidFill>
              <a:ln w="6350">
                <a:noFill/>
              </a:ln>
            </c:spPr>
          </c:marker>
          <c:xVal>
            <c:numRef>
              <c:f>Calculations!$K$37:$K$41</c:f>
              <c:numCache>
                <c:formatCode>General</c:formatCode>
                <c:ptCount val="5"/>
                <c:pt idx="0">
                  <c:v>1</c:v>
                </c:pt>
                <c:pt idx="1">
                  <c:v>1</c:v>
                </c:pt>
                <c:pt idx="2">
                  <c:v>1</c:v>
                </c:pt>
                <c:pt idx="3">
                  <c:v>1</c:v>
                </c:pt>
                <c:pt idx="4">
                  <c:v>1</c:v>
                </c:pt>
              </c:numCache>
            </c:numRef>
          </c:xVal>
          <c:yVal>
            <c:numRef>
              <c:f>Calculations!$L$37:$L$41</c:f>
              <c:numCache>
                <c:formatCode>General</c:formatCode>
                <c:ptCount val="5"/>
                <c:pt idx="0">
                  <c:v>1</c:v>
                </c:pt>
                <c:pt idx="1">
                  <c:v>2</c:v>
                </c:pt>
                <c:pt idx="2">
                  <c:v>3</c:v>
                </c:pt>
                <c:pt idx="3">
                  <c:v>4</c:v>
                </c:pt>
                <c:pt idx="4">
                  <c:v>5</c:v>
                </c:pt>
              </c:numCache>
            </c:numRef>
          </c:yVal>
          <c:smooth val="0"/>
        </c:ser>
        <c:ser>
          <c:idx val="1"/>
          <c:order val="3"/>
          <c:spPr>
            <a:ln w="28575">
              <a:noFill/>
            </a:ln>
          </c:spPr>
          <c:marker>
            <c:symbol val="square"/>
            <c:size val="25"/>
            <c:spPr>
              <a:solidFill>
                <a:srgbClr val="104F75"/>
              </a:solidFill>
              <a:ln w="15875">
                <a:noFill/>
              </a:ln>
            </c:spPr>
          </c:marker>
          <c:xVal>
            <c:numRef>
              <c:f>Calculations!$K$37</c:f>
              <c:numCache>
                <c:formatCode>General</c:formatCode>
                <c:ptCount val="1"/>
                <c:pt idx="0">
                  <c:v>1</c:v>
                </c:pt>
              </c:numCache>
            </c:numRef>
          </c:xVal>
          <c:yVal>
            <c:numRef>
              <c:f>Calculations!$M$44</c:f>
              <c:numCache>
                <c:formatCode>General</c:formatCode>
                <c:ptCount val="1"/>
                <c:pt idx="0">
                  <c:v>-1</c:v>
                </c:pt>
              </c:numCache>
            </c:numRef>
          </c:yVal>
          <c:smooth val="0"/>
        </c:ser>
        <c:ser>
          <c:idx val="4"/>
          <c:order val="4"/>
          <c:spPr>
            <a:ln w="28575">
              <a:noFill/>
            </a:ln>
          </c:spPr>
          <c:marker>
            <c:symbol val="dot"/>
            <c:size val="22"/>
            <c:spPr>
              <a:solidFill>
                <a:srgbClr val="104F75"/>
              </a:solidFill>
              <a:ln w="15875">
                <a:noFill/>
              </a:ln>
            </c:spPr>
          </c:marker>
          <c:xVal>
            <c:numRef>
              <c:f>Calculations!$M$37</c:f>
              <c:numCache>
                <c:formatCode>General</c:formatCode>
                <c:ptCount val="1"/>
                <c:pt idx="0">
                  <c:v>2</c:v>
                </c:pt>
              </c:numCache>
            </c:numRef>
          </c:xVal>
          <c:yVal>
            <c:numRef>
              <c:f>Calculations!$M$63</c:f>
              <c:numCache>
                <c:formatCode>General</c:formatCode>
                <c:ptCount val="1"/>
                <c:pt idx="0">
                  <c:v>-1</c:v>
                </c:pt>
              </c:numCache>
            </c:numRef>
          </c:yVal>
          <c:smooth val="0"/>
        </c:ser>
        <c:dLbls>
          <c:showLegendKey val="0"/>
          <c:showVal val="0"/>
          <c:showCatName val="0"/>
          <c:showSerName val="0"/>
          <c:showPercent val="0"/>
          <c:showBubbleSize val="0"/>
        </c:dLbls>
        <c:axId val="85699584"/>
        <c:axId val="85709952"/>
      </c:scatterChart>
      <c:valAx>
        <c:axId val="85699584"/>
        <c:scaling>
          <c:orientation val="minMax"/>
        </c:scaling>
        <c:delete val="1"/>
        <c:axPos val="b"/>
        <c:numFmt formatCode="General" sourceLinked="1"/>
        <c:majorTickMark val="out"/>
        <c:minorTickMark val="none"/>
        <c:tickLblPos val="nextTo"/>
        <c:crossAx val="85709952"/>
        <c:crosses val="autoZero"/>
        <c:crossBetween val="midCat"/>
      </c:valAx>
      <c:valAx>
        <c:axId val="85709952"/>
        <c:scaling>
          <c:orientation val="minMax"/>
          <c:max val="5.5"/>
          <c:min val="0.5"/>
        </c:scaling>
        <c:delete val="1"/>
        <c:axPos val="l"/>
        <c:numFmt formatCode="General" sourceLinked="1"/>
        <c:majorTickMark val="out"/>
        <c:minorTickMark val="none"/>
        <c:tickLblPos val="nextTo"/>
        <c:crossAx val="85699584"/>
        <c:crosses val="autoZero"/>
        <c:crossBetween val="midCat"/>
      </c:valAx>
      <c:spPr>
        <a:noFill/>
      </c:spPr>
    </c:plotArea>
    <c:plotVisOnly val="1"/>
    <c:dispBlanksAs val="gap"/>
    <c:showDLblsOverMax val="0"/>
  </c:chart>
  <c:spPr>
    <a:noFill/>
    <a:ln w="12700">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_rels/vmlDrawing1.vml.rels><?xml version="1.0" encoding="UTF-8" standalone="yes"?>
<Relationships xmlns="http://schemas.openxmlformats.org/package/2006/relationships"><Relationship Id="rId8" Type="http://schemas.openxmlformats.org/officeDocument/2006/relationships/image" Target="../media/image24.emf"/><Relationship Id="rId13" Type="http://schemas.openxmlformats.org/officeDocument/2006/relationships/image" Target="../media/image29.emf"/><Relationship Id="rId18" Type="http://schemas.openxmlformats.org/officeDocument/2006/relationships/image" Target="../media/image14.emf"/><Relationship Id="rId26" Type="http://schemas.openxmlformats.org/officeDocument/2006/relationships/image" Target="../media/image8.emf"/><Relationship Id="rId39" Type="http://schemas.openxmlformats.org/officeDocument/2006/relationships/image" Target="../media/image42.emf"/><Relationship Id="rId3" Type="http://schemas.openxmlformats.org/officeDocument/2006/relationships/image" Target="../media/image19.emf"/><Relationship Id="rId21" Type="http://schemas.openxmlformats.org/officeDocument/2006/relationships/image" Target="../media/image33.emf"/><Relationship Id="rId34" Type="http://schemas.openxmlformats.org/officeDocument/2006/relationships/image" Target="../media/image39.emf"/><Relationship Id="rId42" Type="http://schemas.openxmlformats.org/officeDocument/2006/relationships/image" Target="../media/image44.emf"/><Relationship Id="rId7" Type="http://schemas.openxmlformats.org/officeDocument/2006/relationships/image" Target="../media/image23.emf"/><Relationship Id="rId12" Type="http://schemas.openxmlformats.org/officeDocument/2006/relationships/image" Target="../media/image28.emf"/><Relationship Id="rId17" Type="http://schemas.openxmlformats.org/officeDocument/2006/relationships/image" Target="../media/image15.emf"/><Relationship Id="rId25" Type="http://schemas.openxmlformats.org/officeDocument/2006/relationships/image" Target="../media/image9.emf"/><Relationship Id="rId33" Type="http://schemas.openxmlformats.org/officeDocument/2006/relationships/image" Target="../media/image38.emf"/><Relationship Id="rId38" Type="http://schemas.openxmlformats.org/officeDocument/2006/relationships/image" Target="../media/image41.emf"/><Relationship Id="rId46" Type="http://schemas.openxmlformats.org/officeDocument/2006/relationships/image" Target="../media/image48.emf"/><Relationship Id="rId2" Type="http://schemas.openxmlformats.org/officeDocument/2006/relationships/image" Target="../media/image18.emf"/><Relationship Id="rId16" Type="http://schemas.openxmlformats.org/officeDocument/2006/relationships/image" Target="../media/image16.emf"/><Relationship Id="rId20" Type="http://schemas.openxmlformats.org/officeDocument/2006/relationships/image" Target="../media/image32.emf"/><Relationship Id="rId29" Type="http://schemas.openxmlformats.org/officeDocument/2006/relationships/image" Target="../media/image34.emf"/><Relationship Id="rId41" Type="http://schemas.openxmlformats.org/officeDocument/2006/relationships/image" Target="../media/image3.emf"/><Relationship Id="rId1" Type="http://schemas.openxmlformats.org/officeDocument/2006/relationships/image" Target="../media/image17.emf"/><Relationship Id="rId6" Type="http://schemas.openxmlformats.org/officeDocument/2006/relationships/image" Target="../media/image22.emf"/><Relationship Id="rId11" Type="http://schemas.openxmlformats.org/officeDocument/2006/relationships/image" Target="../media/image27.emf"/><Relationship Id="rId24" Type="http://schemas.openxmlformats.org/officeDocument/2006/relationships/image" Target="../media/image10.emf"/><Relationship Id="rId32" Type="http://schemas.openxmlformats.org/officeDocument/2006/relationships/image" Target="../media/image37.emf"/><Relationship Id="rId37" Type="http://schemas.openxmlformats.org/officeDocument/2006/relationships/image" Target="../media/image40.emf"/><Relationship Id="rId40" Type="http://schemas.openxmlformats.org/officeDocument/2006/relationships/image" Target="../media/image43.emf"/><Relationship Id="rId45" Type="http://schemas.openxmlformats.org/officeDocument/2006/relationships/image" Target="../media/image47.emf"/><Relationship Id="rId5" Type="http://schemas.openxmlformats.org/officeDocument/2006/relationships/image" Target="../media/image21.emf"/><Relationship Id="rId15" Type="http://schemas.openxmlformats.org/officeDocument/2006/relationships/image" Target="../media/image31.emf"/><Relationship Id="rId23" Type="http://schemas.openxmlformats.org/officeDocument/2006/relationships/image" Target="../media/image11.emf"/><Relationship Id="rId28" Type="http://schemas.openxmlformats.org/officeDocument/2006/relationships/image" Target="../media/image6.emf"/><Relationship Id="rId36" Type="http://schemas.openxmlformats.org/officeDocument/2006/relationships/image" Target="../media/image4.emf"/><Relationship Id="rId10" Type="http://schemas.openxmlformats.org/officeDocument/2006/relationships/image" Target="../media/image26.emf"/><Relationship Id="rId19" Type="http://schemas.openxmlformats.org/officeDocument/2006/relationships/image" Target="../media/image13.emf"/><Relationship Id="rId31" Type="http://schemas.openxmlformats.org/officeDocument/2006/relationships/image" Target="../media/image36.emf"/><Relationship Id="rId44" Type="http://schemas.openxmlformats.org/officeDocument/2006/relationships/image" Target="../media/image46.emf"/><Relationship Id="rId4" Type="http://schemas.openxmlformats.org/officeDocument/2006/relationships/image" Target="../media/image20.emf"/><Relationship Id="rId9" Type="http://schemas.openxmlformats.org/officeDocument/2006/relationships/image" Target="../media/image25.emf"/><Relationship Id="rId14" Type="http://schemas.openxmlformats.org/officeDocument/2006/relationships/image" Target="../media/image30.emf"/><Relationship Id="rId22" Type="http://schemas.openxmlformats.org/officeDocument/2006/relationships/image" Target="../media/image12.emf"/><Relationship Id="rId27" Type="http://schemas.openxmlformats.org/officeDocument/2006/relationships/image" Target="../media/image7.emf"/><Relationship Id="rId30" Type="http://schemas.openxmlformats.org/officeDocument/2006/relationships/image" Target="../media/image35.emf"/><Relationship Id="rId35" Type="http://schemas.openxmlformats.org/officeDocument/2006/relationships/image" Target="../media/image5.emf"/><Relationship Id="rId43" Type="http://schemas.openxmlformats.org/officeDocument/2006/relationships/image" Target="../media/image45.emf"/></Relationships>
</file>

<file path=xl/drawings/drawing1.xml><?xml version="1.0" encoding="utf-8"?>
<xdr:wsDr xmlns:xdr="http://schemas.openxmlformats.org/drawingml/2006/spreadsheetDrawing" xmlns:a="http://schemas.openxmlformats.org/drawingml/2006/main">
  <xdr:twoCellAnchor editAs="oneCell">
    <xdr:from>
      <xdr:col>5</xdr:col>
      <xdr:colOff>38100</xdr:colOff>
      <xdr:row>8</xdr:row>
      <xdr:rowOff>167640</xdr:rowOff>
    </xdr:from>
    <xdr:to>
      <xdr:col>16</xdr:col>
      <xdr:colOff>160020</xdr:colOff>
      <xdr:row>32</xdr:row>
      <xdr:rowOff>20184</xdr:rowOff>
    </xdr:to>
    <xdr:pic>
      <xdr:nvPicPr>
        <xdr:cNvPr id="2" name="Picture 1"/>
        <xdr:cNvPicPr>
          <a:picLocks noChangeAspect="1"/>
        </xdr:cNvPicPr>
      </xdr:nvPicPr>
      <xdr:blipFill>
        <a:blip xmlns:r="http://schemas.openxmlformats.org/officeDocument/2006/relationships" r:embed="rId1"/>
        <a:stretch>
          <a:fillRect/>
        </a:stretch>
      </xdr:blipFill>
      <xdr:spPr>
        <a:xfrm>
          <a:off x="2575560" y="1737360"/>
          <a:ext cx="6827520" cy="4241664"/>
        </a:xfrm>
        <a:prstGeom prst="rect">
          <a:avLst/>
        </a:prstGeom>
      </xdr:spPr>
    </xdr:pic>
    <xdr:clientData/>
  </xdr:twoCellAnchor>
  <xdr:twoCellAnchor editAs="oneCell">
    <xdr:from>
      <xdr:col>1</xdr:col>
      <xdr:colOff>0</xdr:colOff>
      <xdr:row>1</xdr:row>
      <xdr:rowOff>0</xdr:rowOff>
    </xdr:from>
    <xdr:to>
      <xdr:col>13</xdr:col>
      <xdr:colOff>0</xdr:colOff>
      <xdr:row>5</xdr:row>
      <xdr:rowOff>0</xdr:rowOff>
    </xdr:to>
    <xdr:pic>
      <xdr:nvPicPr>
        <xdr:cNvPr id="3" name="Picture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7315200" cy="7315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9</xdr:row>
      <xdr:rowOff>0</xdr:rowOff>
    </xdr:from>
    <xdr:to>
      <xdr:col>5</xdr:col>
      <xdr:colOff>0</xdr:colOff>
      <xdr:row>17</xdr:row>
      <xdr:rowOff>0</xdr:rowOff>
    </xdr:to>
    <xdr:sp macro="" textlink="">
      <xdr:nvSpPr>
        <xdr:cNvPr id="5" name="TextBox 4"/>
        <xdr:cNvSpPr txBox="1"/>
      </xdr:nvSpPr>
      <xdr:spPr>
        <a:xfrm>
          <a:off x="0" y="1295400"/>
          <a:ext cx="2438400" cy="146304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lang="en-GB" sz="1100" b="1"/>
            <a:t>1. Select</a:t>
          </a:r>
          <a:r>
            <a:rPr lang="en-GB" sz="1100" b="1" baseline="0"/>
            <a:t> the Local Authority whose data you wish to view:</a:t>
          </a:r>
          <a:r>
            <a:rPr lang="en-GB" sz="1100"/>
            <a:t> Selecting</a:t>
          </a:r>
          <a:r>
            <a:rPr lang="en-GB" sz="1100" baseline="0"/>
            <a:t> the arrow in this box opens a list of local authorities. Scroll using the bar to the right of the list to the LA of choice. Alternatively click in the box and type the name of the LA whose data you wish to view.</a:t>
          </a:r>
          <a:endParaRPr lang="en-GB" sz="1100"/>
        </a:p>
      </xdr:txBody>
    </xdr:sp>
    <xdr:clientData/>
  </xdr:twoCellAnchor>
  <xdr:twoCellAnchor>
    <xdr:from>
      <xdr:col>5</xdr:col>
      <xdr:colOff>0</xdr:colOff>
      <xdr:row>10</xdr:row>
      <xdr:rowOff>0</xdr:rowOff>
    </xdr:from>
    <xdr:to>
      <xdr:col>9</xdr:col>
      <xdr:colOff>533400</xdr:colOff>
      <xdr:row>13</xdr:row>
      <xdr:rowOff>0</xdr:rowOff>
    </xdr:to>
    <xdr:cxnSp macro="">
      <xdr:nvCxnSpPr>
        <xdr:cNvPr id="7" name="Straight Arrow Connector 6"/>
        <xdr:cNvCxnSpPr>
          <a:stCxn id="5" idx="3"/>
        </xdr:cNvCxnSpPr>
      </xdr:nvCxnSpPr>
      <xdr:spPr>
        <a:xfrm flipV="1">
          <a:off x="2537460" y="1653540"/>
          <a:ext cx="2971800" cy="548640"/>
        </a:xfrm>
        <a:prstGeom prst="straightConnector1">
          <a:avLst/>
        </a:prstGeom>
        <a:ln>
          <a:solidFill>
            <a:schemeClr val="dk1">
              <a:alpha val="50000"/>
            </a:schemeClr>
          </a:solidFill>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xdr:col>
      <xdr:colOff>0</xdr:colOff>
      <xdr:row>17</xdr:row>
      <xdr:rowOff>0</xdr:rowOff>
    </xdr:from>
    <xdr:to>
      <xdr:col>5</xdr:col>
      <xdr:colOff>0</xdr:colOff>
      <xdr:row>22</xdr:row>
      <xdr:rowOff>0</xdr:rowOff>
    </xdr:to>
    <xdr:sp macro="" textlink="">
      <xdr:nvSpPr>
        <xdr:cNvPr id="9" name="TextBox 8"/>
        <xdr:cNvSpPr txBox="1"/>
      </xdr:nvSpPr>
      <xdr:spPr>
        <a:xfrm>
          <a:off x="0" y="2758440"/>
          <a:ext cx="2438400" cy="91440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lang="en-GB" sz="1100" b="1"/>
            <a:t>2. Select</a:t>
          </a:r>
          <a:r>
            <a:rPr lang="en-GB" sz="1100" b="1" baseline="0"/>
            <a:t> the phase of education for which you wish to view the data:</a:t>
          </a:r>
          <a:r>
            <a:rPr lang="en-GB" sz="1100"/>
            <a:t> Select</a:t>
          </a:r>
          <a:r>
            <a:rPr lang="en-GB" sz="1100" baseline="0"/>
            <a:t> the arrow in this box to bring up a selection of 'Primary' or 'Secondary'.</a:t>
          </a:r>
          <a:endParaRPr lang="en-GB" sz="1100"/>
        </a:p>
      </xdr:txBody>
    </xdr:sp>
    <xdr:clientData/>
  </xdr:twoCellAnchor>
  <xdr:twoCellAnchor>
    <xdr:from>
      <xdr:col>5</xdr:col>
      <xdr:colOff>0</xdr:colOff>
      <xdr:row>10</xdr:row>
      <xdr:rowOff>22860</xdr:rowOff>
    </xdr:from>
    <xdr:to>
      <xdr:col>11</xdr:col>
      <xdr:colOff>327660</xdr:colOff>
      <xdr:row>19</xdr:row>
      <xdr:rowOff>91440</xdr:rowOff>
    </xdr:to>
    <xdr:cxnSp macro="">
      <xdr:nvCxnSpPr>
        <xdr:cNvPr id="10" name="Straight Arrow Connector 9"/>
        <xdr:cNvCxnSpPr>
          <a:stCxn id="9" idx="3"/>
        </xdr:cNvCxnSpPr>
      </xdr:nvCxnSpPr>
      <xdr:spPr>
        <a:xfrm flipV="1">
          <a:off x="2537460" y="1676400"/>
          <a:ext cx="3985260" cy="1714500"/>
        </a:xfrm>
        <a:prstGeom prst="straightConnector1">
          <a:avLst/>
        </a:prstGeom>
        <a:ln>
          <a:solidFill>
            <a:schemeClr val="dk1">
              <a:alpha val="50000"/>
            </a:schemeClr>
          </a:solidFill>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xdr:col>
      <xdr:colOff>0</xdr:colOff>
      <xdr:row>22</xdr:row>
      <xdr:rowOff>0</xdr:rowOff>
    </xdr:from>
    <xdr:to>
      <xdr:col>5</xdr:col>
      <xdr:colOff>0</xdr:colOff>
      <xdr:row>32</xdr:row>
      <xdr:rowOff>0</xdr:rowOff>
    </xdr:to>
    <xdr:sp macro="" textlink="">
      <xdr:nvSpPr>
        <xdr:cNvPr id="13" name="TextBox 12"/>
        <xdr:cNvSpPr txBox="1"/>
      </xdr:nvSpPr>
      <xdr:spPr>
        <a:xfrm>
          <a:off x="0" y="3672840"/>
          <a:ext cx="2438400" cy="182880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lang="en-GB" sz="1100" b="1"/>
            <a:t>3. Select</a:t>
          </a:r>
          <a:r>
            <a:rPr lang="en-GB" sz="1100" b="1" baseline="0"/>
            <a:t> the quality measure you would like to view:</a:t>
          </a:r>
          <a:r>
            <a:rPr lang="en-GB" sz="1100"/>
            <a:t> Select</a:t>
          </a:r>
          <a:r>
            <a:rPr lang="en-GB" sz="1100" baseline="0"/>
            <a:t> the arrow here to bring up a selection of 'Ofsted Rating', ' KS2 Value Added' or 'KS4 Value Added'. Please note that selecting KS2 with the secondary phase, or KS4 with the Primary phase will result in no information being presented in the Quality measure.</a:t>
          </a:r>
          <a:endParaRPr lang="en-GB" sz="1100"/>
        </a:p>
      </xdr:txBody>
    </xdr:sp>
    <xdr:clientData/>
  </xdr:twoCellAnchor>
  <xdr:twoCellAnchor>
    <xdr:from>
      <xdr:col>5</xdr:col>
      <xdr:colOff>0</xdr:colOff>
      <xdr:row>23</xdr:row>
      <xdr:rowOff>30480</xdr:rowOff>
    </xdr:from>
    <xdr:to>
      <xdr:col>10</xdr:col>
      <xdr:colOff>548640</xdr:colOff>
      <xdr:row>27</xdr:row>
      <xdr:rowOff>0</xdr:rowOff>
    </xdr:to>
    <xdr:cxnSp macro="">
      <xdr:nvCxnSpPr>
        <xdr:cNvPr id="19" name="Straight Arrow Connector 18"/>
        <xdr:cNvCxnSpPr>
          <a:stCxn id="13" idx="3"/>
        </xdr:cNvCxnSpPr>
      </xdr:nvCxnSpPr>
      <xdr:spPr>
        <a:xfrm flipV="1">
          <a:off x="2537460" y="4061460"/>
          <a:ext cx="3596640" cy="701040"/>
        </a:xfrm>
        <a:prstGeom prst="straightConnector1">
          <a:avLst/>
        </a:prstGeom>
        <a:ln>
          <a:solidFill>
            <a:schemeClr val="dk1">
              <a:alpha val="50000"/>
            </a:schemeClr>
          </a:solidFill>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16</xdr:col>
      <xdr:colOff>198120</xdr:colOff>
      <xdr:row>11</xdr:row>
      <xdr:rowOff>91440</xdr:rowOff>
    </xdr:from>
    <xdr:to>
      <xdr:col>21</xdr:col>
      <xdr:colOff>358140</xdr:colOff>
      <xdr:row>20</xdr:row>
      <xdr:rowOff>160020</xdr:rowOff>
    </xdr:to>
    <xdr:sp macro="" textlink="">
      <xdr:nvSpPr>
        <xdr:cNvPr id="22" name="TextBox 21"/>
        <xdr:cNvSpPr txBox="1"/>
      </xdr:nvSpPr>
      <xdr:spPr>
        <a:xfrm>
          <a:off x="9441180" y="1927860"/>
          <a:ext cx="3208020" cy="1714500"/>
        </a:xfrm>
        <a:prstGeom prst="rect">
          <a:avLst/>
        </a:prstGeom>
        <a:solidFill>
          <a:srgbClr val="104F75"/>
        </a:solidFill>
        <a:ln w="19050" cmpd="sng">
          <a:solidFill>
            <a:srgbClr val="104F75"/>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bg1"/>
              </a:solidFill>
            </a:rPr>
            <a:t>QUANTITY</a:t>
          </a:r>
        </a:p>
        <a:p>
          <a:r>
            <a:rPr lang="en-GB" sz="1100">
              <a:solidFill>
                <a:schemeClr val="bg1"/>
              </a:solidFill>
            </a:rPr>
            <a:t>This measure shows how</a:t>
          </a:r>
          <a:r>
            <a:rPr lang="en-GB" sz="1100" baseline="0">
              <a:solidFill>
                <a:schemeClr val="bg1"/>
              </a:solidFill>
            </a:rPr>
            <a:t> many places have been created since 2009/10, how many further places are firmly planned to 2017/18 and the estimated number of places still needed to meet demand in 2017/18.</a:t>
          </a:r>
        </a:p>
        <a:p>
          <a:r>
            <a:rPr lang="en-GB" sz="1100" baseline="0">
              <a:solidFill>
                <a:schemeClr val="bg1"/>
              </a:solidFill>
            </a:rPr>
            <a:t>Alongside, the accuracy of 2014/15 pupil number forecasts, made one year previously and three years previously, are presented.</a:t>
          </a:r>
          <a:endParaRPr lang="en-GB" sz="1100">
            <a:solidFill>
              <a:schemeClr val="bg1"/>
            </a:solidFill>
          </a:endParaRPr>
        </a:p>
      </xdr:txBody>
    </xdr:sp>
    <xdr:clientData/>
  </xdr:twoCellAnchor>
  <xdr:twoCellAnchor>
    <xdr:from>
      <xdr:col>20</xdr:col>
      <xdr:colOff>510540</xdr:colOff>
      <xdr:row>21</xdr:row>
      <xdr:rowOff>45720</xdr:rowOff>
    </xdr:from>
    <xdr:to>
      <xdr:col>24</xdr:col>
      <xdr:colOff>518160</xdr:colOff>
      <xdr:row>32</xdr:row>
      <xdr:rowOff>22860</xdr:rowOff>
    </xdr:to>
    <xdr:sp macro="" textlink="">
      <xdr:nvSpPr>
        <xdr:cNvPr id="24" name="TextBox 23"/>
        <xdr:cNvSpPr txBox="1"/>
      </xdr:nvSpPr>
      <xdr:spPr>
        <a:xfrm>
          <a:off x="12192000" y="3710940"/>
          <a:ext cx="2446020" cy="1988820"/>
        </a:xfrm>
        <a:prstGeom prst="rect">
          <a:avLst/>
        </a:prstGeom>
        <a:solidFill>
          <a:srgbClr val="104F75"/>
        </a:solidFill>
        <a:ln w="19050" cmpd="sng">
          <a:solidFill>
            <a:srgbClr val="104F75"/>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bg1"/>
              </a:solidFill>
            </a:rPr>
            <a:t>COST</a:t>
          </a:r>
        </a:p>
        <a:p>
          <a:r>
            <a:rPr lang="en-GB" sz="1100">
              <a:solidFill>
                <a:schemeClr val="bg1"/>
              </a:solidFill>
            </a:rPr>
            <a:t>This measure shows the average cost per place of creating new</a:t>
          </a:r>
          <a:r>
            <a:rPr lang="en-GB" sz="1100" baseline="0">
              <a:solidFill>
                <a:schemeClr val="bg1"/>
              </a:solidFill>
            </a:rPr>
            <a:t> places in permanent expansions, temporary expansions and new schools. Each square box represents a quintile, and the bars represent the position of the LA, the median cost per place of statistical neighbours and the median cost per place of the region, within their respective quintiles.</a:t>
          </a:r>
          <a:endParaRPr lang="en-GB" sz="1100">
            <a:solidFill>
              <a:schemeClr val="bg1"/>
            </a:solidFill>
          </a:endParaRPr>
        </a:p>
      </xdr:txBody>
    </xdr:sp>
    <xdr:clientData/>
  </xdr:twoCellAnchor>
  <xdr:twoCellAnchor>
    <xdr:from>
      <xdr:col>16</xdr:col>
      <xdr:colOff>198120</xdr:colOff>
      <xdr:row>21</xdr:row>
      <xdr:rowOff>45720</xdr:rowOff>
    </xdr:from>
    <xdr:to>
      <xdr:col>20</xdr:col>
      <xdr:colOff>426720</xdr:colOff>
      <xdr:row>32</xdr:row>
      <xdr:rowOff>24840</xdr:rowOff>
    </xdr:to>
    <xdr:sp macro="" textlink="">
      <xdr:nvSpPr>
        <xdr:cNvPr id="25" name="TextBox 24"/>
        <xdr:cNvSpPr txBox="1"/>
      </xdr:nvSpPr>
      <xdr:spPr>
        <a:xfrm>
          <a:off x="9441180" y="3710940"/>
          <a:ext cx="2667000" cy="1990800"/>
        </a:xfrm>
        <a:prstGeom prst="rect">
          <a:avLst/>
        </a:prstGeom>
        <a:solidFill>
          <a:srgbClr val="104F75"/>
        </a:solidFill>
        <a:ln w="19050" cmpd="sng">
          <a:solidFill>
            <a:srgbClr val="104F75"/>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bg1"/>
              </a:solidFill>
            </a:rPr>
            <a:t>QUALITY</a:t>
          </a:r>
        </a:p>
        <a:p>
          <a:r>
            <a:rPr lang="en-GB" sz="1100">
              <a:solidFill>
                <a:schemeClr val="bg1"/>
              </a:solidFill>
            </a:rPr>
            <a:t>This</a:t>
          </a:r>
          <a:r>
            <a:rPr lang="en-GB" sz="1100" baseline="0">
              <a:solidFill>
                <a:schemeClr val="bg1"/>
              </a:solidFill>
            </a:rPr>
            <a:t> measure shows the quality of the places created between 2013/14 and 2014/15 in the selected LA. This is compared to the quality of existing places in the selected LA and the overall picture in England.</a:t>
          </a:r>
          <a:endParaRPr lang="en-GB" sz="1100">
            <a:solidFill>
              <a:schemeClr val="bg1"/>
            </a:solidFill>
          </a:endParaRPr>
        </a:p>
      </xdr:txBody>
    </xdr:sp>
    <xdr:clientData/>
  </xdr:twoCellAnchor>
  <xdr:twoCellAnchor>
    <xdr:from>
      <xdr:col>21</xdr:col>
      <xdr:colOff>426720</xdr:colOff>
      <xdr:row>11</xdr:row>
      <xdr:rowOff>91440</xdr:rowOff>
    </xdr:from>
    <xdr:to>
      <xdr:col>24</xdr:col>
      <xdr:colOff>518160</xdr:colOff>
      <xdr:row>20</xdr:row>
      <xdr:rowOff>159120</xdr:rowOff>
    </xdr:to>
    <xdr:sp macro="" textlink="">
      <xdr:nvSpPr>
        <xdr:cNvPr id="14" name="TextBox 13"/>
        <xdr:cNvSpPr txBox="1"/>
      </xdr:nvSpPr>
      <xdr:spPr>
        <a:xfrm>
          <a:off x="12717780" y="1927860"/>
          <a:ext cx="1920240" cy="1713600"/>
        </a:xfrm>
        <a:prstGeom prst="rect">
          <a:avLst/>
        </a:prstGeom>
        <a:solidFill>
          <a:srgbClr val="104F75"/>
        </a:solidFill>
        <a:ln w="19050" cmpd="sng">
          <a:solidFill>
            <a:srgbClr val="104F75"/>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bg1"/>
              </a:solidFill>
            </a:rPr>
            <a:t>PREFERENCE</a:t>
          </a:r>
        </a:p>
        <a:p>
          <a:r>
            <a:rPr lang="en-GB" sz="1100">
              <a:solidFill>
                <a:schemeClr val="bg1"/>
              </a:solidFill>
            </a:rPr>
            <a:t>This measure shows the proportion of applicants who</a:t>
          </a:r>
          <a:r>
            <a:rPr lang="en-GB" sz="1100" baseline="0">
              <a:solidFill>
                <a:schemeClr val="bg1"/>
              </a:solidFill>
            </a:rPr>
            <a:t> received an offer of a place in one of their top three preferences. The chart shows the proportions of applicants offered a place in their first, second and third choices.</a:t>
          </a:r>
          <a:endParaRPr lang="en-GB" sz="1100">
            <a:solidFill>
              <a:schemeClr val="bg1"/>
            </a:solidFill>
          </a:endParaRPr>
        </a:p>
      </xdr:txBody>
    </xdr:sp>
    <xdr:clientData/>
  </xdr:twoCellAnchor>
  <xdr:twoCellAnchor>
    <xdr:from>
      <xdr:col>16</xdr:col>
      <xdr:colOff>198120</xdr:colOff>
      <xdr:row>8</xdr:row>
      <xdr:rowOff>144780</xdr:rowOff>
    </xdr:from>
    <xdr:to>
      <xdr:col>24</xdr:col>
      <xdr:colOff>518160</xdr:colOff>
      <xdr:row>11</xdr:row>
      <xdr:rowOff>30480</xdr:rowOff>
    </xdr:to>
    <xdr:sp macro="" textlink="">
      <xdr:nvSpPr>
        <xdr:cNvPr id="18" name="TextBox 17"/>
        <xdr:cNvSpPr txBox="1"/>
      </xdr:nvSpPr>
      <xdr:spPr>
        <a:xfrm>
          <a:off x="9441180" y="1432560"/>
          <a:ext cx="5196840" cy="434340"/>
        </a:xfrm>
        <a:prstGeom prst="rect">
          <a:avLst/>
        </a:prstGeom>
        <a:solidFill>
          <a:srgbClr val="104F75"/>
        </a:solidFill>
        <a:ln w="19050" cmpd="sng">
          <a:solidFill>
            <a:srgbClr val="104F75"/>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bg1"/>
              </a:solidFill>
            </a:rPr>
            <a:t>BANNER</a:t>
          </a:r>
          <a:r>
            <a:rPr lang="en-GB" sz="1100" baseline="0">
              <a:solidFill>
                <a:schemeClr val="bg1"/>
              </a:solidFill>
            </a:rPr>
            <a:t> </a:t>
          </a:r>
          <a:r>
            <a:rPr lang="en-GB" sz="1100">
              <a:solidFill>
                <a:schemeClr val="bg1"/>
              </a:solidFill>
            </a:rPr>
            <a:t>Shows</a:t>
          </a:r>
          <a:r>
            <a:rPr lang="en-GB" sz="1100" baseline="0">
              <a:solidFill>
                <a:schemeClr val="bg1"/>
              </a:solidFill>
            </a:rPr>
            <a:t> the total basic need funding allocation and the growth in pupil numbers since 2009/10 for the selected phase.</a:t>
          </a:r>
          <a:endParaRPr lang="en-GB" sz="1100">
            <a:solidFill>
              <a:schemeClr val="bg1"/>
            </a:solidFill>
          </a:endParaRPr>
        </a:p>
        <a:p>
          <a:endParaRPr lang="en-GB" sz="1100">
            <a:solidFill>
              <a:schemeClr val="bg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13</xdr:col>
      <xdr:colOff>0</xdr:colOff>
      <xdr:row>5</xdr:row>
      <xdr:rowOff>0</xdr:rowOff>
    </xdr:from>
    <xdr:to>
      <xdr:col>22</xdr:col>
      <xdr:colOff>129180</xdr:colOff>
      <xdr:row>11</xdr:row>
      <xdr:rowOff>0</xdr:rowOff>
    </xdr:to>
    <xdr:graphicFrame macro="">
      <xdr:nvGraphicFramePr>
        <xdr:cNvPr id="55" name="Chart 5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13</xdr:col>
      <xdr:colOff>0</xdr:colOff>
      <xdr:row>5</xdr:row>
      <xdr:rowOff>0</xdr:rowOff>
    </xdr:from>
    <xdr:to>
      <xdr:col>22</xdr:col>
      <xdr:colOff>129180</xdr:colOff>
      <xdr:row>11</xdr:row>
      <xdr:rowOff>0</xdr:rowOff>
    </xdr:to>
    <xdr:graphicFrame macro="">
      <xdr:nvGraphicFramePr>
        <xdr:cNvPr id="66" name="cha one year posi"/>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mc:AlternateContent xmlns:mc="http://schemas.openxmlformats.org/markup-compatibility/2006">
    <mc:Choice xmlns:a14="http://schemas.microsoft.com/office/drawing/2010/main" Requires="a14">
      <xdr:twoCellAnchor editAs="absolute">
        <xdr:from>
          <xdr:col>14</xdr:col>
          <xdr:colOff>30480</xdr:colOff>
          <xdr:row>8</xdr:row>
          <xdr:rowOff>0</xdr:rowOff>
        </xdr:from>
        <xdr:to>
          <xdr:col>22</xdr:col>
          <xdr:colOff>7620</xdr:colOff>
          <xdr:row>10</xdr:row>
          <xdr:rowOff>91440</xdr:rowOff>
        </xdr:to>
        <xdr:sp macro="" textlink="">
          <xdr:nvSpPr>
            <xdr:cNvPr id="7169" name="One-year-fore" hidden="1">
              <a:extLst>
                <a:ext uri="{63B3BB69-23CF-44E3-9099-C40C66FF867C}">
                  <a14:compatExt spid="_x0000_s71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11</xdr:col>
          <xdr:colOff>106680</xdr:colOff>
          <xdr:row>1</xdr:row>
          <xdr:rowOff>45720</xdr:rowOff>
        </xdr:from>
        <xdr:to>
          <xdr:col>15</xdr:col>
          <xdr:colOff>381000</xdr:colOff>
          <xdr:row>2</xdr:row>
          <xdr:rowOff>182880</xdr:rowOff>
        </xdr:to>
        <xdr:sp macro="" textlink="">
          <xdr:nvSpPr>
            <xdr:cNvPr id="7170" name="ComboBox1" hidden="1">
              <a:extLst>
                <a:ext uri="{63B3BB69-23CF-44E3-9099-C40C66FF867C}">
                  <a14:compatExt spid="_x0000_s717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4</xdr:col>
          <xdr:colOff>45720</xdr:colOff>
          <xdr:row>1</xdr:row>
          <xdr:rowOff>45720</xdr:rowOff>
        </xdr:from>
        <xdr:to>
          <xdr:col>10</xdr:col>
          <xdr:colOff>441960</xdr:colOff>
          <xdr:row>2</xdr:row>
          <xdr:rowOff>190500</xdr:rowOff>
        </xdr:to>
        <xdr:sp macro="" textlink="">
          <xdr:nvSpPr>
            <xdr:cNvPr id="7171" name="ComboBox2" hidden="1">
              <a:extLst>
                <a:ext uri="{63B3BB69-23CF-44E3-9099-C40C66FF867C}">
                  <a14:compatExt spid="_x0000_s7171"/>
                </a:ext>
              </a:extLst>
            </xdr:cNvPr>
            <xdr:cNvSpPr/>
          </xdr:nvSpPr>
          <xdr:spPr>
            <a:xfrm>
              <a:off x="0" y="0"/>
              <a:ext cx="0" cy="0"/>
            </a:xfrm>
            <a:prstGeom prst="rect">
              <a:avLst/>
            </a:prstGeom>
          </xdr:spPr>
        </xdr:sp>
        <xdr:clientData fLocksWithSheet="0"/>
      </xdr:twoCellAnchor>
    </mc:Choice>
    <mc:Fallback/>
  </mc:AlternateContent>
  <xdr:twoCellAnchor editAs="absolute">
    <xdr:from>
      <xdr:col>1</xdr:col>
      <xdr:colOff>0</xdr:colOff>
      <xdr:row>6</xdr:row>
      <xdr:rowOff>0</xdr:rowOff>
    </xdr:from>
    <xdr:to>
      <xdr:col>13</xdr:col>
      <xdr:colOff>0</xdr:colOff>
      <xdr:row>15</xdr:row>
      <xdr:rowOff>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mc:AlternateContent xmlns:mc="http://schemas.openxmlformats.org/markup-compatibility/2006">
    <mc:Choice xmlns:a14="http://schemas.microsoft.com/office/drawing/2010/main" Requires="a14">
      <xdr:twoCellAnchor editAs="absolute">
        <xdr:from>
          <xdr:col>16</xdr:col>
          <xdr:colOff>0</xdr:colOff>
          <xdr:row>1</xdr:row>
          <xdr:rowOff>45720</xdr:rowOff>
        </xdr:from>
        <xdr:to>
          <xdr:col>18</xdr:col>
          <xdr:colOff>160020</xdr:colOff>
          <xdr:row>2</xdr:row>
          <xdr:rowOff>182880</xdr:rowOff>
        </xdr:to>
        <xdr:sp macro="" textlink="">
          <xdr:nvSpPr>
            <xdr:cNvPr id="7174" name="TextBox8" hidden="1">
              <a:extLst>
                <a:ext uri="{63B3BB69-23CF-44E3-9099-C40C66FF867C}">
                  <a14:compatExt spid="_x0000_s71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20</xdr:col>
          <xdr:colOff>175260</xdr:colOff>
          <xdr:row>1</xdr:row>
          <xdr:rowOff>45720</xdr:rowOff>
        </xdr:from>
        <xdr:to>
          <xdr:col>23</xdr:col>
          <xdr:colOff>198120</xdr:colOff>
          <xdr:row>2</xdr:row>
          <xdr:rowOff>182880</xdr:rowOff>
        </xdr:to>
        <xdr:sp macro="" textlink="">
          <xdr:nvSpPr>
            <xdr:cNvPr id="7175" name="TextBox11" hidden="1">
              <a:extLst>
                <a:ext uri="{63B3BB69-23CF-44E3-9099-C40C66FF867C}">
                  <a14:compatExt spid="_x0000_s71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182880</xdr:colOff>
          <xdr:row>15</xdr:row>
          <xdr:rowOff>99060</xdr:rowOff>
        </xdr:from>
        <xdr:to>
          <xdr:col>5</xdr:col>
          <xdr:colOff>182880</xdr:colOff>
          <xdr:row>17</xdr:row>
          <xdr:rowOff>45720</xdr:rowOff>
        </xdr:to>
        <xdr:sp macro="" textlink="">
          <xdr:nvSpPr>
            <xdr:cNvPr id="7178" name="TextBox13" hidden="1">
              <a:extLst>
                <a:ext uri="{63B3BB69-23CF-44E3-9099-C40C66FF867C}">
                  <a14:compatExt spid="_x0000_s71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381000</xdr:colOff>
          <xdr:row>15</xdr:row>
          <xdr:rowOff>99060</xdr:rowOff>
        </xdr:from>
        <xdr:to>
          <xdr:col>8</xdr:col>
          <xdr:colOff>358140</xdr:colOff>
          <xdr:row>17</xdr:row>
          <xdr:rowOff>45720</xdr:rowOff>
        </xdr:to>
        <xdr:sp macro="" textlink="">
          <xdr:nvSpPr>
            <xdr:cNvPr id="7179" name="TextBox14" hidden="1">
              <a:extLst>
                <a:ext uri="{63B3BB69-23CF-44E3-9099-C40C66FF867C}">
                  <a14:compatExt spid="_x0000_s7179"/>
                </a:ext>
              </a:extLst>
            </xdr:cNvPr>
            <xdr:cNvSpPr/>
          </xdr:nvSpPr>
          <xdr:spPr>
            <a:xfrm>
              <a:off x="0" y="0"/>
              <a:ext cx="0" cy="0"/>
            </a:xfrm>
            <a:prstGeom prst="rect">
              <a:avLst/>
            </a:prstGeom>
          </xdr:spPr>
        </xdr:sp>
        <xdr:clientData/>
      </xdr:twoCellAnchor>
    </mc:Choice>
    <mc:Fallback/>
  </mc:AlternateContent>
  <xdr:twoCellAnchor editAs="absolute">
    <xdr:from>
      <xdr:col>1</xdr:col>
      <xdr:colOff>95984</xdr:colOff>
      <xdr:row>15</xdr:row>
      <xdr:rowOff>136736</xdr:rowOff>
    </xdr:from>
    <xdr:to>
      <xdr:col>2</xdr:col>
      <xdr:colOff>184124</xdr:colOff>
      <xdr:row>16</xdr:row>
      <xdr:rowOff>145204</xdr:rowOff>
    </xdr:to>
    <xdr:sp macro="" textlink="">
      <xdr:nvSpPr>
        <xdr:cNvPr id="20" name="Rectangle 19"/>
        <xdr:cNvSpPr/>
      </xdr:nvSpPr>
      <xdr:spPr>
        <a:xfrm>
          <a:off x="172184" y="2796116"/>
          <a:ext cx="187200" cy="191348"/>
        </a:xfrm>
        <a:prstGeom prst="rect">
          <a:avLst/>
        </a:prstGeom>
        <a:solidFill>
          <a:srgbClr val="66917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editAs="absolute">
    <xdr:from>
      <xdr:col>5</xdr:col>
      <xdr:colOff>173298</xdr:colOff>
      <xdr:row>15</xdr:row>
      <xdr:rowOff>136736</xdr:rowOff>
    </xdr:from>
    <xdr:to>
      <xdr:col>5</xdr:col>
      <xdr:colOff>359564</xdr:colOff>
      <xdr:row>16</xdr:row>
      <xdr:rowOff>145204</xdr:rowOff>
    </xdr:to>
    <xdr:sp macro="" textlink="">
      <xdr:nvSpPr>
        <xdr:cNvPr id="22" name="Rectangle 21"/>
        <xdr:cNvSpPr/>
      </xdr:nvSpPr>
      <xdr:spPr>
        <a:xfrm>
          <a:off x="1743018" y="2796116"/>
          <a:ext cx="186266" cy="191348"/>
        </a:xfrm>
        <a:prstGeom prst="rect">
          <a:avLst/>
        </a:prstGeom>
        <a:solidFill>
          <a:srgbClr val="99B5A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editAs="absolute">
    <xdr:from>
      <xdr:col>1</xdr:col>
      <xdr:colOff>0</xdr:colOff>
      <xdr:row>22</xdr:row>
      <xdr:rowOff>45720</xdr:rowOff>
    </xdr:from>
    <xdr:to>
      <xdr:col>13</xdr:col>
      <xdr:colOff>0</xdr:colOff>
      <xdr:row>33</xdr:row>
      <xdr:rowOff>0</xdr:rowOff>
    </xdr:to>
    <xdr:graphicFrame macro="">
      <xdr:nvGraphicFramePr>
        <xdr:cNvPr id="23" name="Chart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mc:AlternateContent xmlns:mc="http://schemas.openxmlformats.org/markup-compatibility/2006">
    <mc:Choice xmlns:a14="http://schemas.microsoft.com/office/drawing/2010/main" Requires="a14">
      <xdr:twoCellAnchor editAs="absolute">
        <xdr:from>
          <xdr:col>8</xdr:col>
          <xdr:colOff>381000</xdr:colOff>
          <xdr:row>21</xdr:row>
          <xdr:rowOff>0</xdr:rowOff>
        </xdr:from>
        <xdr:to>
          <xdr:col>12</xdr:col>
          <xdr:colOff>411480</xdr:colOff>
          <xdr:row>22</xdr:row>
          <xdr:rowOff>68580</xdr:rowOff>
        </xdr:to>
        <xdr:sp macro="" textlink="">
          <xdr:nvSpPr>
            <xdr:cNvPr id="7181" name="ComboBox3" hidden="1">
              <a:extLst>
                <a:ext uri="{63B3BB69-23CF-44E3-9099-C40C66FF867C}">
                  <a14:compatExt spid="_x0000_s718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22</xdr:col>
          <xdr:colOff>114300</xdr:colOff>
          <xdr:row>21</xdr:row>
          <xdr:rowOff>30480</xdr:rowOff>
        </xdr:from>
        <xdr:to>
          <xdr:col>24</xdr:col>
          <xdr:colOff>411480</xdr:colOff>
          <xdr:row>22</xdr:row>
          <xdr:rowOff>30480</xdr:rowOff>
        </xdr:to>
        <xdr:sp macro="" textlink="">
          <xdr:nvSpPr>
            <xdr:cNvPr id="7182" name="TextBox1" hidden="1">
              <a:extLst>
                <a:ext uri="{63B3BB69-23CF-44E3-9099-C40C66FF867C}">
                  <a14:compatExt spid="_x0000_s71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17</xdr:col>
          <xdr:colOff>441960</xdr:colOff>
          <xdr:row>21</xdr:row>
          <xdr:rowOff>30480</xdr:rowOff>
        </xdr:from>
        <xdr:to>
          <xdr:col>22</xdr:col>
          <xdr:colOff>129540</xdr:colOff>
          <xdr:row>22</xdr:row>
          <xdr:rowOff>30480</xdr:rowOff>
        </xdr:to>
        <xdr:sp macro="" textlink="">
          <xdr:nvSpPr>
            <xdr:cNvPr id="7183" name="TextBox2" hidden="1">
              <a:extLst>
                <a:ext uri="{63B3BB69-23CF-44E3-9099-C40C66FF867C}">
                  <a14:compatExt spid="_x0000_s71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15</xdr:col>
          <xdr:colOff>22860</xdr:colOff>
          <xdr:row>21</xdr:row>
          <xdr:rowOff>30480</xdr:rowOff>
        </xdr:from>
        <xdr:to>
          <xdr:col>18</xdr:col>
          <xdr:colOff>45720</xdr:colOff>
          <xdr:row>22</xdr:row>
          <xdr:rowOff>30480</xdr:rowOff>
        </xdr:to>
        <xdr:sp macro="" textlink="">
          <xdr:nvSpPr>
            <xdr:cNvPr id="7184" name="TextBox3" hidden="1">
              <a:extLst>
                <a:ext uri="{63B3BB69-23CF-44E3-9099-C40C66FF867C}">
                  <a14:compatExt spid="_x0000_s71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23</xdr:col>
          <xdr:colOff>228600</xdr:colOff>
          <xdr:row>1</xdr:row>
          <xdr:rowOff>0</xdr:rowOff>
        </xdr:from>
        <xdr:to>
          <xdr:col>26</xdr:col>
          <xdr:colOff>0</xdr:colOff>
          <xdr:row>3</xdr:row>
          <xdr:rowOff>0</xdr:rowOff>
        </xdr:to>
        <xdr:sp macro="" textlink="">
          <xdr:nvSpPr>
            <xdr:cNvPr id="7188" name="TextBox17" hidden="1">
              <a:extLst>
                <a:ext uri="{63B3BB69-23CF-44E3-9099-C40C66FF867C}">
                  <a14:compatExt spid="_x0000_s71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18</xdr:col>
          <xdr:colOff>175260</xdr:colOff>
          <xdr:row>1</xdr:row>
          <xdr:rowOff>0</xdr:rowOff>
        </xdr:from>
        <xdr:to>
          <xdr:col>21</xdr:col>
          <xdr:colOff>15240</xdr:colOff>
          <xdr:row>3</xdr:row>
          <xdr:rowOff>0</xdr:rowOff>
        </xdr:to>
        <xdr:sp macro="" textlink="">
          <xdr:nvSpPr>
            <xdr:cNvPr id="7189" name="TextBox18" hidden="1">
              <a:extLst>
                <a:ext uri="{63B3BB69-23CF-44E3-9099-C40C66FF867C}">
                  <a14:compatExt spid="_x0000_s71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15</xdr:col>
          <xdr:colOff>22860</xdr:colOff>
          <xdr:row>32</xdr:row>
          <xdr:rowOff>22860</xdr:rowOff>
        </xdr:from>
        <xdr:to>
          <xdr:col>17</xdr:col>
          <xdr:colOff>129540</xdr:colOff>
          <xdr:row>33</xdr:row>
          <xdr:rowOff>30480</xdr:rowOff>
        </xdr:to>
        <xdr:sp macro="" textlink="">
          <xdr:nvSpPr>
            <xdr:cNvPr id="7205" name="TextBox31" hidden="1">
              <a:extLst>
                <a:ext uri="{63B3BB69-23CF-44E3-9099-C40C66FF867C}">
                  <a14:compatExt spid="_x0000_s7205"/>
                </a:ext>
              </a:extLst>
            </xdr:cNvPr>
            <xdr:cNvSpPr/>
          </xdr:nvSpPr>
          <xdr:spPr>
            <a:xfrm>
              <a:off x="0" y="0"/>
              <a:ext cx="0" cy="0"/>
            </a:xfrm>
            <a:prstGeom prst="rect">
              <a:avLst/>
            </a:prstGeom>
          </xdr:spPr>
        </xdr:sp>
        <xdr:clientData/>
      </xdr:twoCellAnchor>
    </mc:Choice>
    <mc:Fallback/>
  </mc:AlternateContent>
  <xdr:twoCellAnchor editAs="absolute">
    <xdr:from>
      <xdr:col>16</xdr:col>
      <xdr:colOff>15240</xdr:colOff>
      <xdr:row>8</xdr:row>
      <xdr:rowOff>0</xdr:rowOff>
    </xdr:from>
    <xdr:to>
      <xdr:col>16</xdr:col>
      <xdr:colOff>205740</xdr:colOff>
      <xdr:row>8</xdr:row>
      <xdr:rowOff>0</xdr:rowOff>
    </xdr:to>
    <xdr:cxnSp macro="">
      <xdr:nvCxnSpPr>
        <xdr:cNvPr id="68" name="cnx one year left max"/>
        <xdr:cNvCxnSpPr/>
      </xdr:nvCxnSpPr>
      <xdr:spPr>
        <a:xfrm>
          <a:off x="5913120" y="1379220"/>
          <a:ext cx="190500" cy="0"/>
        </a:xfrm>
        <a:prstGeom prst="line">
          <a:avLst/>
        </a:prstGeom>
        <a:ln>
          <a:solidFill>
            <a:srgbClr val="104F75"/>
          </a:solidFill>
        </a:ln>
      </xdr:spPr>
      <xdr:style>
        <a:lnRef idx="1">
          <a:schemeClr val="dk1"/>
        </a:lnRef>
        <a:fillRef idx="0">
          <a:schemeClr val="dk1"/>
        </a:fillRef>
        <a:effectRef idx="0">
          <a:schemeClr val="dk1"/>
        </a:effectRef>
        <a:fontRef idx="minor">
          <a:schemeClr val="tx1"/>
        </a:fontRef>
      </xdr:style>
    </xdr:cxnSp>
    <xdr:clientData/>
  </xdr:twoCellAnchor>
  <xdr:twoCellAnchor editAs="absolute">
    <xdr:from>
      <xdr:col>18</xdr:col>
      <xdr:colOff>449580</xdr:colOff>
      <xdr:row>8</xdr:row>
      <xdr:rowOff>0</xdr:rowOff>
    </xdr:from>
    <xdr:to>
      <xdr:col>19</xdr:col>
      <xdr:colOff>175260</xdr:colOff>
      <xdr:row>8</xdr:row>
      <xdr:rowOff>0</xdr:rowOff>
    </xdr:to>
    <xdr:cxnSp macro="">
      <xdr:nvCxnSpPr>
        <xdr:cNvPr id="62" name="cnx one year right max"/>
        <xdr:cNvCxnSpPr/>
      </xdr:nvCxnSpPr>
      <xdr:spPr>
        <a:xfrm>
          <a:off x="7277100" y="1379220"/>
          <a:ext cx="190500" cy="0"/>
        </a:xfrm>
        <a:prstGeom prst="line">
          <a:avLst/>
        </a:prstGeom>
        <a:ln>
          <a:solidFill>
            <a:srgbClr val="104F75"/>
          </a:solidFill>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absolute">
        <xdr:from>
          <xdr:col>19</xdr:col>
          <xdr:colOff>0</xdr:colOff>
          <xdr:row>8</xdr:row>
          <xdr:rowOff>22860</xdr:rowOff>
        </xdr:from>
        <xdr:to>
          <xdr:col>21</xdr:col>
          <xdr:colOff>53340</xdr:colOff>
          <xdr:row>11</xdr:row>
          <xdr:rowOff>30480</xdr:rowOff>
        </xdr:to>
        <xdr:sp macro="" textlink="">
          <xdr:nvSpPr>
            <xdr:cNvPr id="7207" name="for_lab1" hidden="1">
              <a:extLst>
                <a:ext uri="{63B3BB69-23CF-44E3-9099-C40C66FF867C}">
                  <a14:compatExt spid="_x0000_s72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14</xdr:col>
          <xdr:colOff>30480</xdr:colOff>
          <xdr:row>8</xdr:row>
          <xdr:rowOff>22860</xdr:rowOff>
        </xdr:from>
        <xdr:to>
          <xdr:col>16</xdr:col>
          <xdr:colOff>243840</xdr:colOff>
          <xdr:row>11</xdr:row>
          <xdr:rowOff>30480</xdr:rowOff>
        </xdr:to>
        <xdr:sp macro="" textlink="">
          <xdr:nvSpPr>
            <xdr:cNvPr id="7208" name="For_lab2" hidden="1">
              <a:extLst>
                <a:ext uri="{63B3BB69-23CF-44E3-9099-C40C66FF867C}">
                  <a14:compatExt spid="_x0000_s7208"/>
                </a:ext>
              </a:extLst>
            </xdr:cNvPr>
            <xdr:cNvSpPr/>
          </xdr:nvSpPr>
          <xdr:spPr>
            <a:xfrm>
              <a:off x="0" y="0"/>
              <a:ext cx="0" cy="0"/>
            </a:xfrm>
            <a:prstGeom prst="rect">
              <a:avLst/>
            </a:prstGeom>
          </xdr:spPr>
        </xdr:sp>
        <xdr:clientData/>
      </xdr:twoCellAnchor>
    </mc:Choice>
    <mc:Fallback/>
  </mc:AlternateContent>
  <xdr:twoCellAnchor editAs="absolute">
    <xdr:from>
      <xdr:col>13</xdr:col>
      <xdr:colOff>0</xdr:colOff>
      <xdr:row>12</xdr:row>
      <xdr:rowOff>0</xdr:rowOff>
    </xdr:from>
    <xdr:to>
      <xdr:col>22</xdr:col>
      <xdr:colOff>129180</xdr:colOff>
      <xdr:row>19</xdr:row>
      <xdr:rowOff>74820</xdr:rowOff>
    </xdr:to>
    <xdr:graphicFrame macro="">
      <xdr:nvGraphicFramePr>
        <xdr:cNvPr id="71" name="cha one year posi"/>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absolute">
    <xdr:from>
      <xdr:col>13</xdr:col>
      <xdr:colOff>0</xdr:colOff>
      <xdr:row>12</xdr:row>
      <xdr:rowOff>0</xdr:rowOff>
    </xdr:from>
    <xdr:to>
      <xdr:col>22</xdr:col>
      <xdr:colOff>129180</xdr:colOff>
      <xdr:row>19</xdr:row>
      <xdr:rowOff>74820</xdr:rowOff>
    </xdr:to>
    <xdr:graphicFrame macro="">
      <xdr:nvGraphicFramePr>
        <xdr:cNvPr id="76" name="Chart 7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mc:AlternateContent xmlns:mc="http://schemas.openxmlformats.org/markup-compatibility/2006">
    <mc:Choice xmlns:a14="http://schemas.microsoft.com/office/drawing/2010/main" Requires="a14">
      <xdr:twoCellAnchor editAs="absolute">
        <xdr:from>
          <xdr:col>14</xdr:col>
          <xdr:colOff>7620</xdr:colOff>
          <xdr:row>15</xdr:row>
          <xdr:rowOff>30480</xdr:rowOff>
        </xdr:from>
        <xdr:to>
          <xdr:col>16</xdr:col>
          <xdr:colOff>220980</xdr:colOff>
          <xdr:row>18</xdr:row>
          <xdr:rowOff>30480</xdr:rowOff>
        </xdr:to>
        <xdr:sp macro="" textlink="">
          <xdr:nvSpPr>
            <xdr:cNvPr id="7211" name="for_lab4" hidden="1">
              <a:extLst>
                <a:ext uri="{63B3BB69-23CF-44E3-9099-C40C66FF867C}">
                  <a14:compatExt spid="_x0000_s7211"/>
                </a:ext>
              </a:extLst>
            </xdr:cNvPr>
            <xdr:cNvSpPr/>
          </xdr:nvSpPr>
          <xdr:spPr>
            <a:xfrm>
              <a:off x="0" y="0"/>
              <a:ext cx="0" cy="0"/>
            </a:xfrm>
            <a:prstGeom prst="rect">
              <a:avLst/>
            </a:prstGeom>
          </xdr:spPr>
        </xdr:sp>
        <xdr:clientData/>
      </xdr:twoCellAnchor>
    </mc:Choice>
    <mc:Fallback/>
  </mc:AlternateContent>
  <xdr:twoCellAnchor editAs="absolute">
    <xdr:from>
      <xdr:col>16</xdr:col>
      <xdr:colOff>15240</xdr:colOff>
      <xdr:row>15</xdr:row>
      <xdr:rowOff>38100</xdr:rowOff>
    </xdr:from>
    <xdr:to>
      <xdr:col>16</xdr:col>
      <xdr:colOff>205740</xdr:colOff>
      <xdr:row>15</xdr:row>
      <xdr:rowOff>38100</xdr:rowOff>
    </xdr:to>
    <xdr:cxnSp macro="">
      <xdr:nvCxnSpPr>
        <xdr:cNvPr id="77" name="cnx one year left max"/>
        <xdr:cNvCxnSpPr/>
      </xdr:nvCxnSpPr>
      <xdr:spPr>
        <a:xfrm>
          <a:off x="5913120" y="2697480"/>
          <a:ext cx="190500" cy="0"/>
        </a:xfrm>
        <a:prstGeom prst="line">
          <a:avLst/>
        </a:prstGeom>
        <a:ln>
          <a:solidFill>
            <a:srgbClr val="104F75"/>
          </a:solidFill>
        </a:ln>
      </xdr:spPr>
      <xdr:style>
        <a:lnRef idx="1">
          <a:schemeClr val="dk1"/>
        </a:lnRef>
        <a:fillRef idx="0">
          <a:schemeClr val="dk1"/>
        </a:fillRef>
        <a:effectRef idx="0">
          <a:schemeClr val="dk1"/>
        </a:effectRef>
        <a:fontRef idx="minor">
          <a:schemeClr val="tx1"/>
        </a:fontRef>
      </xdr:style>
    </xdr:cxnSp>
    <xdr:clientData/>
  </xdr:twoCellAnchor>
  <xdr:twoCellAnchor editAs="absolute">
    <xdr:from>
      <xdr:col>18</xdr:col>
      <xdr:colOff>449580</xdr:colOff>
      <xdr:row>15</xdr:row>
      <xdr:rowOff>38100</xdr:rowOff>
    </xdr:from>
    <xdr:to>
      <xdr:col>19</xdr:col>
      <xdr:colOff>175260</xdr:colOff>
      <xdr:row>15</xdr:row>
      <xdr:rowOff>38100</xdr:rowOff>
    </xdr:to>
    <xdr:cxnSp macro="">
      <xdr:nvCxnSpPr>
        <xdr:cNvPr id="78" name="cnx one year right max"/>
        <xdr:cNvCxnSpPr/>
      </xdr:nvCxnSpPr>
      <xdr:spPr>
        <a:xfrm>
          <a:off x="7277100" y="2697480"/>
          <a:ext cx="190500" cy="0"/>
        </a:xfrm>
        <a:prstGeom prst="line">
          <a:avLst/>
        </a:prstGeom>
        <a:ln>
          <a:solidFill>
            <a:srgbClr val="104F75"/>
          </a:solidFill>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absolute">
        <xdr:from>
          <xdr:col>18</xdr:col>
          <xdr:colOff>419100</xdr:colOff>
          <xdr:row>15</xdr:row>
          <xdr:rowOff>30480</xdr:rowOff>
        </xdr:from>
        <xdr:to>
          <xdr:col>20</xdr:col>
          <xdr:colOff>198120</xdr:colOff>
          <xdr:row>18</xdr:row>
          <xdr:rowOff>45720</xdr:rowOff>
        </xdr:to>
        <xdr:sp macro="" textlink="">
          <xdr:nvSpPr>
            <xdr:cNvPr id="7210" name="for_lab3" hidden="1">
              <a:extLst>
                <a:ext uri="{63B3BB69-23CF-44E3-9099-C40C66FF867C}">
                  <a14:compatExt spid="_x0000_s72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14</xdr:col>
          <xdr:colOff>30480</xdr:colOff>
          <xdr:row>15</xdr:row>
          <xdr:rowOff>60960</xdr:rowOff>
        </xdr:from>
        <xdr:to>
          <xdr:col>22</xdr:col>
          <xdr:colOff>7620</xdr:colOff>
          <xdr:row>19</xdr:row>
          <xdr:rowOff>7620</xdr:rowOff>
        </xdr:to>
        <xdr:sp macro="" textlink="">
          <xdr:nvSpPr>
            <xdr:cNvPr id="7172" name="Three-year-fore" hidden="1">
              <a:extLst>
                <a:ext uri="{63B3BB69-23CF-44E3-9099-C40C66FF867C}">
                  <a14:compatExt spid="_x0000_s71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17</xdr:col>
          <xdr:colOff>441960</xdr:colOff>
          <xdr:row>32</xdr:row>
          <xdr:rowOff>22860</xdr:rowOff>
        </xdr:from>
        <xdr:to>
          <xdr:col>20</xdr:col>
          <xdr:colOff>91440</xdr:colOff>
          <xdr:row>33</xdr:row>
          <xdr:rowOff>22860</xdr:rowOff>
        </xdr:to>
        <xdr:sp macro="" textlink="">
          <xdr:nvSpPr>
            <xdr:cNvPr id="7212" name="TextBox6" hidden="1">
              <a:extLst>
                <a:ext uri="{63B3BB69-23CF-44E3-9099-C40C66FF867C}">
                  <a14:compatExt spid="_x0000_s72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22</xdr:col>
          <xdr:colOff>114300</xdr:colOff>
          <xdr:row>32</xdr:row>
          <xdr:rowOff>22860</xdr:rowOff>
        </xdr:from>
        <xdr:to>
          <xdr:col>24</xdr:col>
          <xdr:colOff>38100</xdr:colOff>
          <xdr:row>33</xdr:row>
          <xdr:rowOff>22860</xdr:rowOff>
        </xdr:to>
        <xdr:sp macro="" textlink="">
          <xdr:nvSpPr>
            <xdr:cNvPr id="7213" name="TextBox10" hidden="1">
              <a:extLst>
                <a:ext uri="{63B3BB69-23CF-44E3-9099-C40C66FF867C}">
                  <a14:compatExt spid="_x0000_s7213"/>
                </a:ext>
              </a:extLst>
            </xdr:cNvPr>
            <xdr:cNvSpPr/>
          </xdr:nvSpPr>
          <xdr:spPr>
            <a:xfrm>
              <a:off x="0" y="0"/>
              <a:ext cx="0" cy="0"/>
            </a:xfrm>
            <a:prstGeom prst="rect">
              <a:avLst/>
            </a:prstGeom>
          </xdr:spPr>
        </xdr:sp>
        <xdr:clientData/>
      </xdr:twoCellAnchor>
    </mc:Choice>
    <mc:Fallback/>
  </mc:AlternateContent>
  <xdr:twoCellAnchor editAs="absolute">
    <xdr:from>
      <xdr:col>15</xdr:col>
      <xdr:colOff>15240</xdr:colOff>
      <xdr:row>21</xdr:row>
      <xdr:rowOff>129540</xdr:rowOff>
    </xdr:from>
    <xdr:to>
      <xdr:col>17</xdr:col>
      <xdr:colOff>0</xdr:colOff>
      <xdr:row>32</xdr:row>
      <xdr:rowOff>60960</xdr:rowOff>
    </xdr:to>
    <xdr:graphicFrame macro="">
      <xdr:nvGraphicFramePr>
        <xdr:cNvPr id="45" name="Chart 4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absolute">
    <xdr:from>
      <xdr:col>17</xdr:col>
      <xdr:colOff>297180</xdr:colOff>
      <xdr:row>33</xdr:row>
      <xdr:rowOff>57150</xdr:rowOff>
    </xdr:from>
    <xdr:to>
      <xdr:col>17</xdr:col>
      <xdr:colOff>448380</xdr:colOff>
      <xdr:row>33</xdr:row>
      <xdr:rowOff>110490</xdr:rowOff>
    </xdr:to>
    <xdr:sp macro="" textlink="">
      <xdr:nvSpPr>
        <xdr:cNvPr id="51" name="Rectangle 50"/>
        <xdr:cNvSpPr/>
      </xdr:nvSpPr>
      <xdr:spPr>
        <a:xfrm>
          <a:off x="6675120" y="5833110"/>
          <a:ext cx="151200" cy="53340"/>
        </a:xfrm>
        <a:prstGeom prst="rect">
          <a:avLst/>
        </a:prstGeom>
        <a:solidFill>
          <a:srgbClr val="CEB536"/>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editAs="absolute">
    <xdr:from>
      <xdr:col>23</xdr:col>
      <xdr:colOff>53340</xdr:colOff>
      <xdr:row>33</xdr:row>
      <xdr:rowOff>56820</xdr:rowOff>
    </xdr:from>
    <xdr:to>
      <xdr:col>23</xdr:col>
      <xdr:colOff>204540</xdr:colOff>
      <xdr:row>33</xdr:row>
      <xdr:rowOff>110820</xdr:rowOff>
    </xdr:to>
    <xdr:sp macro="" textlink="">
      <xdr:nvSpPr>
        <xdr:cNvPr id="52" name="Rectangle 51"/>
        <xdr:cNvSpPr/>
      </xdr:nvSpPr>
      <xdr:spPr>
        <a:xfrm>
          <a:off x="8557260" y="5832780"/>
          <a:ext cx="151200" cy="54000"/>
        </a:xfrm>
        <a:prstGeom prst="rect">
          <a:avLst/>
        </a:prstGeom>
        <a:solidFill>
          <a:srgbClr val="ED974B"/>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mc:AlternateContent xmlns:mc="http://schemas.openxmlformats.org/markup-compatibility/2006">
    <mc:Choice xmlns:a14="http://schemas.microsoft.com/office/drawing/2010/main" Requires="a14">
      <xdr:twoCellAnchor editAs="absolute">
        <xdr:from>
          <xdr:col>11</xdr:col>
          <xdr:colOff>114300</xdr:colOff>
          <xdr:row>4</xdr:row>
          <xdr:rowOff>76200</xdr:rowOff>
        </xdr:from>
        <xdr:to>
          <xdr:col>12</xdr:col>
          <xdr:colOff>388620</xdr:colOff>
          <xdr:row>5</xdr:row>
          <xdr:rowOff>152400</xdr:rowOff>
        </xdr:to>
        <xdr:sp macro="" textlink="">
          <xdr:nvSpPr>
            <xdr:cNvPr id="7214" name="TextBox7" hidden="1">
              <a:extLst>
                <a:ext uri="{63B3BB69-23CF-44E3-9099-C40C66FF867C}">
                  <a14:compatExt spid="_x0000_s7214"/>
                </a:ext>
              </a:extLst>
            </xdr:cNvPr>
            <xdr:cNvSpPr/>
          </xdr:nvSpPr>
          <xdr:spPr>
            <a:xfrm>
              <a:off x="0" y="0"/>
              <a:ext cx="0" cy="0"/>
            </a:xfrm>
            <a:prstGeom prst="rect">
              <a:avLst/>
            </a:prstGeom>
          </xdr:spPr>
        </xdr:sp>
        <xdr:clientData/>
      </xdr:twoCellAnchor>
    </mc:Choice>
    <mc:Fallback/>
  </mc:AlternateContent>
  <xdr:twoCellAnchor editAs="absolute">
    <xdr:from>
      <xdr:col>8</xdr:col>
      <xdr:colOff>348738</xdr:colOff>
      <xdr:row>15</xdr:row>
      <xdr:rowOff>136736</xdr:rowOff>
    </xdr:from>
    <xdr:to>
      <xdr:col>9</xdr:col>
      <xdr:colOff>70184</xdr:colOff>
      <xdr:row>16</xdr:row>
      <xdr:rowOff>145204</xdr:rowOff>
    </xdr:to>
    <xdr:sp macro="" textlink="">
      <xdr:nvSpPr>
        <xdr:cNvPr id="48" name="Rectangle 47"/>
        <xdr:cNvSpPr/>
      </xdr:nvSpPr>
      <xdr:spPr>
        <a:xfrm>
          <a:off x="3312918" y="2796116"/>
          <a:ext cx="186266" cy="191348"/>
        </a:xfrm>
        <a:prstGeom prst="rect">
          <a:avLst/>
        </a:prstGeom>
        <a:solidFill>
          <a:srgbClr val="7095AC"/>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mc:AlternateContent xmlns:mc="http://schemas.openxmlformats.org/markup-compatibility/2006">
    <mc:Choice xmlns:a14="http://schemas.microsoft.com/office/drawing/2010/main" Requires="a14">
      <xdr:twoCellAnchor editAs="absolute">
        <xdr:from>
          <xdr:col>9</xdr:col>
          <xdr:colOff>99060</xdr:colOff>
          <xdr:row>15</xdr:row>
          <xdr:rowOff>99060</xdr:rowOff>
        </xdr:from>
        <xdr:to>
          <xdr:col>13</xdr:col>
          <xdr:colOff>7620</xdr:colOff>
          <xdr:row>17</xdr:row>
          <xdr:rowOff>45720</xdr:rowOff>
        </xdr:to>
        <xdr:sp macro="" textlink="">
          <xdr:nvSpPr>
            <xdr:cNvPr id="7215" name="TextBox9" hidden="1">
              <a:extLst>
                <a:ext uri="{63B3BB69-23CF-44E3-9099-C40C66FF867C}">
                  <a14:compatExt spid="_x0000_s72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3</xdr:col>
          <xdr:colOff>297180</xdr:colOff>
          <xdr:row>19</xdr:row>
          <xdr:rowOff>0</xdr:rowOff>
        </xdr:from>
        <xdr:to>
          <xdr:col>6</xdr:col>
          <xdr:colOff>0</xdr:colOff>
          <xdr:row>21</xdr:row>
          <xdr:rowOff>0</xdr:rowOff>
        </xdr:to>
        <xdr:sp macro="" textlink="">
          <xdr:nvSpPr>
            <xdr:cNvPr id="7216" name="TextBox16" hidden="1">
              <a:extLst>
                <a:ext uri="{63B3BB69-23CF-44E3-9099-C40C66FF867C}">
                  <a14:compatExt spid="_x0000_s72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10</xdr:col>
          <xdr:colOff>83820</xdr:colOff>
          <xdr:row>19</xdr:row>
          <xdr:rowOff>152400</xdr:rowOff>
        </xdr:from>
        <xdr:to>
          <xdr:col>11</xdr:col>
          <xdr:colOff>243840</xdr:colOff>
          <xdr:row>20</xdr:row>
          <xdr:rowOff>182880</xdr:rowOff>
        </xdr:to>
        <xdr:sp macro="" textlink="">
          <xdr:nvSpPr>
            <xdr:cNvPr id="7217" name="TextBox19" hidden="1">
              <a:extLst>
                <a:ext uri="{63B3BB69-23CF-44E3-9099-C40C66FF867C}">
                  <a14:compatExt spid="_x0000_s72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6</xdr:col>
          <xdr:colOff>45720</xdr:colOff>
          <xdr:row>19</xdr:row>
          <xdr:rowOff>0</xdr:rowOff>
        </xdr:from>
        <xdr:to>
          <xdr:col>8</xdr:col>
          <xdr:colOff>289560</xdr:colOff>
          <xdr:row>21</xdr:row>
          <xdr:rowOff>0</xdr:rowOff>
        </xdr:to>
        <xdr:sp macro="" textlink="">
          <xdr:nvSpPr>
            <xdr:cNvPr id="7218" name="TextBox20" hidden="1">
              <a:extLst>
                <a:ext uri="{63B3BB69-23CF-44E3-9099-C40C66FF867C}">
                  <a14:compatExt spid="_x0000_s72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15</xdr:col>
          <xdr:colOff>441960</xdr:colOff>
          <xdr:row>19</xdr:row>
          <xdr:rowOff>0</xdr:rowOff>
        </xdr:from>
        <xdr:to>
          <xdr:col>19</xdr:col>
          <xdr:colOff>335280</xdr:colOff>
          <xdr:row>21</xdr:row>
          <xdr:rowOff>0</xdr:rowOff>
        </xdr:to>
        <xdr:sp macro="" textlink="">
          <xdr:nvSpPr>
            <xdr:cNvPr id="7219" name="TextBox21" hidden="1">
              <a:extLst>
                <a:ext uri="{63B3BB69-23CF-44E3-9099-C40C66FF867C}">
                  <a14:compatExt spid="_x0000_s72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23</xdr:col>
          <xdr:colOff>365760</xdr:colOff>
          <xdr:row>19</xdr:row>
          <xdr:rowOff>68580</xdr:rowOff>
        </xdr:from>
        <xdr:to>
          <xdr:col>24</xdr:col>
          <xdr:colOff>457200</xdr:colOff>
          <xdr:row>20</xdr:row>
          <xdr:rowOff>144780</xdr:rowOff>
        </xdr:to>
        <xdr:sp macro="" textlink="">
          <xdr:nvSpPr>
            <xdr:cNvPr id="7220" name="TextBox22" hidden="1">
              <a:extLst>
                <a:ext uri="{63B3BB69-23CF-44E3-9099-C40C66FF867C}">
                  <a14:compatExt spid="_x0000_s7220"/>
                </a:ext>
              </a:extLst>
            </xdr:cNvPr>
            <xdr:cNvSpPr/>
          </xdr:nvSpPr>
          <xdr:spPr>
            <a:xfrm>
              <a:off x="0" y="0"/>
              <a:ext cx="0" cy="0"/>
            </a:xfrm>
            <a:prstGeom prst="rect">
              <a:avLst/>
            </a:prstGeom>
          </xdr:spPr>
        </xdr:sp>
        <xdr:clientData/>
      </xdr:twoCellAnchor>
    </mc:Choice>
    <mc:Fallback/>
  </mc:AlternateContent>
  <xdr:twoCellAnchor editAs="absolute">
    <xdr:from>
      <xdr:col>15</xdr:col>
      <xdr:colOff>7620</xdr:colOff>
      <xdr:row>33</xdr:row>
      <xdr:rowOff>60960</xdr:rowOff>
    </xdr:from>
    <xdr:to>
      <xdr:col>15</xdr:col>
      <xdr:colOff>158820</xdr:colOff>
      <xdr:row>33</xdr:row>
      <xdr:rowOff>114300</xdr:rowOff>
    </xdr:to>
    <xdr:sp macro="" textlink="">
      <xdr:nvSpPr>
        <xdr:cNvPr id="53" name="Rectangle 52"/>
        <xdr:cNvSpPr/>
      </xdr:nvSpPr>
      <xdr:spPr>
        <a:xfrm>
          <a:off x="5455920" y="5836920"/>
          <a:ext cx="151200" cy="53340"/>
        </a:xfrm>
        <a:prstGeom prst="rect">
          <a:avLst/>
        </a:prstGeom>
        <a:solidFill>
          <a:srgbClr val="104F75"/>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editAs="absolute">
    <xdr:from>
      <xdr:col>17</xdr:col>
      <xdr:colOff>438150</xdr:colOff>
      <xdr:row>21</xdr:row>
      <xdr:rowOff>91440</xdr:rowOff>
    </xdr:from>
    <xdr:to>
      <xdr:col>19</xdr:col>
      <xdr:colOff>422910</xdr:colOff>
      <xdr:row>32</xdr:row>
      <xdr:rowOff>76200</xdr:rowOff>
    </xdr:to>
    <xdr:graphicFrame macro="">
      <xdr:nvGraphicFramePr>
        <xdr:cNvPr id="57" name="Chart 5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editAs="absolute">
    <xdr:from>
      <xdr:col>22</xdr:col>
      <xdr:colOff>114300</xdr:colOff>
      <xdr:row>21</xdr:row>
      <xdr:rowOff>114300</xdr:rowOff>
    </xdr:from>
    <xdr:to>
      <xdr:col>23</xdr:col>
      <xdr:colOff>563880</xdr:colOff>
      <xdr:row>32</xdr:row>
      <xdr:rowOff>91440</xdr:rowOff>
    </xdr:to>
    <xdr:graphicFrame macro="">
      <xdr:nvGraphicFramePr>
        <xdr:cNvPr id="58" name="Chart 5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mc:AlternateContent xmlns:mc="http://schemas.openxmlformats.org/markup-compatibility/2006">
    <mc:Choice xmlns:a14="http://schemas.microsoft.com/office/drawing/2010/main" Requires="a14">
      <xdr:twoCellAnchor editAs="absolute">
        <xdr:from>
          <xdr:col>8</xdr:col>
          <xdr:colOff>99060</xdr:colOff>
          <xdr:row>4</xdr:row>
          <xdr:rowOff>0</xdr:rowOff>
        </xdr:from>
        <xdr:to>
          <xdr:col>11</xdr:col>
          <xdr:colOff>7620</xdr:colOff>
          <xdr:row>6</xdr:row>
          <xdr:rowOff>0</xdr:rowOff>
        </xdr:to>
        <xdr:sp macro="" textlink="">
          <xdr:nvSpPr>
            <xdr:cNvPr id="7221" name="TextBox15" hidden="1">
              <a:extLst>
                <a:ext uri="{63B3BB69-23CF-44E3-9099-C40C66FF867C}">
                  <a14:compatExt spid="_x0000_s72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4</xdr:col>
          <xdr:colOff>0</xdr:colOff>
          <xdr:row>4</xdr:row>
          <xdr:rowOff>0</xdr:rowOff>
        </xdr:from>
        <xdr:to>
          <xdr:col>8</xdr:col>
          <xdr:colOff>91440</xdr:colOff>
          <xdr:row>6</xdr:row>
          <xdr:rowOff>0</xdr:rowOff>
        </xdr:to>
        <xdr:sp macro="" textlink="">
          <xdr:nvSpPr>
            <xdr:cNvPr id="7222" name="TextBox23" hidden="1">
              <a:extLst>
                <a:ext uri="{63B3BB69-23CF-44E3-9099-C40C66FF867C}">
                  <a14:compatExt spid="_x0000_s7222"/>
                </a:ext>
              </a:extLst>
            </xdr:cNvPr>
            <xdr:cNvSpPr/>
          </xdr:nvSpPr>
          <xdr:spPr>
            <a:xfrm>
              <a:off x="0" y="0"/>
              <a:ext cx="0" cy="0"/>
            </a:xfrm>
            <a:prstGeom prst="rect">
              <a:avLst/>
            </a:prstGeom>
          </xdr:spPr>
        </xdr:sp>
        <xdr:clientData/>
      </xdr:twoCellAnchor>
    </mc:Choice>
    <mc:Fallback/>
  </mc:AlternateContent>
  <xdr:twoCellAnchor editAs="absolute">
    <xdr:from>
      <xdr:col>8</xdr:col>
      <xdr:colOff>99060</xdr:colOff>
      <xdr:row>4</xdr:row>
      <xdr:rowOff>30480</xdr:rowOff>
    </xdr:from>
    <xdr:to>
      <xdr:col>8</xdr:col>
      <xdr:colOff>99060</xdr:colOff>
      <xdr:row>5</xdr:row>
      <xdr:rowOff>175260</xdr:rowOff>
    </xdr:to>
    <xdr:cxnSp macro="">
      <xdr:nvCxnSpPr>
        <xdr:cNvPr id="3" name="Straight Connector 2"/>
        <xdr:cNvCxnSpPr/>
      </xdr:nvCxnSpPr>
      <xdr:spPr>
        <a:xfrm>
          <a:off x="3063240" y="632460"/>
          <a:ext cx="0" cy="335280"/>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6</xdr:col>
      <xdr:colOff>15240</xdr:colOff>
      <xdr:row>19</xdr:row>
      <xdr:rowOff>30480</xdr:rowOff>
    </xdr:from>
    <xdr:to>
      <xdr:col>6</xdr:col>
      <xdr:colOff>15240</xdr:colOff>
      <xdr:row>20</xdr:row>
      <xdr:rowOff>175260</xdr:rowOff>
    </xdr:to>
    <xdr:cxnSp macro="">
      <xdr:nvCxnSpPr>
        <xdr:cNvPr id="60" name="Straight Connector 59"/>
        <xdr:cNvCxnSpPr/>
      </xdr:nvCxnSpPr>
      <xdr:spPr>
        <a:xfrm>
          <a:off x="2034540" y="3200400"/>
          <a:ext cx="0" cy="335280"/>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17</xdr:col>
      <xdr:colOff>316230</xdr:colOff>
      <xdr:row>4</xdr:row>
      <xdr:rowOff>160020</xdr:rowOff>
    </xdr:from>
    <xdr:to>
      <xdr:col>17</xdr:col>
      <xdr:colOff>316230</xdr:colOff>
      <xdr:row>5</xdr:row>
      <xdr:rowOff>23520</xdr:rowOff>
    </xdr:to>
    <xdr:cxnSp macro="">
      <xdr:nvCxnSpPr>
        <xdr:cNvPr id="5" name="Straight Connector 4"/>
        <xdr:cNvCxnSpPr/>
      </xdr:nvCxnSpPr>
      <xdr:spPr>
        <a:xfrm flipV="1">
          <a:off x="6694170" y="762000"/>
          <a:ext cx="0" cy="54000"/>
        </a:xfrm>
        <a:prstGeom prst="line">
          <a:avLst/>
        </a:prstGeom>
        <a:ln>
          <a:solidFill>
            <a:srgbClr val="104F75"/>
          </a:solidFill>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absolute">
        <xdr:from>
          <xdr:col>11</xdr:col>
          <xdr:colOff>289560</xdr:colOff>
          <xdr:row>19</xdr:row>
          <xdr:rowOff>152400</xdr:rowOff>
        </xdr:from>
        <xdr:to>
          <xdr:col>12</xdr:col>
          <xdr:colOff>449580</xdr:colOff>
          <xdr:row>20</xdr:row>
          <xdr:rowOff>182880</xdr:rowOff>
        </xdr:to>
        <xdr:sp macro="" textlink="">
          <xdr:nvSpPr>
            <xdr:cNvPr id="7224" name="TextBox24" hidden="1">
              <a:extLst>
                <a:ext uri="{63B3BB69-23CF-44E3-9099-C40C66FF867C}">
                  <a14:compatExt spid="_x0000_s72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10</xdr:col>
          <xdr:colOff>137160</xdr:colOff>
          <xdr:row>19</xdr:row>
          <xdr:rowOff>0</xdr:rowOff>
        </xdr:from>
        <xdr:to>
          <xdr:col>11</xdr:col>
          <xdr:colOff>182880</xdr:colOff>
          <xdr:row>20</xdr:row>
          <xdr:rowOff>0</xdr:rowOff>
        </xdr:to>
        <xdr:sp macro="" textlink="">
          <xdr:nvSpPr>
            <xdr:cNvPr id="7225" name="TextBox25" hidden="1">
              <a:extLst>
                <a:ext uri="{63B3BB69-23CF-44E3-9099-C40C66FF867C}">
                  <a14:compatExt spid="_x0000_s72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403860</xdr:colOff>
          <xdr:row>19</xdr:row>
          <xdr:rowOff>0</xdr:rowOff>
        </xdr:from>
        <xdr:to>
          <xdr:col>10</xdr:col>
          <xdr:colOff>7620</xdr:colOff>
          <xdr:row>20</xdr:row>
          <xdr:rowOff>0</xdr:rowOff>
        </xdr:to>
        <xdr:sp macro="" textlink="">
          <xdr:nvSpPr>
            <xdr:cNvPr id="7226" name="TextBox26" hidden="1">
              <a:extLst>
                <a:ext uri="{63B3BB69-23CF-44E3-9099-C40C66FF867C}">
                  <a14:compatExt spid="_x0000_s7226"/>
                </a:ext>
              </a:extLst>
            </xdr:cNvPr>
            <xdr:cNvSpPr/>
          </xdr:nvSpPr>
          <xdr:spPr>
            <a:xfrm>
              <a:off x="0" y="0"/>
              <a:ext cx="0" cy="0"/>
            </a:xfrm>
            <a:prstGeom prst="rect">
              <a:avLst/>
            </a:prstGeom>
          </xdr:spPr>
        </xdr:sp>
        <xdr:clientData/>
      </xdr:twoCellAnchor>
    </mc:Choice>
    <mc:Fallback/>
  </mc:AlternateContent>
  <xdr:twoCellAnchor editAs="absolute">
    <xdr:from>
      <xdr:col>19</xdr:col>
      <xdr:colOff>350520</xdr:colOff>
      <xdr:row>19</xdr:row>
      <xdr:rowOff>30480</xdr:rowOff>
    </xdr:from>
    <xdr:to>
      <xdr:col>19</xdr:col>
      <xdr:colOff>350520</xdr:colOff>
      <xdr:row>20</xdr:row>
      <xdr:rowOff>175260</xdr:rowOff>
    </xdr:to>
    <xdr:cxnSp macro="">
      <xdr:nvCxnSpPr>
        <xdr:cNvPr id="67" name="Straight Connector 66"/>
        <xdr:cNvCxnSpPr/>
      </xdr:nvCxnSpPr>
      <xdr:spPr>
        <a:xfrm>
          <a:off x="7642860" y="3200400"/>
          <a:ext cx="0" cy="335280"/>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absolute">
        <xdr:from>
          <xdr:col>19</xdr:col>
          <xdr:colOff>419100</xdr:colOff>
          <xdr:row>19</xdr:row>
          <xdr:rowOff>0</xdr:rowOff>
        </xdr:from>
        <xdr:to>
          <xdr:col>23</xdr:col>
          <xdr:colOff>304800</xdr:colOff>
          <xdr:row>21</xdr:row>
          <xdr:rowOff>0</xdr:rowOff>
        </xdr:to>
        <xdr:sp macro="" textlink="">
          <xdr:nvSpPr>
            <xdr:cNvPr id="7227" name="TextBox27" hidden="1">
              <a:extLst>
                <a:ext uri="{63B3BB69-23CF-44E3-9099-C40C66FF867C}">
                  <a14:compatExt spid="_x0000_s7227"/>
                </a:ext>
              </a:extLst>
            </xdr:cNvPr>
            <xdr:cNvSpPr/>
          </xdr:nvSpPr>
          <xdr:spPr>
            <a:xfrm>
              <a:off x="0" y="0"/>
              <a:ext cx="0" cy="0"/>
            </a:xfrm>
            <a:prstGeom prst="rect">
              <a:avLst/>
            </a:prstGeom>
          </xdr:spPr>
        </xdr:sp>
        <xdr:clientData/>
      </xdr:twoCellAnchor>
    </mc:Choice>
    <mc:Fallback/>
  </mc:AlternateContent>
  <xdr:twoCellAnchor editAs="absolute">
    <xdr:from>
      <xdr:col>24</xdr:col>
      <xdr:colOff>373380</xdr:colOff>
      <xdr:row>22</xdr:row>
      <xdr:rowOff>0</xdr:rowOff>
    </xdr:from>
    <xdr:to>
      <xdr:col>24</xdr:col>
      <xdr:colOff>535380</xdr:colOff>
      <xdr:row>32</xdr:row>
      <xdr:rowOff>0</xdr:rowOff>
    </xdr:to>
    <xdr:sp macro="" textlink="">
      <xdr:nvSpPr>
        <xdr:cNvPr id="8" name="Up Arrow 7"/>
        <xdr:cNvSpPr/>
      </xdr:nvSpPr>
      <xdr:spPr>
        <a:xfrm>
          <a:off x="9509760" y="3764280"/>
          <a:ext cx="162000" cy="1828800"/>
        </a:xfrm>
        <a:prstGeom prst="upArrow">
          <a:avLst/>
        </a:prstGeom>
        <a:solidFill>
          <a:schemeClr val="bg1">
            <a:lumMod val="85000"/>
          </a:schemeClr>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270" lIns="0" tIns="0" rIns="0" bIns="432000" rtlCol="0" anchor="b"/>
        <a:lstStyle/>
        <a:p>
          <a:pPr algn="l"/>
          <a:r>
            <a:rPr lang="en-GB" sz="800">
              <a:solidFill>
                <a:srgbClr val="104F75"/>
              </a:solidFill>
            </a:rPr>
            <a:t>Increasingly expensive</a:t>
          </a:r>
        </a:p>
      </xdr:txBody>
    </xdr:sp>
    <xdr:clientData/>
  </xdr:twoCellAnchor>
  <xdr:twoCellAnchor editAs="absolute">
    <xdr:from>
      <xdr:col>17</xdr:col>
      <xdr:colOff>323850</xdr:colOff>
      <xdr:row>11</xdr:row>
      <xdr:rowOff>137160</xdr:rowOff>
    </xdr:from>
    <xdr:to>
      <xdr:col>17</xdr:col>
      <xdr:colOff>323850</xdr:colOff>
      <xdr:row>12</xdr:row>
      <xdr:rowOff>8280</xdr:rowOff>
    </xdr:to>
    <xdr:cxnSp macro="">
      <xdr:nvCxnSpPr>
        <xdr:cNvPr id="63" name="Straight Connector 62"/>
        <xdr:cNvCxnSpPr/>
      </xdr:nvCxnSpPr>
      <xdr:spPr>
        <a:xfrm flipV="1">
          <a:off x="6701790" y="2065020"/>
          <a:ext cx="0" cy="54000"/>
        </a:xfrm>
        <a:prstGeom prst="line">
          <a:avLst/>
        </a:prstGeom>
        <a:ln>
          <a:solidFill>
            <a:srgbClr val="104F75"/>
          </a:solidFill>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absolute">
        <xdr:from>
          <xdr:col>8</xdr:col>
          <xdr:colOff>342900</xdr:colOff>
          <xdr:row>19</xdr:row>
          <xdr:rowOff>152400</xdr:rowOff>
        </xdr:from>
        <xdr:to>
          <xdr:col>10</xdr:col>
          <xdr:colOff>45720</xdr:colOff>
          <xdr:row>20</xdr:row>
          <xdr:rowOff>182880</xdr:rowOff>
        </xdr:to>
        <xdr:sp macro="" textlink="">
          <xdr:nvSpPr>
            <xdr:cNvPr id="7229" name="TextBox28" hidden="1">
              <a:extLst>
                <a:ext uri="{63B3BB69-23CF-44E3-9099-C40C66FF867C}">
                  <a14:compatExt spid="_x0000_s72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11</xdr:col>
          <xdr:colOff>335280</xdr:colOff>
          <xdr:row>19</xdr:row>
          <xdr:rowOff>0</xdr:rowOff>
        </xdr:from>
        <xdr:to>
          <xdr:col>12</xdr:col>
          <xdr:colOff>381000</xdr:colOff>
          <xdr:row>20</xdr:row>
          <xdr:rowOff>0</xdr:rowOff>
        </xdr:to>
        <xdr:sp macro="" textlink="">
          <xdr:nvSpPr>
            <xdr:cNvPr id="7230" name="TextBox29" hidden="1">
              <a:extLst>
                <a:ext uri="{63B3BB69-23CF-44E3-9099-C40C66FF867C}">
                  <a14:compatExt spid="_x0000_s72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3</xdr:col>
          <xdr:colOff>30480</xdr:colOff>
          <xdr:row>22</xdr:row>
          <xdr:rowOff>99060</xdr:rowOff>
        </xdr:from>
        <xdr:to>
          <xdr:col>4</xdr:col>
          <xdr:colOff>91440</xdr:colOff>
          <xdr:row>24</xdr:row>
          <xdr:rowOff>83820</xdr:rowOff>
        </xdr:to>
        <xdr:sp macro="" textlink="">
          <xdr:nvSpPr>
            <xdr:cNvPr id="7232" name="TextBox12" hidden="1">
              <a:extLst>
                <a:ext uri="{63B3BB69-23CF-44E3-9099-C40C66FF867C}">
                  <a14:compatExt spid="_x0000_s72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3</xdr:col>
          <xdr:colOff>30480</xdr:colOff>
          <xdr:row>26</xdr:row>
          <xdr:rowOff>60960</xdr:rowOff>
        </xdr:from>
        <xdr:to>
          <xdr:col>4</xdr:col>
          <xdr:colOff>91440</xdr:colOff>
          <xdr:row>28</xdr:row>
          <xdr:rowOff>53340</xdr:rowOff>
        </xdr:to>
        <xdr:sp macro="" textlink="">
          <xdr:nvSpPr>
            <xdr:cNvPr id="7233" name="TextBox30" hidden="1">
              <a:extLst>
                <a:ext uri="{63B3BB69-23CF-44E3-9099-C40C66FF867C}">
                  <a14:compatExt spid="_x0000_s72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3</xdr:col>
          <xdr:colOff>30480</xdr:colOff>
          <xdr:row>28</xdr:row>
          <xdr:rowOff>45720</xdr:rowOff>
        </xdr:from>
        <xdr:to>
          <xdr:col>4</xdr:col>
          <xdr:colOff>91440</xdr:colOff>
          <xdr:row>30</xdr:row>
          <xdr:rowOff>30480</xdr:rowOff>
        </xdr:to>
        <xdr:sp macro="" textlink="">
          <xdr:nvSpPr>
            <xdr:cNvPr id="7234" name="TextBox32" hidden="1">
              <a:extLst>
                <a:ext uri="{63B3BB69-23CF-44E3-9099-C40C66FF867C}">
                  <a14:compatExt spid="_x0000_s72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3</xdr:col>
          <xdr:colOff>30480</xdr:colOff>
          <xdr:row>24</xdr:row>
          <xdr:rowOff>76200</xdr:rowOff>
        </xdr:from>
        <xdr:to>
          <xdr:col>4</xdr:col>
          <xdr:colOff>91440</xdr:colOff>
          <xdr:row>26</xdr:row>
          <xdr:rowOff>60960</xdr:rowOff>
        </xdr:to>
        <xdr:sp macro="" textlink="">
          <xdr:nvSpPr>
            <xdr:cNvPr id="7235" name="TextBox33" hidden="1">
              <a:extLst>
                <a:ext uri="{63B3BB69-23CF-44E3-9099-C40C66FF867C}">
                  <a14:compatExt spid="_x0000_s72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11</xdr:col>
          <xdr:colOff>7620</xdr:colOff>
          <xdr:row>31</xdr:row>
          <xdr:rowOff>45720</xdr:rowOff>
        </xdr:from>
        <xdr:to>
          <xdr:col>12</xdr:col>
          <xdr:colOff>22860</xdr:colOff>
          <xdr:row>33</xdr:row>
          <xdr:rowOff>68580</xdr:rowOff>
        </xdr:to>
        <xdr:sp macro="" textlink="">
          <xdr:nvSpPr>
            <xdr:cNvPr id="7236" name="TextBox34" hidden="1">
              <a:extLst>
                <a:ext uri="{63B3BB69-23CF-44E3-9099-C40C66FF867C}">
                  <a14:compatExt spid="_x0000_s7236"/>
                </a:ext>
              </a:extLst>
            </xdr:cNvPr>
            <xdr:cNvSpPr/>
          </xdr:nvSpPr>
          <xdr:spPr>
            <a:xfrm>
              <a:off x="0" y="0"/>
              <a:ext cx="0" cy="0"/>
            </a:xfrm>
            <a:prstGeom prst="rect">
              <a:avLst/>
            </a:prstGeom>
          </xdr:spPr>
        </xdr:sp>
        <xdr:clientData/>
      </xdr:twoCellAnchor>
    </mc:Choice>
    <mc:Fallback/>
  </mc:AlternateContent>
  <xdr:twoCellAnchor editAs="absolute">
    <xdr:from>
      <xdr:col>17</xdr:col>
      <xdr:colOff>15240</xdr:colOff>
      <xdr:row>4</xdr:row>
      <xdr:rowOff>0</xdr:rowOff>
    </xdr:from>
    <xdr:to>
      <xdr:col>18</xdr:col>
      <xdr:colOff>167640</xdr:colOff>
      <xdr:row>4</xdr:row>
      <xdr:rowOff>182880</xdr:rowOff>
    </xdr:to>
    <xdr:sp macro="" textlink="">
      <xdr:nvSpPr>
        <xdr:cNvPr id="2" name="TextBox 1"/>
        <xdr:cNvSpPr txBox="1"/>
      </xdr:nvSpPr>
      <xdr:spPr>
        <a:xfrm>
          <a:off x="6393180" y="601980"/>
          <a:ext cx="617220" cy="182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800">
              <a:solidFill>
                <a:srgbClr val="104F75"/>
              </a:solidFill>
            </a:rPr>
            <a:t>Accurate</a:t>
          </a:r>
        </a:p>
      </xdr:txBody>
    </xdr:sp>
    <xdr:clientData/>
  </xdr:twoCellAnchor>
  <mc:AlternateContent xmlns:mc="http://schemas.openxmlformats.org/markup-compatibility/2006">
    <mc:Choice xmlns:a14="http://schemas.microsoft.com/office/drawing/2010/main" Requires="a14">
      <xdr:twoCellAnchor editAs="absolute">
        <xdr:from>
          <xdr:col>22</xdr:col>
          <xdr:colOff>30480</xdr:colOff>
          <xdr:row>5</xdr:row>
          <xdr:rowOff>22860</xdr:rowOff>
        </xdr:from>
        <xdr:to>
          <xdr:col>25</xdr:col>
          <xdr:colOff>30480</xdr:colOff>
          <xdr:row>7</xdr:row>
          <xdr:rowOff>83820</xdr:rowOff>
        </xdr:to>
        <xdr:sp macro="" textlink="">
          <xdr:nvSpPr>
            <xdr:cNvPr id="7238" name="TextBox35" hidden="1">
              <a:extLst>
                <a:ext uri="{63B3BB69-23CF-44E3-9099-C40C66FF867C}">
                  <a14:compatExt spid="_x0000_s7238"/>
                </a:ext>
              </a:extLst>
            </xdr:cNvPr>
            <xdr:cNvSpPr/>
          </xdr:nvSpPr>
          <xdr:spPr>
            <a:xfrm>
              <a:off x="0" y="0"/>
              <a:ext cx="0" cy="0"/>
            </a:xfrm>
            <a:prstGeom prst="rect">
              <a:avLst/>
            </a:prstGeom>
          </xdr:spPr>
        </xdr:sp>
        <xdr:clientData/>
      </xdr:twoCellAnchor>
    </mc:Choice>
    <mc:Fallback/>
  </mc:AlternateContent>
  <xdr:twoCellAnchor editAs="absolute">
    <xdr:from>
      <xdr:col>17</xdr:col>
      <xdr:colOff>22860</xdr:colOff>
      <xdr:row>10</xdr:row>
      <xdr:rowOff>160020</xdr:rowOff>
    </xdr:from>
    <xdr:to>
      <xdr:col>18</xdr:col>
      <xdr:colOff>175260</xdr:colOff>
      <xdr:row>11</xdr:row>
      <xdr:rowOff>160020</xdr:rowOff>
    </xdr:to>
    <xdr:sp macro="" textlink="">
      <xdr:nvSpPr>
        <xdr:cNvPr id="74" name="TextBox 73"/>
        <xdr:cNvSpPr txBox="1"/>
      </xdr:nvSpPr>
      <xdr:spPr>
        <a:xfrm>
          <a:off x="6400800" y="1905000"/>
          <a:ext cx="617220" cy="182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800">
              <a:solidFill>
                <a:srgbClr val="104F75"/>
              </a:solidFill>
            </a:rPr>
            <a:t>Accurate</a:t>
          </a:r>
        </a:p>
      </xdr:txBody>
    </xdr:sp>
    <xdr:clientData/>
  </xdr:twoCellAnchor>
  <xdr:twoCellAnchor editAs="absolute">
    <xdr:from>
      <xdr:col>21</xdr:col>
      <xdr:colOff>0</xdr:colOff>
      <xdr:row>10</xdr:row>
      <xdr:rowOff>131380</xdr:rowOff>
    </xdr:from>
    <xdr:to>
      <xdr:col>25</xdr:col>
      <xdr:colOff>0</xdr:colOff>
      <xdr:row>18</xdr:row>
      <xdr:rowOff>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mc:AlternateContent xmlns:mc="http://schemas.openxmlformats.org/markup-compatibility/2006">
    <mc:Choice xmlns:a14="http://schemas.microsoft.com/office/drawing/2010/main" Requires="a14">
      <xdr:twoCellAnchor editAs="absolute">
        <xdr:from>
          <xdr:col>23</xdr:col>
          <xdr:colOff>533400</xdr:colOff>
          <xdr:row>9</xdr:row>
          <xdr:rowOff>60960</xdr:rowOff>
        </xdr:from>
        <xdr:to>
          <xdr:col>24</xdr:col>
          <xdr:colOff>480060</xdr:colOff>
          <xdr:row>10</xdr:row>
          <xdr:rowOff>137160</xdr:rowOff>
        </xdr:to>
        <xdr:sp macro="" textlink="">
          <xdr:nvSpPr>
            <xdr:cNvPr id="7239" name="TextBox36" hidden="1">
              <a:extLst>
                <a:ext uri="{63B3BB69-23CF-44E3-9099-C40C66FF867C}">
                  <a14:compatExt spid="_x0000_s72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22</xdr:col>
          <xdr:colOff>30480</xdr:colOff>
          <xdr:row>9</xdr:row>
          <xdr:rowOff>60960</xdr:rowOff>
        </xdr:from>
        <xdr:to>
          <xdr:col>23</xdr:col>
          <xdr:colOff>487680</xdr:colOff>
          <xdr:row>10</xdr:row>
          <xdr:rowOff>137160</xdr:rowOff>
        </xdr:to>
        <xdr:sp macro="" textlink="">
          <xdr:nvSpPr>
            <xdr:cNvPr id="7241" name="TextBox37" hidden="1">
              <a:extLst>
                <a:ext uri="{63B3BB69-23CF-44E3-9099-C40C66FF867C}">
                  <a14:compatExt spid="_x0000_s72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23</xdr:col>
          <xdr:colOff>525780</xdr:colOff>
          <xdr:row>7</xdr:row>
          <xdr:rowOff>99060</xdr:rowOff>
        </xdr:from>
        <xdr:to>
          <xdr:col>24</xdr:col>
          <xdr:colOff>472440</xdr:colOff>
          <xdr:row>8</xdr:row>
          <xdr:rowOff>175260</xdr:rowOff>
        </xdr:to>
        <xdr:sp macro="" textlink="">
          <xdr:nvSpPr>
            <xdr:cNvPr id="7242" name="TextBox38" hidden="1">
              <a:extLst>
                <a:ext uri="{63B3BB69-23CF-44E3-9099-C40C66FF867C}">
                  <a14:compatExt spid="_x0000_s72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22</xdr:col>
          <xdr:colOff>30480</xdr:colOff>
          <xdr:row>7</xdr:row>
          <xdr:rowOff>99060</xdr:rowOff>
        </xdr:from>
        <xdr:to>
          <xdr:col>23</xdr:col>
          <xdr:colOff>495300</xdr:colOff>
          <xdr:row>8</xdr:row>
          <xdr:rowOff>175260</xdr:rowOff>
        </xdr:to>
        <xdr:sp macro="" textlink="">
          <xdr:nvSpPr>
            <xdr:cNvPr id="7243" name="TextBox39" hidden="1">
              <a:extLst>
                <a:ext uri="{63B3BB69-23CF-44E3-9099-C40C66FF867C}">
                  <a14:compatExt spid="_x0000_s7243"/>
                </a:ext>
              </a:extLst>
            </xdr:cNvPr>
            <xdr:cNvSpPr/>
          </xdr:nvSpPr>
          <xdr:spPr>
            <a:xfrm>
              <a:off x="0" y="0"/>
              <a:ext cx="0" cy="0"/>
            </a:xfrm>
            <a:prstGeom prst="rect">
              <a:avLst/>
            </a:prstGeom>
          </xdr:spPr>
        </xdr:sp>
        <xdr:clientData/>
      </xdr:twoCellAnchor>
    </mc:Choice>
    <mc:Fallback/>
  </mc:AlternateContent>
  <xdr:twoCellAnchor editAs="absolute">
    <xdr:from>
      <xdr:col>22</xdr:col>
      <xdr:colOff>53340</xdr:colOff>
      <xdr:row>7</xdr:row>
      <xdr:rowOff>7620</xdr:rowOff>
    </xdr:from>
    <xdr:to>
      <xdr:col>24</xdr:col>
      <xdr:colOff>486060</xdr:colOff>
      <xdr:row>7</xdr:row>
      <xdr:rowOff>7620</xdr:rowOff>
    </xdr:to>
    <xdr:cxnSp macro="">
      <xdr:nvCxnSpPr>
        <xdr:cNvPr id="79" name="Straight Connector 78"/>
        <xdr:cNvCxnSpPr/>
      </xdr:nvCxnSpPr>
      <xdr:spPr>
        <a:xfrm flipH="1">
          <a:off x="8077200" y="1203960"/>
          <a:ext cx="1530000" cy="0"/>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15240</xdr:colOff>
      <xdr:row>16</xdr:row>
      <xdr:rowOff>22860</xdr:rowOff>
    </xdr:from>
    <xdr:to>
      <xdr:col>24</xdr:col>
      <xdr:colOff>190500</xdr:colOff>
      <xdr:row>17</xdr:row>
      <xdr:rowOff>22860</xdr:rowOff>
    </xdr:to>
    <xdr:sp macro="" textlink="">
      <xdr:nvSpPr>
        <xdr:cNvPr id="7" name="TextBox 6"/>
        <xdr:cNvSpPr txBox="1"/>
      </xdr:nvSpPr>
      <xdr:spPr>
        <a:xfrm>
          <a:off x="9136380" y="2865120"/>
          <a:ext cx="175260" cy="198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1600">
              <a:solidFill>
                <a:schemeClr val="bg1"/>
              </a:solidFill>
              <a:latin typeface="Webdings" panose="05030102010509060703" pitchFamily="18" charset="2"/>
            </a:rPr>
            <a:t>=</a:t>
          </a:r>
          <a:endParaRPr lang="en-GB" sz="1100">
            <a:solidFill>
              <a:schemeClr val="bg1"/>
            </a:solidFill>
            <a:latin typeface="Webdings" panose="05030102010509060703" pitchFamily="18" charset="2"/>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3" Type="http://schemas.openxmlformats.org/officeDocument/2006/relationships/image" Target="../media/image7.emf"/><Relationship Id="rId18" Type="http://schemas.openxmlformats.org/officeDocument/2006/relationships/control" Target="../activeX/activeX8.xml"/><Relationship Id="rId26" Type="http://schemas.openxmlformats.org/officeDocument/2006/relationships/control" Target="../activeX/activeX12.xml"/><Relationship Id="rId39" Type="http://schemas.openxmlformats.org/officeDocument/2006/relationships/image" Target="../media/image20.emf"/><Relationship Id="rId21" Type="http://schemas.openxmlformats.org/officeDocument/2006/relationships/image" Target="../media/image11.emf"/><Relationship Id="rId34" Type="http://schemas.openxmlformats.org/officeDocument/2006/relationships/control" Target="../activeX/activeX16.xml"/><Relationship Id="rId42" Type="http://schemas.openxmlformats.org/officeDocument/2006/relationships/control" Target="../activeX/activeX20.xml"/><Relationship Id="rId47" Type="http://schemas.openxmlformats.org/officeDocument/2006/relationships/image" Target="../media/image24.emf"/><Relationship Id="rId50" Type="http://schemas.openxmlformats.org/officeDocument/2006/relationships/control" Target="../activeX/activeX24.xml"/><Relationship Id="rId55" Type="http://schemas.openxmlformats.org/officeDocument/2006/relationships/image" Target="../media/image28.emf"/><Relationship Id="rId63" Type="http://schemas.openxmlformats.org/officeDocument/2006/relationships/image" Target="../media/image32.emf"/><Relationship Id="rId68" Type="http://schemas.openxmlformats.org/officeDocument/2006/relationships/control" Target="../activeX/activeX33.xml"/><Relationship Id="rId76" Type="http://schemas.openxmlformats.org/officeDocument/2006/relationships/control" Target="../activeX/activeX37.xml"/><Relationship Id="rId84" Type="http://schemas.openxmlformats.org/officeDocument/2006/relationships/control" Target="../activeX/activeX41.xml"/><Relationship Id="rId89" Type="http://schemas.openxmlformats.org/officeDocument/2006/relationships/image" Target="../media/image45.emf"/><Relationship Id="rId7" Type="http://schemas.openxmlformats.org/officeDocument/2006/relationships/image" Target="../media/image4.emf"/><Relationship Id="rId71" Type="http://schemas.openxmlformats.org/officeDocument/2006/relationships/image" Target="../media/image36.emf"/><Relationship Id="rId92" Type="http://schemas.openxmlformats.org/officeDocument/2006/relationships/control" Target="../activeX/activeX45.xml"/><Relationship Id="rId2" Type="http://schemas.openxmlformats.org/officeDocument/2006/relationships/drawing" Target="../drawings/drawing2.xml"/><Relationship Id="rId16" Type="http://schemas.openxmlformats.org/officeDocument/2006/relationships/control" Target="../activeX/activeX7.xml"/><Relationship Id="rId29" Type="http://schemas.openxmlformats.org/officeDocument/2006/relationships/image" Target="../media/image15.emf"/><Relationship Id="rId11" Type="http://schemas.openxmlformats.org/officeDocument/2006/relationships/image" Target="../media/image6.emf"/><Relationship Id="rId24" Type="http://schemas.openxmlformats.org/officeDocument/2006/relationships/control" Target="../activeX/activeX11.xml"/><Relationship Id="rId32" Type="http://schemas.openxmlformats.org/officeDocument/2006/relationships/control" Target="../activeX/activeX15.xml"/><Relationship Id="rId37" Type="http://schemas.openxmlformats.org/officeDocument/2006/relationships/image" Target="../media/image19.emf"/><Relationship Id="rId40" Type="http://schemas.openxmlformats.org/officeDocument/2006/relationships/control" Target="../activeX/activeX19.xml"/><Relationship Id="rId45" Type="http://schemas.openxmlformats.org/officeDocument/2006/relationships/image" Target="../media/image23.emf"/><Relationship Id="rId53" Type="http://schemas.openxmlformats.org/officeDocument/2006/relationships/image" Target="../media/image27.emf"/><Relationship Id="rId58" Type="http://schemas.openxmlformats.org/officeDocument/2006/relationships/control" Target="../activeX/activeX28.xml"/><Relationship Id="rId66" Type="http://schemas.openxmlformats.org/officeDocument/2006/relationships/control" Target="../activeX/activeX32.xml"/><Relationship Id="rId74" Type="http://schemas.openxmlformats.org/officeDocument/2006/relationships/control" Target="../activeX/activeX36.xml"/><Relationship Id="rId79" Type="http://schemas.openxmlformats.org/officeDocument/2006/relationships/image" Target="../media/image40.emf"/><Relationship Id="rId87" Type="http://schemas.openxmlformats.org/officeDocument/2006/relationships/image" Target="../media/image44.emf"/><Relationship Id="rId5" Type="http://schemas.openxmlformats.org/officeDocument/2006/relationships/image" Target="../media/image3.emf"/><Relationship Id="rId61" Type="http://schemas.openxmlformats.org/officeDocument/2006/relationships/image" Target="../media/image31.emf"/><Relationship Id="rId82" Type="http://schemas.openxmlformats.org/officeDocument/2006/relationships/control" Target="../activeX/activeX40.xml"/><Relationship Id="rId90" Type="http://schemas.openxmlformats.org/officeDocument/2006/relationships/control" Target="../activeX/activeX44.xml"/><Relationship Id="rId95" Type="http://schemas.openxmlformats.org/officeDocument/2006/relationships/image" Target="../media/image48.emf"/><Relationship Id="rId19" Type="http://schemas.openxmlformats.org/officeDocument/2006/relationships/image" Target="../media/image10.emf"/><Relationship Id="rId14" Type="http://schemas.openxmlformats.org/officeDocument/2006/relationships/control" Target="../activeX/activeX6.xml"/><Relationship Id="rId22" Type="http://schemas.openxmlformats.org/officeDocument/2006/relationships/control" Target="../activeX/activeX10.xml"/><Relationship Id="rId27" Type="http://schemas.openxmlformats.org/officeDocument/2006/relationships/image" Target="../media/image14.emf"/><Relationship Id="rId30" Type="http://schemas.openxmlformats.org/officeDocument/2006/relationships/control" Target="../activeX/activeX14.xml"/><Relationship Id="rId35" Type="http://schemas.openxmlformats.org/officeDocument/2006/relationships/image" Target="../media/image18.emf"/><Relationship Id="rId43" Type="http://schemas.openxmlformats.org/officeDocument/2006/relationships/image" Target="../media/image22.emf"/><Relationship Id="rId48" Type="http://schemas.openxmlformats.org/officeDocument/2006/relationships/control" Target="../activeX/activeX23.xml"/><Relationship Id="rId56" Type="http://schemas.openxmlformats.org/officeDocument/2006/relationships/control" Target="../activeX/activeX27.xml"/><Relationship Id="rId64" Type="http://schemas.openxmlformats.org/officeDocument/2006/relationships/control" Target="../activeX/activeX31.xml"/><Relationship Id="rId69" Type="http://schemas.openxmlformats.org/officeDocument/2006/relationships/image" Target="../media/image35.emf"/><Relationship Id="rId77" Type="http://schemas.openxmlformats.org/officeDocument/2006/relationships/image" Target="../media/image39.emf"/><Relationship Id="rId8" Type="http://schemas.openxmlformats.org/officeDocument/2006/relationships/control" Target="../activeX/activeX3.xml"/><Relationship Id="rId51" Type="http://schemas.openxmlformats.org/officeDocument/2006/relationships/image" Target="../media/image26.emf"/><Relationship Id="rId72" Type="http://schemas.openxmlformats.org/officeDocument/2006/relationships/control" Target="../activeX/activeX35.xml"/><Relationship Id="rId80" Type="http://schemas.openxmlformats.org/officeDocument/2006/relationships/control" Target="../activeX/activeX39.xml"/><Relationship Id="rId85" Type="http://schemas.openxmlformats.org/officeDocument/2006/relationships/image" Target="../media/image43.emf"/><Relationship Id="rId93" Type="http://schemas.openxmlformats.org/officeDocument/2006/relationships/image" Target="../media/image47.emf"/><Relationship Id="rId3" Type="http://schemas.openxmlformats.org/officeDocument/2006/relationships/vmlDrawing" Target="../drawings/vmlDrawing1.vml"/><Relationship Id="rId12" Type="http://schemas.openxmlformats.org/officeDocument/2006/relationships/control" Target="../activeX/activeX5.xml"/><Relationship Id="rId17" Type="http://schemas.openxmlformats.org/officeDocument/2006/relationships/image" Target="../media/image9.emf"/><Relationship Id="rId25" Type="http://schemas.openxmlformats.org/officeDocument/2006/relationships/image" Target="../media/image13.emf"/><Relationship Id="rId33" Type="http://schemas.openxmlformats.org/officeDocument/2006/relationships/image" Target="../media/image17.emf"/><Relationship Id="rId38" Type="http://schemas.openxmlformats.org/officeDocument/2006/relationships/control" Target="../activeX/activeX18.xml"/><Relationship Id="rId46" Type="http://schemas.openxmlformats.org/officeDocument/2006/relationships/control" Target="../activeX/activeX22.xml"/><Relationship Id="rId59" Type="http://schemas.openxmlformats.org/officeDocument/2006/relationships/image" Target="../media/image30.emf"/><Relationship Id="rId67" Type="http://schemas.openxmlformats.org/officeDocument/2006/relationships/image" Target="../media/image34.emf"/><Relationship Id="rId20" Type="http://schemas.openxmlformats.org/officeDocument/2006/relationships/control" Target="../activeX/activeX9.xml"/><Relationship Id="rId41" Type="http://schemas.openxmlformats.org/officeDocument/2006/relationships/image" Target="../media/image21.emf"/><Relationship Id="rId54" Type="http://schemas.openxmlformats.org/officeDocument/2006/relationships/control" Target="../activeX/activeX26.xml"/><Relationship Id="rId62" Type="http://schemas.openxmlformats.org/officeDocument/2006/relationships/control" Target="../activeX/activeX30.xml"/><Relationship Id="rId70" Type="http://schemas.openxmlformats.org/officeDocument/2006/relationships/control" Target="../activeX/activeX34.xml"/><Relationship Id="rId75" Type="http://schemas.openxmlformats.org/officeDocument/2006/relationships/image" Target="../media/image38.emf"/><Relationship Id="rId83" Type="http://schemas.openxmlformats.org/officeDocument/2006/relationships/image" Target="../media/image42.emf"/><Relationship Id="rId88" Type="http://schemas.openxmlformats.org/officeDocument/2006/relationships/control" Target="../activeX/activeX43.xml"/><Relationship Id="rId91" Type="http://schemas.openxmlformats.org/officeDocument/2006/relationships/image" Target="../media/image46.emf"/><Relationship Id="rId1" Type="http://schemas.openxmlformats.org/officeDocument/2006/relationships/printerSettings" Target="../printerSettings/printerSettings2.bin"/><Relationship Id="rId6" Type="http://schemas.openxmlformats.org/officeDocument/2006/relationships/control" Target="../activeX/activeX2.xml"/><Relationship Id="rId15" Type="http://schemas.openxmlformats.org/officeDocument/2006/relationships/image" Target="../media/image8.emf"/><Relationship Id="rId23" Type="http://schemas.openxmlformats.org/officeDocument/2006/relationships/image" Target="../media/image12.emf"/><Relationship Id="rId28" Type="http://schemas.openxmlformats.org/officeDocument/2006/relationships/control" Target="../activeX/activeX13.xml"/><Relationship Id="rId36" Type="http://schemas.openxmlformats.org/officeDocument/2006/relationships/control" Target="../activeX/activeX17.xml"/><Relationship Id="rId49" Type="http://schemas.openxmlformats.org/officeDocument/2006/relationships/image" Target="../media/image25.emf"/><Relationship Id="rId57" Type="http://schemas.openxmlformats.org/officeDocument/2006/relationships/image" Target="../media/image29.emf"/><Relationship Id="rId10" Type="http://schemas.openxmlformats.org/officeDocument/2006/relationships/control" Target="../activeX/activeX4.xml"/><Relationship Id="rId31" Type="http://schemas.openxmlformats.org/officeDocument/2006/relationships/image" Target="../media/image16.emf"/><Relationship Id="rId44" Type="http://schemas.openxmlformats.org/officeDocument/2006/relationships/control" Target="../activeX/activeX21.xml"/><Relationship Id="rId52" Type="http://schemas.openxmlformats.org/officeDocument/2006/relationships/control" Target="../activeX/activeX25.xml"/><Relationship Id="rId60" Type="http://schemas.openxmlformats.org/officeDocument/2006/relationships/control" Target="../activeX/activeX29.xml"/><Relationship Id="rId65" Type="http://schemas.openxmlformats.org/officeDocument/2006/relationships/image" Target="../media/image33.emf"/><Relationship Id="rId73" Type="http://schemas.openxmlformats.org/officeDocument/2006/relationships/image" Target="../media/image37.emf"/><Relationship Id="rId78" Type="http://schemas.openxmlformats.org/officeDocument/2006/relationships/control" Target="../activeX/activeX38.xml"/><Relationship Id="rId81" Type="http://schemas.openxmlformats.org/officeDocument/2006/relationships/image" Target="../media/image41.emf"/><Relationship Id="rId86" Type="http://schemas.openxmlformats.org/officeDocument/2006/relationships/control" Target="../activeX/activeX42.xml"/><Relationship Id="rId94" Type="http://schemas.openxmlformats.org/officeDocument/2006/relationships/control" Target="../activeX/activeX46.xml"/><Relationship Id="rId4" Type="http://schemas.openxmlformats.org/officeDocument/2006/relationships/control" Target="../activeX/activeX1.xml"/><Relationship Id="rId9" Type="http://schemas.openxmlformats.org/officeDocument/2006/relationships/image" Target="../media/image5.emf"/></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8" Type="http://schemas.openxmlformats.org/officeDocument/2006/relationships/hyperlink" Target="https://www.gov.uk/government/statistics/school-capacity-academic-year-2011-to-2012" TargetMode="External"/><Relationship Id="rId13" Type="http://schemas.openxmlformats.org/officeDocument/2006/relationships/hyperlink" Target="http://www.education.gov.uk/schools/performance/index.html" TargetMode="External"/><Relationship Id="rId3" Type="http://schemas.openxmlformats.org/officeDocument/2006/relationships/hyperlink" Target="https://www.gov.uk/government/statistics/school-capacity-2009-to-2010-final" TargetMode="External"/><Relationship Id="rId7" Type="http://schemas.openxmlformats.org/officeDocument/2006/relationships/hyperlink" Target="https://www.gov.uk/government/publications/school-capacity-academic-year-2013-to-2014" TargetMode="External"/><Relationship Id="rId12" Type="http://schemas.openxmlformats.org/officeDocument/2006/relationships/hyperlink" Target="https://www.gov.uk/government/statistical-data-sets/monthly-management-information-ofsteds-school-inspections-outcomes" TargetMode="External"/><Relationship Id="rId2" Type="http://schemas.openxmlformats.org/officeDocument/2006/relationships/hyperlink" Target="https://www.gov.uk/government/publications/school-capacity-academic-year-2014-to-2015" TargetMode="External"/><Relationship Id="rId1" Type="http://schemas.openxmlformats.org/officeDocument/2006/relationships/hyperlink" Target="https://www.gov.uk/government/publications/basic-need-allocations" TargetMode="External"/><Relationship Id="rId6" Type="http://schemas.openxmlformats.org/officeDocument/2006/relationships/hyperlink" Target="https://www.gov.uk/government/publications/school-capacity-academic-year-2014-to-2015" TargetMode="External"/><Relationship Id="rId11" Type="http://schemas.openxmlformats.org/officeDocument/2006/relationships/hyperlink" Target="https://www.gov.uk/government/publications/school-capacity-academic-year-2014-to-2015" TargetMode="External"/><Relationship Id="rId5" Type="http://schemas.openxmlformats.org/officeDocument/2006/relationships/hyperlink" Target="https://www.gov.uk/government/publications/school-capacity-academic-year-2014-to-2015" TargetMode="External"/><Relationship Id="rId10" Type="http://schemas.openxmlformats.org/officeDocument/2006/relationships/hyperlink" Target="https://www.gov.uk/government/publications/school-capacity-academic-year-2013-to-2014" TargetMode="External"/><Relationship Id="rId4" Type="http://schemas.openxmlformats.org/officeDocument/2006/relationships/hyperlink" Target="https://www.gov.uk/government/statistics/school-capacity-2009-to-2010-final" TargetMode="External"/><Relationship Id="rId9" Type="http://schemas.openxmlformats.org/officeDocument/2006/relationships/hyperlink" Target="https://www.gov.uk/government/statistics/secondary-and-primary-school-applications-and-offers-2015" TargetMode="External"/><Relationship Id="rId14"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B8"/>
  <sheetViews>
    <sheetView showGridLines="0" showRowColHeaders="0" tabSelected="1" workbookViewId="0">
      <selection activeCell="C39" sqref="C39"/>
    </sheetView>
  </sheetViews>
  <sheetFormatPr defaultColWidth="8.88671875" defaultRowHeight="14.4" x14ac:dyDescent="0.3"/>
  <cols>
    <col min="1" max="1" width="1.44140625" style="26" customWidth="1"/>
    <col min="2" max="16384" width="8.88671875" style="26"/>
  </cols>
  <sheetData>
    <row r="1" spans="2:2" ht="7.2" customHeight="1" x14ac:dyDescent="0.25"/>
    <row r="7" spans="2:2" ht="22.2" customHeight="1" x14ac:dyDescent="0.3">
      <c r="B7" s="267" t="s">
        <v>338</v>
      </c>
    </row>
    <row r="8" spans="2:2" ht="22.2" customHeight="1" x14ac:dyDescent="0.25">
      <c r="B8" s="268" t="s">
        <v>411</v>
      </c>
    </row>
  </sheetData>
  <sheetProtection password="A229" sheet="1" objects="1" scenarios="1"/>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O155"/>
  <sheetViews>
    <sheetView workbookViewId="0">
      <pane xSplit="2" ySplit="1" topLeftCell="C2" activePane="bottomRight" state="frozen"/>
      <selection pane="topRight" activeCell="C1" sqref="C1"/>
      <selection pane="bottomLeft" activeCell="A2" sqref="A2"/>
      <selection pane="bottomRight" activeCell="A2" sqref="A2"/>
    </sheetView>
  </sheetViews>
  <sheetFormatPr defaultColWidth="0" defaultRowHeight="15" x14ac:dyDescent="0.25"/>
  <cols>
    <col min="1" max="1" width="11.88671875" style="273" bestFit="1" customWidth="1"/>
    <col min="2" max="2" width="33.109375" style="273" customWidth="1"/>
    <col min="3" max="3" width="28.33203125" style="273" bestFit="1" customWidth="1"/>
    <col min="4" max="4" width="31.33203125" style="273" bestFit="1" customWidth="1"/>
    <col min="5" max="5" width="26.5546875" style="273" bestFit="1" customWidth="1"/>
    <col min="6" max="7" width="31.33203125" style="273" bestFit="1" customWidth="1"/>
    <col min="8" max="8" width="26.109375" style="273" bestFit="1" customWidth="1"/>
    <col min="9" max="9" width="26.5546875" style="273" bestFit="1" customWidth="1"/>
    <col min="10" max="10" width="28.33203125" style="273" bestFit="1" customWidth="1"/>
    <col min="11" max="12" width="31.33203125" style="273" bestFit="1" customWidth="1"/>
    <col min="13" max="41" width="0" style="273" hidden="1" customWidth="1"/>
    <col min="42" max="16384" width="8.88671875" style="273" hidden="1"/>
  </cols>
  <sheetData>
    <row r="1" spans="1:12" s="274" customFormat="1" x14ac:dyDescent="0.2">
      <c r="A1" s="274" t="s">
        <v>403</v>
      </c>
      <c r="B1" s="274" t="s">
        <v>404</v>
      </c>
      <c r="C1" s="274" t="s">
        <v>539</v>
      </c>
      <c r="D1" s="274" t="s">
        <v>540</v>
      </c>
      <c r="E1" s="274" t="s">
        <v>541</v>
      </c>
      <c r="F1" s="274" t="s">
        <v>542</v>
      </c>
      <c r="G1" s="274" t="s">
        <v>543</v>
      </c>
      <c r="H1" s="274" t="s">
        <v>544</v>
      </c>
      <c r="I1" s="274" t="s">
        <v>545</v>
      </c>
      <c r="J1" s="274" t="s">
        <v>546</v>
      </c>
      <c r="K1" s="274" t="s">
        <v>547</v>
      </c>
      <c r="L1" s="274" t="s">
        <v>548</v>
      </c>
    </row>
    <row r="2" spans="1:12" x14ac:dyDescent="0.2">
      <c r="A2" s="273">
        <v>301</v>
      </c>
      <c r="B2" s="273" t="s">
        <v>1</v>
      </c>
      <c r="C2" s="273" t="s">
        <v>48</v>
      </c>
      <c r="D2" s="273" t="s">
        <v>44</v>
      </c>
      <c r="E2" s="273" t="s">
        <v>79</v>
      </c>
      <c r="F2" s="273" t="s">
        <v>9</v>
      </c>
      <c r="G2" s="273" t="s">
        <v>78</v>
      </c>
      <c r="H2" s="273" t="s">
        <v>94</v>
      </c>
      <c r="I2" s="273" t="s">
        <v>140</v>
      </c>
      <c r="J2" s="273" t="s">
        <v>114</v>
      </c>
      <c r="K2" s="273" t="s">
        <v>30</v>
      </c>
      <c r="L2" s="273" t="s">
        <v>85</v>
      </c>
    </row>
    <row r="3" spans="1:12" x14ac:dyDescent="0.2">
      <c r="A3" s="273">
        <v>302</v>
      </c>
      <c r="B3" s="273" t="s">
        <v>4</v>
      </c>
      <c r="C3" s="273" t="s">
        <v>81</v>
      </c>
      <c r="D3" s="273" t="s">
        <v>67</v>
      </c>
      <c r="E3" s="273" t="s">
        <v>102</v>
      </c>
      <c r="F3" s="273" t="s">
        <v>59</v>
      </c>
      <c r="G3" s="273" t="s">
        <v>130</v>
      </c>
      <c r="H3" s="273" t="s">
        <v>103</v>
      </c>
      <c r="I3" s="273" t="s">
        <v>60</v>
      </c>
      <c r="J3" s="273" t="s">
        <v>83</v>
      </c>
      <c r="K3" s="273" t="s">
        <v>19</v>
      </c>
      <c r="L3" s="273" t="s">
        <v>41</v>
      </c>
    </row>
    <row r="4" spans="1:12" x14ac:dyDescent="0.2">
      <c r="A4" s="273">
        <v>370</v>
      </c>
      <c r="B4" s="273" t="s">
        <v>5</v>
      </c>
      <c r="C4" s="273" t="s">
        <v>104</v>
      </c>
      <c r="D4" s="273" t="s">
        <v>37</v>
      </c>
      <c r="E4" s="273" t="s">
        <v>138</v>
      </c>
      <c r="F4" s="273" t="s">
        <v>147</v>
      </c>
      <c r="G4" s="273" t="s">
        <v>107</v>
      </c>
      <c r="H4" s="273" t="s">
        <v>549</v>
      </c>
      <c r="I4" s="273" t="s">
        <v>87</v>
      </c>
      <c r="J4" s="273" t="s">
        <v>55</v>
      </c>
      <c r="K4" s="273" t="s">
        <v>50</v>
      </c>
      <c r="L4" s="273" t="s">
        <v>40</v>
      </c>
    </row>
    <row r="5" spans="1:12" x14ac:dyDescent="0.2">
      <c r="A5" s="273">
        <v>800</v>
      </c>
      <c r="B5" s="273" t="s">
        <v>6</v>
      </c>
      <c r="C5" s="273" t="s">
        <v>47</v>
      </c>
      <c r="D5" s="273" t="s">
        <v>23</v>
      </c>
      <c r="E5" s="273" t="s">
        <v>97</v>
      </c>
      <c r="F5" s="273" t="s">
        <v>148</v>
      </c>
      <c r="G5" s="273" t="s">
        <v>145</v>
      </c>
      <c r="H5" s="273" t="s">
        <v>52</v>
      </c>
      <c r="I5" s="273" t="s">
        <v>89</v>
      </c>
      <c r="J5" s="273" t="s">
        <v>117</v>
      </c>
      <c r="K5" s="273" t="s">
        <v>36</v>
      </c>
      <c r="L5" s="273" t="s">
        <v>153</v>
      </c>
    </row>
    <row r="6" spans="1:12" x14ac:dyDescent="0.2">
      <c r="A6" s="273">
        <v>822</v>
      </c>
      <c r="B6" s="273" t="s">
        <v>7</v>
      </c>
      <c r="C6" s="273" t="s">
        <v>65</v>
      </c>
      <c r="D6" s="273" t="s">
        <v>92</v>
      </c>
      <c r="E6" s="273" t="s">
        <v>131</v>
      </c>
      <c r="F6" s="273" t="s">
        <v>34</v>
      </c>
      <c r="G6" s="273" t="s">
        <v>83</v>
      </c>
      <c r="H6" s="273" t="s">
        <v>112</v>
      </c>
      <c r="I6" s="273" t="s">
        <v>72</v>
      </c>
      <c r="J6" s="273" t="s">
        <v>58</v>
      </c>
      <c r="K6" s="273" t="s">
        <v>143</v>
      </c>
      <c r="L6" s="273" t="s">
        <v>80</v>
      </c>
    </row>
    <row r="7" spans="1:12" x14ac:dyDescent="0.2">
      <c r="A7" s="273">
        <v>303</v>
      </c>
      <c r="B7" s="273" t="s">
        <v>8</v>
      </c>
      <c r="C7" s="273" t="s">
        <v>56</v>
      </c>
      <c r="D7" s="273" t="s">
        <v>134</v>
      </c>
      <c r="E7" s="273" t="s">
        <v>80</v>
      </c>
      <c r="F7" s="273" t="s">
        <v>83</v>
      </c>
      <c r="G7" s="273" t="s">
        <v>120</v>
      </c>
      <c r="H7" s="273" t="s">
        <v>131</v>
      </c>
      <c r="I7" s="273" t="s">
        <v>65</v>
      </c>
      <c r="J7" s="273" t="s">
        <v>7</v>
      </c>
      <c r="K7" s="273" t="s">
        <v>45</v>
      </c>
      <c r="L7" s="273" t="s">
        <v>19</v>
      </c>
    </row>
    <row r="8" spans="1:12" x14ac:dyDescent="0.2">
      <c r="A8" s="273">
        <v>330</v>
      </c>
      <c r="B8" s="273" t="s">
        <v>9</v>
      </c>
      <c r="C8" s="273" t="s">
        <v>78</v>
      </c>
      <c r="D8" s="273" t="s">
        <v>110</v>
      </c>
      <c r="E8" s="273" t="s">
        <v>94</v>
      </c>
      <c r="F8" s="273" t="s">
        <v>152</v>
      </c>
      <c r="G8" s="273" t="s">
        <v>44</v>
      </c>
      <c r="H8" s="273" t="s">
        <v>140</v>
      </c>
      <c r="I8" s="273" t="s">
        <v>114</v>
      </c>
      <c r="J8" s="273" t="s">
        <v>79</v>
      </c>
      <c r="K8" s="273" t="s">
        <v>139</v>
      </c>
      <c r="L8" s="273" t="s">
        <v>34</v>
      </c>
    </row>
    <row r="9" spans="1:12" x14ac:dyDescent="0.2">
      <c r="A9" s="273">
        <v>889</v>
      </c>
      <c r="B9" s="273" t="s">
        <v>10</v>
      </c>
      <c r="C9" s="273" t="s">
        <v>139</v>
      </c>
      <c r="D9" s="273" t="s">
        <v>16</v>
      </c>
      <c r="E9" s="273" t="s">
        <v>13</v>
      </c>
      <c r="F9" s="273" t="s">
        <v>106</v>
      </c>
      <c r="G9" s="273" t="s">
        <v>98</v>
      </c>
      <c r="H9" s="273" t="s">
        <v>34</v>
      </c>
      <c r="I9" s="273" t="s">
        <v>96</v>
      </c>
      <c r="J9" s="273" t="s">
        <v>68</v>
      </c>
      <c r="K9" s="273" t="s">
        <v>30</v>
      </c>
      <c r="L9" s="273" t="s">
        <v>133</v>
      </c>
    </row>
    <row r="10" spans="1:12" x14ac:dyDescent="0.2">
      <c r="A10" s="273">
        <v>890</v>
      </c>
      <c r="B10" s="273" t="s">
        <v>11</v>
      </c>
      <c r="C10" s="273" t="s">
        <v>55</v>
      </c>
      <c r="D10" s="273" t="s">
        <v>104</v>
      </c>
      <c r="E10" s="273" t="s">
        <v>87</v>
      </c>
      <c r="F10" s="273" t="s">
        <v>132</v>
      </c>
      <c r="G10" s="273" t="s">
        <v>5</v>
      </c>
      <c r="H10" s="273" t="s">
        <v>135</v>
      </c>
      <c r="I10" s="273" t="s">
        <v>126</v>
      </c>
      <c r="J10" s="273" t="s">
        <v>118</v>
      </c>
      <c r="K10" s="273" t="s">
        <v>50</v>
      </c>
      <c r="L10" s="273" t="s">
        <v>550</v>
      </c>
    </row>
    <row r="11" spans="1:12" x14ac:dyDescent="0.2">
      <c r="A11" s="273">
        <v>350</v>
      </c>
      <c r="B11" s="273" t="s">
        <v>13</v>
      </c>
      <c r="C11" s="273" t="s">
        <v>68</v>
      </c>
      <c r="D11" s="273" t="s">
        <v>34</v>
      </c>
      <c r="E11" s="273" t="s">
        <v>39</v>
      </c>
      <c r="F11" s="273" t="s">
        <v>132</v>
      </c>
      <c r="G11" s="273" t="s">
        <v>22</v>
      </c>
      <c r="H11" s="273" t="s">
        <v>133</v>
      </c>
      <c r="I11" s="273" t="s">
        <v>112</v>
      </c>
      <c r="J11" s="273" t="s">
        <v>139</v>
      </c>
      <c r="K11" s="273" t="s">
        <v>80</v>
      </c>
      <c r="L11" s="273" t="s">
        <v>107</v>
      </c>
    </row>
    <row r="12" spans="1:12" x14ac:dyDescent="0.2">
      <c r="A12" s="273">
        <v>837</v>
      </c>
      <c r="B12" s="273" t="s">
        <v>14</v>
      </c>
      <c r="C12" s="273" t="s">
        <v>120</v>
      </c>
      <c r="D12" s="273" t="s">
        <v>99</v>
      </c>
      <c r="E12" s="273" t="s">
        <v>100</v>
      </c>
      <c r="F12" s="273" t="s">
        <v>131</v>
      </c>
      <c r="G12" s="273" t="s">
        <v>101</v>
      </c>
      <c r="H12" s="273" t="s">
        <v>112</v>
      </c>
      <c r="I12" s="273" t="s">
        <v>43</v>
      </c>
      <c r="J12" s="273" t="s">
        <v>65</v>
      </c>
      <c r="K12" s="273" t="s">
        <v>61</v>
      </c>
      <c r="L12" s="273" t="s">
        <v>135</v>
      </c>
    </row>
    <row r="13" spans="1:12" x14ac:dyDescent="0.2">
      <c r="A13" s="273">
        <v>867</v>
      </c>
      <c r="B13" s="273" t="s">
        <v>15</v>
      </c>
      <c r="C13" s="273" t="s">
        <v>58</v>
      </c>
      <c r="D13" s="273" t="s">
        <v>52</v>
      </c>
      <c r="E13" s="273" t="s">
        <v>25</v>
      </c>
      <c r="F13" s="273" t="s">
        <v>144</v>
      </c>
      <c r="G13" s="273" t="s">
        <v>145</v>
      </c>
      <c r="H13" s="273" t="s">
        <v>97</v>
      </c>
      <c r="I13" s="273" t="s">
        <v>143</v>
      </c>
      <c r="J13" s="273" t="s">
        <v>117</v>
      </c>
      <c r="K13" s="273" t="s">
        <v>154</v>
      </c>
      <c r="L13" s="273" t="s">
        <v>20</v>
      </c>
    </row>
    <row r="14" spans="1:12" x14ac:dyDescent="0.2">
      <c r="A14" s="273">
        <v>380</v>
      </c>
      <c r="B14" s="273" t="s">
        <v>16</v>
      </c>
      <c r="C14" s="273" t="s">
        <v>106</v>
      </c>
      <c r="D14" s="273" t="s">
        <v>10</v>
      </c>
      <c r="E14" s="273" t="s">
        <v>96</v>
      </c>
      <c r="F14" s="273" t="s">
        <v>68</v>
      </c>
      <c r="G14" s="273" t="s">
        <v>139</v>
      </c>
      <c r="H14" s="273" t="s">
        <v>98</v>
      </c>
      <c r="I14" s="273" t="s">
        <v>34</v>
      </c>
      <c r="J14" s="273" t="s">
        <v>13</v>
      </c>
      <c r="K14" s="273" t="s">
        <v>133</v>
      </c>
      <c r="L14" s="273" t="s">
        <v>112</v>
      </c>
    </row>
    <row r="15" spans="1:12" x14ac:dyDescent="0.2">
      <c r="A15" s="273">
        <v>304</v>
      </c>
      <c r="B15" s="273" t="s">
        <v>17</v>
      </c>
      <c r="C15" s="273" t="s">
        <v>41</v>
      </c>
      <c r="D15" s="273" t="s">
        <v>140</v>
      </c>
      <c r="E15" s="273" t="s">
        <v>31</v>
      </c>
      <c r="F15" s="273" t="s">
        <v>53</v>
      </c>
      <c r="G15" s="273" t="s">
        <v>44</v>
      </c>
      <c r="H15" s="273" t="s">
        <v>85</v>
      </c>
      <c r="I15" s="273" t="s">
        <v>60</v>
      </c>
      <c r="J15" s="273" t="s">
        <v>75</v>
      </c>
      <c r="K15" s="273" t="s">
        <v>48</v>
      </c>
      <c r="L15" s="273" t="s">
        <v>49</v>
      </c>
    </row>
    <row r="16" spans="1:12" x14ac:dyDescent="0.2">
      <c r="A16" s="273">
        <v>846</v>
      </c>
      <c r="B16" s="273" t="s">
        <v>18</v>
      </c>
      <c r="C16" s="273" t="s">
        <v>14</v>
      </c>
      <c r="D16" s="273" t="s">
        <v>551</v>
      </c>
      <c r="E16" s="273" t="s">
        <v>102</v>
      </c>
      <c r="F16" s="273" t="s">
        <v>6</v>
      </c>
      <c r="G16" s="273" t="s">
        <v>112</v>
      </c>
      <c r="H16" s="273" t="s">
        <v>101</v>
      </c>
      <c r="I16" s="273" t="s">
        <v>154</v>
      </c>
      <c r="J16" s="273" t="s">
        <v>72</v>
      </c>
      <c r="K16" s="273" t="s">
        <v>19</v>
      </c>
      <c r="L16" s="273" t="s">
        <v>120</v>
      </c>
    </row>
    <row r="17" spans="1:12" x14ac:dyDescent="0.2">
      <c r="A17" s="273">
        <v>801</v>
      </c>
      <c r="B17" s="273" t="s">
        <v>551</v>
      </c>
      <c r="C17" s="273" t="s">
        <v>101</v>
      </c>
      <c r="D17" s="273" t="s">
        <v>102</v>
      </c>
      <c r="E17" s="273" t="s">
        <v>119</v>
      </c>
      <c r="F17" s="273" t="s">
        <v>112</v>
      </c>
      <c r="G17" s="273" t="s">
        <v>18</v>
      </c>
      <c r="H17" s="273" t="s">
        <v>34</v>
      </c>
      <c r="I17" s="273" t="s">
        <v>14</v>
      </c>
      <c r="J17" s="273" t="s">
        <v>30</v>
      </c>
      <c r="K17" s="273" t="s">
        <v>99</v>
      </c>
      <c r="L17" s="273" t="s">
        <v>72</v>
      </c>
    </row>
    <row r="18" spans="1:12" x14ac:dyDescent="0.2">
      <c r="A18" s="273">
        <v>305</v>
      </c>
      <c r="B18" s="273" t="s">
        <v>19</v>
      </c>
      <c r="C18" s="273" t="s">
        <v>137</v>
      </c>
      <c r="D18" s="273" t="s">
        <v>58</v>
      </c>
      <c r="E18" s="273" t="s">
        <v>130</v>
      </c>
      <c r="F18" s="273" t="s">
        <v>15</v>
      </c>
      <c r="G18" s="273" t="s">
        <v>124</v>
      </c>
      <c r="H18" s="273" t="s">
        <v>7</v>
      </c>
      <c r="I18" s="273" t="s">
        <v>115</v>
      </c>
      <c r="J18" s="273" t="s">
        <v>97</v>
      </c>
      <c r="K18" s="273" t="s">
        <v>52</v>
      </c>
      <c r="L18" s="273" t="s">
        <v>6</v>
      </c>
    </row>
    <row r="19" spans="1:12" x14ac:dyDescent="0.2">
      <c r="A19" s="273">
        <v>825</v>
      </c>
      <c r="B19" s="273" t="s">
        <v>20</v>
      </c>
      <c r="C19" s="273" t="s">
        <v>129</v>
      </c>
      <c r="D19" s="273" t="s">
        <v>144</v>
      </c>
      <c r="E19" s="273" t="s">
        <v>149</v>
      </c>
      <c r="F19" s="273" t="s">
        <v>58</v>
      </c>
      <c r="G19" s="273" t="s">
        <v>97</v>
      </c>
      <c r="H19" s="273" t="s">
        <v>23</v>
      </c>
      <c r="I19" s="273" t="s">
        <v>52</v>
      </c>
      <c r="J19" s="273" t="s">
        <v>15</v>
      </c>
      <c r="K19" s="273" t="s">
        <v>25</v>
      </c>
      <c r="L19" s="273" t="s">
        <v>151</v>
      </c>
    </row>
    <row r="20" spans="1:12" x14ac:dyDescent="0.2">
      <c r="A20" s="273">
        <v>351</v>
      </c>
      <c r="B20" s="273" t="s">
        <v>21</v>
      </c>
      <c r="C20" s="273" t="s">
        <v>22</v>
      </c>
      <c r="D20" s="273" t="s">
        <v>71</v>
      </c>
      <c r="E20" s="273" t="s">
        <v>125</v>
      </c>
      <c r="F20" s="273" t="s">
        <v>124</v>
      </c>
      <c r="G20" s="273" t="s">
        <v>111</v>
      </c>
      <c r="H20" s="273" t="s">
        <v>142</v>
      </c>
      <c r="I20" s="273" t="s">
        <v>95</v>
      </c>
      <c r="J20" s="273" t="s">
        <v>65</v>
      </c>
      <c r="K20" s="273" t="s">
        <v>115</v>
      </c>
      <c r="L20" s="273" t="s">
        <v>33</v>
      </c>
    </row>
    <row r="21" spans="1:12" x14ac:dyDescent="0.2">
      <c r="A21" s="273">
        <v>381</v>
      </c>
      <c r="B21" s="273" t="s">
        <v>22</v>
      </c>
      <c r="C21" s="273" t="s">
        <v>71</v>
      </c>
      <c r="D21" s="273" t="s">
        <v>21</v>
      </c>
      <c r="E21" s="273" t="s">
        <v>125</v>
      </c>
      <c r="F21" s="273" t="s">
        <v>33</v>
      </c>
      <c r="G21" s="273" t="s">
        <v>95</v>
      </c>
      <c r="H21" s="273" t="s">
        <v>68</v>
      </c>
      <c r="I21" s="273" t="s">
        <v>35</v>
      </c>
      <c r="J21" s="273" t="s">
        <v>111</v>
      </c>
      <c r="K21" s="273" t="s">
        <v>123</v>
      </c>
      <c r="L21" s="273" t="s">
        <v>65</v>
      </c>
    </row>
    <row r="22" spans="1:12" x14ac:dyDescent="0.2">
      <c r="A22" s="273">
        <v>873</v>
      </c>
      <c r="B22" s="273" t="s">
        <v>23</v>
      </c>
      <c r="C22" s="273" t="s">
        <v>97</v>
      </c>
      <c r="D22" s="273" t="s">
        <v>47</v>
      </c>
      <c r="E22" s="273" t="s">
        <v>52</v>
      </c>
      <c r="F22" s="273" t="s">
        <v>148</v>
      </c>
      <c r="G22" s="273" t="s">
        <v>6</v>
      </c>
      <c r="H22" s="273" t="s">
        <v>144</v>
      </c>
      <c r="I22" s="273" t="s">
        <v>145</v>
      </c>
      <c r="J22" s="273" t="s">
        <v>58</v>
      </c>
      <c r="K22" s="273" t="s">
        <v>153</v>
      </c>
      <c r="L22" s="273" t="s">
        <v>117</v>
      </c>
    </row>
    <row r="23" spans="1:12" x14ac:dyDescent="0.2">
      <c r="A23" s="273">
        <v>202</v>
      </c>
      <c r="B23" s="273" t="s">
        <v>24</v>
      </c>
      <c r="C23" s="273" t="s">
        <v>146</v>
      </c>
      <c r="D23" s="273" t="s">
        <v>51</v>
      </c>
      <c r="E23" s="273" t="s">
        <v>63</v>
      </c>
      <c r="F23" s="273" t="s">
        <v>64</v>
      </c>
      <c r="G23" s="273" t="s">
        <v>141</v>
      </c>
      <c r="H23" s="273" t="s">
        <v>48</v>
      </c>
      <c r="I23" s="273" t="s">
        <v>79</v>
      </c>
      <c r="J23" s="273" t="s">
        <v>53</v>
      </c>
      <c r="K23" s="273" t="s">
        <v>4</v>
      </c>
      <c r="L23" s="273" t="s">
        <v>102</v>
      </c>
    </row>
    <row r="24" spans="1:12" x14ac:dyDescent="0.2">
      <c r="A24" s="273">
        <v>823</v>
      </c>
      <c r="B24" s="273" t="s">
        <v>25</v>
      </c>
      <c r="C24" s="273" t="s">
        <v>52</v>
      </c>
      <c r="D24" s="273" t="s">
        <v>143</v>
      </c>
      <c r="E24" s="273" t="s">
        <v>45</v>
      </c>
      <c r="F24" s="273" t="s">
        <v>74</v>
      </c>
      <c r="G24" s="273" t="s">
        <v>117</v>
      </c>
      <c r="H24" s="273" t="s">
        <v>153</v>
      </c>
      <c r="I24" s="273" t="s">
        <v>26</v>
      </c>
      <c r="J24" s="273" t="s">
        <v>145</v>
      </c>
      <c r="K24" s="273" t="s">
        <v>15</v>
      </c>
      <c r="L24" s="273" t="s">
        <v>144</v>
      </c>
    </row>
    <row r="25" spans="1:12" x14ac:dyDescent="0.2">
      <c r="A25" s="273">
        <v>895</v>
      </c>
      <c r="B25" s="273" t="s">
        <v>26</v>
      </c>
      <c r="C25" s="273" t="s">
        <v>27</v>
      </c>
      <c r="D25" s="273" t="s">
        <v>143</v>
      </c>
      <c r="E25" s="273" t="s">
        <v>25</v>
      </c>
      <c r="F25" s="273" t="s">
        <v>142</v>
      </c>
      <c r="G25" s="273" t="s">
        <v>52</v>
      </c>
      <c r="H25" s="273" t="s">
        <v>91</v>
      </c>
      <c r="I25" s="273" t="s">
        <v>42</v>
      </c>
      <c r="J25" s="273" t="s">
        <v>115</v>
      </c>
      <c r="K25" s="273" t="s">
        <v>89</v>
      </c>
      <c r="L25" s="273" t="s">
        <v>144</v>
      </c>
    </row>
    <row r="26" spans="1:12" x14ac:dyDescent="0.2">
      <c r="A26" s="273">
        <v>896</v>
      </c>
      <c r="B26" s="273" t="s">
        <v>27</v>
      </c>
      <c r="C26" s="273" t="s">
        <v>142</v>
      </c>
      <c r="D26" s="273" t="s">
        <v>143</v>
      </c>
      <c r="E26" s="273" t="s">
        <v>26</v>
      </c>
      <c r="F26" s="273" t="s">
        <v>153</v>
      </c>
      <c r="G26" s="273" t="s">
        <v>124</v>
      </c>
      <c r="H26" s="273" t="s">
        <v>123</v>
      </c>
      <c r="I26" s="273" t="s">
        <v>42</v>
      </c>
      <c r="J26" s="273" t="s">
        <v>25</v>
      </c>
      <c r="K26" s="273" t="s">
        <v>154</v>
      </c>
      <c r="L26" s="273" t="s">
        <v>95</v>
      </c>
    </row>
    <row r="27" spans="1:12" x14ac:dyDescent="0.2">
      <c r="A27" s="273">
        <v>201</v>
      </c>
      <c r="B27" s="273" t="s">
        <v>28</v>
      </c>
      <c r="C27" s="273" t="s">
        <v>64</v>
      </c>
      <c r="D27" s="273" t="s">
        <v>146</v>
      </c>
      <c r="E27" s="273" t="s">
        <v>24</v>
      </c>
      <c r="F27" s="273" t="s">
        <v>141</v>
      </c>
      <c r="G27" s="273" t="s">
        <v>51</v>
      </c>
      <c r="H27" s="273" t="s">
        <v>105</v>
      </c>
      <c r="I27" s="273" t="s">
        <v>4</v>
      </c>
      <c r="J27" s="273" t="s">
        <v>63</v>
      </c>
      <c r="K27" s="273" t="s">
        <v>18</v>
      </c>
      <c r="L27" s="273" t="s">
        <v>67</v>
      </c>
    </row>
    <row r="28" spans="1:12" x14ac:dyDescent="0.2">
      <c r="A28" s="273">
        <v>908</v>
      </c>
      <c r="B28" s="273" t="s">
        <v>29</v>
      </c>
      <c r="C28" s="273" t="s">
        <v>116</v>
      </c>
      <c r="D28" s="273" t="s">
        <v>86</v>
      </c>
      <c r="E28" s="273" t="s">
        <v>36</v>
      </c>
      <c r="F28" s="273" t="s">
        <v>57</v>
      </c>
      <c r="G28" s="273" t="s">
        <v>127</v>
      </c>
      <c r="H28" s="273" t="s">
        <v>113</v>
      </c>
      <c r="I28" s="273" t="s">
        <v>38</v>
      </c>
      <c r="J28" s="273" t="s">
        <v>43</v>
      </c>
      <c r="K28" s="273" t="s">
        <v>76</v>
      </c>
      <c r="L28" s="273" t="s">
        <v>32</v>
      </c>
    </row>
    <row r="29" spans="1:12" x14ac:dyDescent="0.2">
      <c r="A29" s="273">
        <v>331</v>
      </c>
      <c r="B29" s="273" t="s">
        <v>30</v>
      </c>
      <c r="C29" s="273" t="s">
        <v>34</v>
      </c>
      <c r="D29" s="273" t="s">
        <v>13</v>
      </c>
      <c r="E29" s="273" t="s">
        <v>112</v>
      </c>
      <c r="F29" s="273" t="s">
        <v>98</v>
      </c>
      <c r="G29" s="273" t="s">
        <v>139</v>
      </c>
      <c r="H29" s="273" t="s">
        <v>72</v>
      </c>
      <c r="I29" s="273" t="s">
        <v>101</v>
      </c>
      <c r="J29" s="273" t="s">
        <v>119</v>
      </c>
      <c r="K29" s="273" t="s">
        <v>132</v>
      </c>
      <c r="L29" s="273" t="s">
        <v>80</v>
      </c>
    </row>
    <row r="30" spans="1:12" x14ac:dyDescent="0.25">
      <c r="A30" s="273">
        <v>306</v>
      </c>
      <c r="B30" s="273" t="s">
        <v>31</v>
      </c>
      <c r="C30" s="273" t="s">
        <v>44</v>
      </c>
      <c r="D30" s="273" t="s">
        <v>140</v>
      </c>
      <c r="E30" s="273" t="s">
        <v>75</v>
      </c>
      <c r="F30" s="273" t="s">
        <v>53</v>
      </c>
      <c r="G30" s="273" t="s">
        <v>17</v>
      </c>
      <c r="H30" s="273" t="s">
        <v>9</v>
      </c>
      <c r="I30" s="273" t="s">
        <v>48</v>
      </c>
      <c r="J30" s="273" t="s">
        <v>81</v>
      </c>
      <c r="K30" s="273" t="s">
        <v>41</v>
      </c>
      <c r="L30" s="273" t="s">
        <v>70</v>
      </c>
    </row>
    <row r="31" spans="1:12" x14ac:dyDescent="0.25">
      <c r="A31" s="273">
        <v>909</v>
      </c>
      <c r="B31" s="273" t="s">
        <v>32</v>
      </c>
      <c r="C31" s="273" t="s">
        <v>76</v>
      </c>
      <c r="D31" s="273" t="s">
        <v>35</v>
      </c>
      <c r="E31" s="273" t="s">
        <v>86</v>
      </c>
      <c r="F31" s="273" t="s">
        <v>95</v>
      </c>
      <c r="G31" s="273" t="s">
        <v>123</v>
      </c>
      <c r="H31" s="273" t="s">
        <v>153</v>
      </c>
      <c r="I31" s="273" t="s">
        <v>127</v>
      </c>
      <c r="J31" s="273" t="s">
        <v>71</v>
      </c>
      <c r="K31" s="273" t="s">
        <v>88</v>
      </c>
      <c r="L31" s="273" t="s">
        <v>29</v>
      </c>
    </row>
    <row r="32" spans="1:12" x14ac:dyDescent="0.25">
      <c r="A32" s="273">
        <v>841</v>
      </c>
      <c r="B32" s="273" t="s">
        <v>33</v>
      </c>
      <c r="C32" s="273" t="s">
        <v>125</v>
      </c>
      <c r="D32" s="273" t="s">
        <v>90</v>
      </c>
      <c r="E32" s="273" t="s">
        <v>549</v>
      </c>
      <c r="F32" s="273" t="s">
        <v>22</v>
      </c>
      <c r="G32" s="273" t="s">
        <v>40</v>
      </c>
      <c r="H32" s="273" t="s">
        <v>147</v>
      </c>
      <c r="I32" s="273" t="s">
        <v>150</v>
      </c>
      <c r="J32" s="273" t="s">
        <v>46</v>
      </c>
      <c r="K32" s="273" t="s">
        <v>50</v>
      </c>
      <c r="L32" s="273" t="s">
        <v>111</v>
      </c>
    </row>
    <row r="33" spans="1:12" x14ac:dyDescent="0.25">
      <c r="A33" s="273">
        <v>831</v>
      </c>
      <c r="B33" s="273" t="s">
        <v>34</v>
      </c>
      <c r="C33" s="273" t="s">
        <v>112</v>
      </c>
      <c r="D33" s="273" t="s">
        <v>98</v>
      </c>
      <c r="E33" s="273" t="s">
        <v>13</v>
      </c>
      <c r="F33" s="273" t="s">
        <v>133</v>
      </c>
      <c r="G33" s="273" t="s">
        <v>139</v>
      </c>
      <c r="H33" s="273" t="s">
        <v>30</v>
      </c>
      <c r="I33" s="273" t="s">
        <v>80</v>
      </c>
      <c r="J33" s="273" t="s">
        <v>68</v>
      </c>
      <c r="K33" s="273" t="s">
        <v>39</v>
      </c>
      <c r="L33" s="273" t="s">
        <v>72</v>
      </c>
    </row>
    <row r="34" spans="1:12" x14ac:dyDescent="0.25">
      <c r="A34" s="273">
        <v>830</v>
      </c>
      <c r="B34" s="273" t="s">
        <v>35</v>
      </c>
      <c r="C34" s="273" t="s">
        <v>95</v>
      </c>
      <c r="D34" s="273" t="s">
        <v>123</v>
      </c>
      <c r="E34" s="273" t="s">
        <v>71</v>
      </c>
      <c r="F34" s="273" t="s">
        <v>32</v>
      </c>
      <c r="G34" s="273" t="s">
        <v>76</v>
      </c>
      <c r="H34" s="273" t="s">
        <v>153</v>
      </c>
      <c r="I34" s="273" t="s">
        <v>45</v>
      </c>
      <c r="J34" s="273" t="s">
        <v>92</v>
      </c>
      <c r="K34" s="273" t="s">
        <v>65</v>
      </c>
      <c r="L34" s="273" t="s">
        <v>27</v>
      </c>
    </row>
    <row r="35" spans="1:12" x14ac:dyDescent="0.25">
      <c r="A35" s="273">
        <v>878</v>
      </c>
      <c r="B35" s="273" t="s">
        <v>36</v>
      </c>
      <c r="C35" s="273" t="s">
        <v>116</v>
      </c>
      <c r="D35" s="273" t="s">
        <v>113</v>
      </c>
      <c r="E35" s="273" t="s">
        <v>38</v>
      </c>
      <c r="F35" s="273" t="s">
        <v>29</v>
      </c>
      <c r="G35" s="273" t="s">
        <v>57</v>
      </c>
      <c r="H35" s="273" t="s">
        <v>127</v>
      </c>
      <c r="I35" s="273" t="s">
        <v>47</v>
      </c>
      <c r="J35" s="273" t="s">
        <v>43</v>
      </c>
      <c r="K35" s="273" t="s">
        <v>148</v>
      </c>
      <c r="L35" s="273" t="s">
        <v>86</v>
      </c>
    </row>
    <row r="36" spans="1:12" x14ac:dyDescent="0.25">
      <c r="A36" s="273">
        <v>371</v>
      </c>
      <c r="B36" s="273" t="s">
        <v>37</v>
      </c>
      <c r="C36" s="273" t="s">
        <v>107</v>
      </c>
      <c r="D36" s="273" t="s">
        <v>5</v>
      </c>
      <c r="E36" s="273" t="s">
        <v>87</v>
      </c>
      <c r="F36" s="273" t="s">
        <v>147</v>
      </c>
      <c r="G36" s="273" t="s">
        <v>138</v>
      </c>
      <c r="H36" s="273" t="s">
        <v>132</v>
      </c>
      <c r="I36" s="273" t="s">
        <v>39</v>
      </c>
      <c r="J36" s="273" t="s">
        <v>88</v>
      </c>
      <c r="K36" s="273" t="s">
        <v>133</v>
      </c>
      <c r="L36" s="273" t="s">
        <v>104</v>
      </c>
    </row>
    <row r="37" spans="1:12" x14ac:dyDescent="0.25">
      <c r="A37" s="273">
        <v>835</v>
      </c>
      <c r="B37" s="273" t="s">
        <v>38</v>
      </c>
      <c r="C37" s="273" t="s">
        <v>113</v>
      </c>
      <c r="D37" s="273" t="s">
        <v>36</v>
      </c>
      <c r="E37" s="273" t="s">
        <v>47</v>
      </c>
      <c r="F37" s="273" t="s">
        <v>153</v>
      </c>
      <c r="G37" s="273" t="s">
        <v>116</v>
      </c>
      <c r="H37" s="273" t="s">
        <v>145</v>
      </c>
      <c r="I37" s="273" t="s">
        <v>148</v>
      </c>
      <c r="J37" s="273" t="s">
        <v>89</v>
      </c>
      <c r="K37" s="273" t="s">
        <v>127</v>
      </c>
      <c r="L37" s="273" t="s">
        <v>43</v>
      </c>
    </row>
    <row r="38" spans="1:12" x14ac:dyDescent="0.25">
      <c r="A38" s="273">
        <v>332</v>
      </c>
      <c r="B38" s="273" t="s">
        <v>39</v>
      </c>
      <c r="C38" s="273" t="s">
        <v>107</v>
      </c>
      <c r="D38" s="273" t="s">
        <v>80</v>
      </c>
      <c r="E38" s="273" t="s">
        <v>37</v>
      </c>
      <c r="F38" s="273" t="s">
        <v>147</v>
      </c>
      <c r="G38" s="273" t="s">
        <v>133</v>
      </c>
      <c r="H38" s="273" t="s">
        <v>71</v>
      </c>
      <c r="I38" s="273" t="s">
        <v>132</v>
      </c>
      <c r="J38" s="273" t="s">
        <v>88</v>
      </c>
      <c r="K38" s="273" t="s">
        <v>95</v>
      </c>
      <c r="L38" s="273" t="s">
        <v>13</v>
      </c>
    </row>
    <row r="39" spans="1:12" x14ac:dyDescent="0.25">
      <c r="A39" s="273">
        <v>840</v>
      </c>
      <c r="B39" s="273" t="s">
        <v>40</v>
      </c>
      <c r="C39" s="273" t="s">
        <v>549</v>
      </c>
      <c r="D39" s="273" t="s">
        <v>138</v>
      </c>
      <c r="E39" s="273" t="s">
        <v>46</v>
      </c>
      <c r="F39" s="273" t="s">
        <v>128</v>
      </c>
      <c r="G39" s="273" t="s">
        <v>33</v>
      </c>
      <c r="H39" s="273" t="s">
        <v>5</v>
      </c>
      <c r="I39" s="273" t="s">
        <v>147</v>
      </c>
      <c r="J39" s="273" t="s">
        <v>90</v>
      </c>
      <c r="K39" s="273" t="s">
        <v>125</v>
      </c>
      <c r="L39" s="273" t="s">
        <v>50</v>
      </c>
    </row>
    <row r="40" spans="1:12" x14ac:dyDescent="0.25">
      <c r="A40" s="273">
        <v>307</v>
      </c>
      <c r="B40" s="273" t="s">
        <v>41</v>
      </c>
      <c r="C40" s="273" t="s">
        <v>60</v>
      </c>
      <c r="D40" s="273" t="s">
        <v>81</v>
      </c>
      <c r="E40" s="273" t="s">
        <v>103</v>
      </c>
      <c r="F40" s="273" t="s">
        <v>59</v>
      </c>
      <c r="G40" s="273" t="s">
        <v>17</v>
      </c>
      <c r="H40" s="273" t="s">
        <v>54</v>
      </c>
      <c r="I40" s="273" t="s">
        <v>4</v>
      </c>
      <c r="J40" s="273" t="s">
        <v>114</v>
      </c>
      <c r="K40" s="273" t="s">
        <v>140</v>
      </c>
      <c r="L40" s="273" t="s">
        <v>44</v>
      </c>
    </row>
    <row r="41" spans="1:12" x14ac:dyDescent="0.25">
      <c r="A41" s="273">
        <v>811</v>
      </c>
      <c r="B41" s="273" t="s">
        <v>42</v>
      </c>
      <c r="C41" s="273" t="s">
        <v>123</v>
      </c>
      <c r="D41" s="273" t="s">
        <v>27</v>
      </c>
      <c r="E41" s="273" t="s">
        <v>91</v>
      </c>
      <c r="F41" s="273" t="s">
        <v>142</v>
      </c>
      <c r="G41" s="273" t="s">
        <v>143</v>
      </c>
      <c r="H41" s="273" t="s">
        <v>26</v>
      </c>
      <c r="I41" s="273" t="s">
        <v>35</v>
      </c>
      <c r="J41" s="273" t="s">
        <v>153</v>
      </c>
      <c r="K41" s="273" t="s">
        <v>95</v>
      </c>
      <c r="L41" s="273" t="s">
        <v>93</v>
      </c>
    </row>
    <row r="42" spans="1:12" x14ac:dyDescent="0.25">
      <c r="A42" s="273">
        <v>845</v>
      </c>
      <c r="B42" s="273" t="s">
        <v>43</v>
      </c>
      <c r="C42" s="273" t="s">
        <v>65</v>
      </c>
      <c r="D42" s="273" t="s">
        <v>153</v>
      </c>
      <c r="E42" s="273" t="s">
        <v>89</v>
      </c>
      <c r="F42" s="273" t="s">
        <v>45</v>
      </c>
      <c r="G42" s="273" t="s">
        <v>36</v>
      </c>
      <c r="H42" s="273" t="s">
        <v>145</v>
      </c>
      <c r="I42" s="273" t="s">
        <v>38</v>
      </c>
      <c r="J42" s="273" t="s">
        <v>127</v>
      </c>
      <c r="K42" s="273" t="s">
        <v>100</v>
      </c>
      <c r="L42" s="273" t="s">
        <v>47</v>
      </c>
    </row>
    <row r="43" spans="1:12" x14ac:dyDescent="0.25">
      <c r="A43" s="273">
        <v>308</v>
      </c>
      <c r="B43" s="273" t="s">
        <v>44</v>
      </c>
      <c r="C43" s="273" t="s">
        <v>140</v>
      </c>
      <c r="D43" s="273" t="s">
        <v>31</v>
      </c>
      <c r="E43" s="273" t="s">
        <v>48</v>
      </c>
      <c r="F43" s="273" t="s">
        <v>9</v>
      </c>
      <c r="G43" s="273" t="s">
        <v>53</v>
      </c>
      <c r="H43" s="273" t="s">
        <v>1</v>
      </c>
      <c r="I43" s="273" t="s">
        <v>78</v>
      </c>
      <c r="J43" s="273" t="s">
        <v>102</v>
      </c>
      <c r="K43" s="273" t="s">
        <v>94</v>
      </c>
      <c r="L43" s="273" t="s">
        <v>152</v>
      </c>
    </row>
    <row r="44" spans="1:12" x14ac:dyDescent="0.25">
      <c r="A44" s="273">
        <v>881</v>
      </c>
      <c r="B44" s="273" t="s">
        <v>45</v>
      </c>
      <c r="C44" s="273" t="s">
        <v>65</v>
      </c>
      <c r="D44" s="273" t="s">
        <v>153</v>
      </c>
      <c r="E44" s="273" t="s">
        <v>25</v>
      </c>
      <c r="F44" s="273" t="s">
        <v>123</v>
      </c>
      <c r="G44" s="273" t="s">
        <v>145</v>
      </c>
      <c r="H44" s="273" t="s">
        <v>117</v>
      </c>
      <c r="I44" s="273" t="s">
        <v>143</v>
      </c>
      <c r="J44" s="273" t="s">
        <v>74</v>
      </c>
      <c r="K44" s="273" t="s">
        <v>89</v>
      </c>
      <c r="L44" s="273" t="s">
        <v>43</v>
      </c>
    </row>
    <row r="45" spans="1:12" x14ac:dyDescent="0.25">
      <c r="A45" s="273">
        <v>390</v>
      </c>
      <c r="B45" s="273" t="s">
        <v>46</v>
      </c>
      <c r="C45" s="273" t="s">
        <v>128</v>
      </c>
      <c r="D45" s="273" t="s">
        <v>40</v>
      </c>
      <c r="E45" s="273" t="s">
        <v>549</v>
      </c>
      <c r="F45" s="273" t="s">
        <v>33</v>
      </c>
      <c r="G45" s="273" t="s">
        <v>138</v>
      </c>
      <c r="H45" s="273" t="s">
        <v>90</v>
      </c>
      <c r="I45" s="273" t="s">
        <v>118</v>
      </c>
      <c r="J45" s="273" t="s">
        <v>50</v>
      </c>
      <c r="K45" s="273" t="s">
        <v>5</v>
      </c>
      <c r="L45" s="273" t="s">
        <v>132</v>
      </c>
    </row>
    <row r="46" spans="1:12" x14ac:dyDescent="0.25">
      <c r="A46" s="273">
        <v>916</v>
      </c>
      <c r="B46" s="273" t="s">
        <v>47</v>
      </c>
      <c r="C46" s="273" t="s">
        <v>148</v>
      </c>
      <c r="D46" s="273" t="s">
        <v>6</v>
      </c>
      <c r="E46" s="273" t="s">
        <v>145</v>
      </c>
      <c r="F46" s="273" t="s">
        <v>38</v>
      </c>
      <c r="G46" s="273" t="s">
        <v>23</v>
      </c>
      <c r="H46" s="273" t="s">
        <v>36</v>
      </c>
      <c r="I46" s="273" t="s">
        <v>113</v>
      </c>
      <c r="J46" s="273" t="s">
        <v>52</v>
      </c>
      <c r="K46" s="273" t="s">
        <v>117</v>
      </c>
      <c r="L46" s="273" t="s">
        <v>153</v>
      </c>
    </row>
    <row r="47" spans="1:12" x14ac:dyDescent="0.25">
      <c r="A47" s="273">
        <v>203</v>
      </c>
      <c r="B47" s="273" t="s">
        <v>48</v>
      </c>
      <c r="C47" s="273" t="s">
        <v>44</v>
      </c>
      <c r="D47" s="273" t="s">
        <v>1</v>
      </c>
      <c r="E47" s="273" t="s">
        <v>79</v>
      </c>
      <c r="F47" s="273" t="s">
        <v>53</v>
      </c>
      <c r="G47" s="273" t="s">
        <v>140</v>
      </c>
      <c r="H47" s="273" t="s">
        <v>121</v>
      </c>
      <c r="I47" s="273" t="s">
        <v>51</v>
      </c>
      <c r="J47" s="273" t="s">
        <v>41</v>
      </c>
      <c r="K47" s="273" t="s">
        <v>102</v>
      </c>
      <c r="L47" s="273" t="s">
        <v>94</v>
      </c>
    </row>
    <row r="48" spans="1:12" x14ac:dyDescent="0.25">
      <c r="A48" s="273">
        <v>204</v>
      </c>
      <c r="B48" s="273" t="s">
        <v>49</v>
      </c>
      <c r="C48" s="273" t="s">
        <v>53</v>
      </c>
      <c r="D48" s="273" t="s">
        <v>121</v>
      </c>
      <c r="E48" s="273" t="s">
        <v>70</v>
      </c>
      <c r="F48" s="273" t="s">
        <v>75</v>
      </c>
      <c r="G48" s="273" t="s">
        <v>63</v>
      </c>
      <c r="H48" s="273" t="s">
        <v>140</v>
      </c>
      <c r="I48" s="273" t="s">
        <v>48</v>
      </c>
      <c r="J48" s="273" t="s">
        <v>51</v>
      </c>
      <c r="K48" s="273" t="s">
        <v>17</v>
      </c>
      <c r="L48" s="273" t="s">
        <v>44</v>
      </c>
    </row>
    <row r="49" spans="1:12" x14ac:dyDescent="0.25">
      <c r="A49" s="273">
        <v>876</v>
      </c>
      <c r="B49" s="273" t="s">
        <v>50</v>
      </c>
      <c r="C49" s="273" t="s">
        <v>55</v>
      </c>
      <c r="D49" s="273" t="s">
        <v>549</v>
      </c>
      <c r="E49" s="273" t="s">
        <v>87</v>
      </c>
      <c r="F49" s="273" t="s">
        <v>104</v>
      </c>
      <c r="G49" s="273" t="s">
        <v>128</v>
      </c>
      <c r="H49" s="273" t="s">
        <v>5</v>
      </c>
      <c r="I49" s="273" t="s">
        <v>132</v>
      </c>
      <c r="J49" s="273" t="s">
        <v>33</v>
      </c>
      <c r="K49" s="273" t="s">
        <v>138</v>
      </c>
      <c r="L49" s="273" t="s">
        <v>118</v>
      </c>
    </row>
    <row r="50" spans="1:12" x14ac:dyDescent="0.25">
      <c r="A50" s="273">
        <v>205</v>
      </c>
      <c r="B50" s="273" t="s">
        <v>51</v>
      </c>
      <c r="C50" s="273" t="s">
        <v>24</v>
      </c>
      <c r="D50" s="273" t="s">
        <v>141</v>
      </c>
      <c r="E50" s="273" t="s">
        <v>146</v>
      </c>
      <c r="F50" s="273" t="s">
        <v>63</v>
      </c>
      <c r="G50" s="273" t="s">
        <v>64</v>
      </c>
      <c r="H50" s="273" t="s">
        <v>53</v>
      </c>
      <c r="I50" s="273" t="s">
        <v>48</v>
      </c>
      <c r="J50" s="273" t="s">
        <v>121</v>
      </c>
      <c r="K50" s="273" t="s">
        <v>79</v>
      </c>
      <c r="L50" s="273" t="s">
        <v>81</v>
      </c>
    </row>
    <row r="51" spans="1:12" x14ac:dyDescent="0.25">
      <c r="A51" s="273">
        <v>850</v>
      </c>
      <c r="B51" s="273" t="s">
        <v>52</v>
      </c>
      <c r="C51" s="273" t="s">
        <v>145</v>
      </c>
      <c r="D51" s="273" t="s">
        <v>25</v>
      </c>
      <c r="E51" s="273" t="s">
        <v>117</v>
      </c>
      <c r="F51" s="273" t="s">
        <v>23</v>
      </c>
      <c r="G51" s="273" t="s">
        <v>153</v>
      </c>
      <c r="H51" s="273" t="s">
        <v>89</v>
      </c>
      <c r="I51" s="273" t="s">
        <v>47</v>
      </c>
      <c r="J51" s="273" t="s">
        <v>74</v>
      </c>
      <c r="K51" s="273" t="s">
        <v>143</v>
      </c>
      <c r="L51" s="273" t="s">
        <v>144</v>
      </c>
    </row>
    <row r="52" spans="1:12" x14ac:dyDescent="0.25">
      <c r="A52" s="273">
        <v>309</v>
      </c>
      <c r="B52" s="273" t="s">
        <v>53</v>
      </c>
      <c r="C52" s="273" t="s">
        <v>49</v>
      </c>
      <c r="D52" s="273" t="s">
        <v>140</v>
      </c>
      <c r="E52" s="273" t="s">
        <v>121</v>
      </c>
      <c r="F52" s="273" t="s">
        <v>70</v>
      </c>
      <c r="G52" s="273" t="s">
        <v>75</v>
      </c>
      <c r="H52" s="273" t="s">
        <v>44</v>
      </c>
      <c r="I52" s="273" t="s">
        <v>48</v>
      </c>
      <c r="J52" s="273" t="s">
        <v>63</v>
      </c>
      <c r="K52" s="273" t="s">
        <v>51</v>
      </c>
      <c r="L52" s="273" t="s">
        <v>31</v>
      </c>
    </row>
    <row r="53" spans="1:12" x14ac:dyDescent="0.25">
      <c r="A53" s="273">
        <v>310</v>
      </c>
      <c r="B53" s="273" t="s">
        <v>54</v>
      </c>
      <c r="C53" s="273" t="s">
        <v>103</v>
      </c>
      <c r="D53" s="273" t="s">
        <v>60</v>
      </c>
      <c r="E53" s="273" t="s">
        <v>41</v>
      </c>
      <c r="F53" s="273" t="s">
        <v>59</v>
      </c>
      <c r="G53" s="273" t="s">
        <v>4</v>
      </c>
      <c r="H53" s="273" t="s">
        <v>81</v>
      </c>
      <c r="I53" s="273" t="s">
        <v>114</v>
      </c>
      <c r="J53" s="273" t="s">
        <v>67</v>
      </c>
      <c r="K53" s="273" t="s">
        <v>130</v>
      </c>
      <c r="L53" s="273" t="s">
        <v>17</v>
      </c>
    </row>
    <row r="54" spans="1:12" x14ac:dyDescent="0.25">
      <c r="A54" s="273">
        <v>805</v>
      </c>
      <c r="B54" s="273" t="s">
        <v>55</v>
      </c>
      <c r="C54" s="273" t="s">
        <v>104</v>
      </c>
      <c r="D54" s="273" t="s">
        <v>50</v>
      </c>
      <c r="E54" s="273" t="s">
        <v>87</v>
      </c>
      <c r="F54" s="273" t="s">
        <v>118</v>
      </c>
      <c r="G54" s="273" t="s">
        <v>11</v>
      </c>
      <c r="H54" s="273" t="s">
        <v>5</v>
      </c>
      <c r="I54" s="273" t="s">
        <v>132</v>
      </c>
      <c r="J54" s="273" t="s">
        <v>128</v>
      </c>
      <c r="K54" s="273" t="s">
        <v>549</v>
      </c>
      <c r="L54" s="273" t="s">
        <v>46</v>
      </c>
    </row>
    <row r="55" spans="1:12" x14ac:dyDescent="0.25">
      <c r="A55" s="273">
        <v>311</v>
      </c>
      <c r="B55" s="273" t="s">
        <v>56</v>
      </c>
      <c r="C55" s="273" t="s">
        <v>8</v>
      </c>
      <c r="D55" s="273" t="s">
        <v>80</v>
      </c>
      <c r="E55" s="273" t="s">
        <v>45</v>
      </c>
      <c r="F55" s="273" t="s">
        <v>21</v>
      </c>
      <c r="G55" s="273" t="s">
        <v>65</v>
      </c>
      <c r="H55" s="273" t="s">
        <v>71</v>
      </c>
      <c r="I55" s="273" t="s">
        <v>131</v>
      </c>
      <c r="J55" s="273" t="s">
        <v>134</v>
      </c>
      <c r="K55" s="273" t="s">
        <v>39</v>
      </c>
      <c r="L55" s="273" t="s">
        <v>95</v>
      </c>
    </row>
    <row r="56" spans="1:12" x14ac:dyDescent="0.25">
      <c r="A56" s="273">
        <v>884</v>
      </c>
      <c r="B56" s="273" t="s">
        <v>57</v>
      </c>
      <c r="C56" s="273" t="s">
        <v>113</v>
      </c>
      <c r="D56" s="273" t="s">
        <v>116</v>
      </c>
      <c r="E56" s="273" t="s">
        <v>36</v>
      </c>
      <c r="F56" s="273" t="s">
        <v>29</v>
      </c>
      <c r="G56" s="273" t="s">
        <v>38</v>
      </c>
      <c r="H56" s="273" t="s">
        <v>127</v>
      </c>
      <c r="I56" s="273" t="s">
        <v>148</v>
      </c>
      <c r="J56" s="273" t="s">
        <v>86</v>
      </c>
      <c r="K56" s="273" t="s">
        <v>47</v>
      </c>
      <c r="L56" s="273" t="s">
        <v>43</v>
      </c>
    </row>
    <row r="57" spans="1:12" x14ac:dyDescent="0.25">
      <c r="A57" s="273">
        <v>919</v>
      </c>
      <c r="B57" s="273" t="s">
        <v>58</v>
      </c>
      <c r="C57" s="273" t="s">
        <v>15</v>
      </c>
      <c r="D57" s="273" t="s">
        <v>52</v>
      </c>
      <c r="E57" s="273" t="s">
        <v>97</v>
      </c>
      <c r="F57" s="273" t="s">
        <v>25</v>
      </c>
      <c r="G57" s="273" t="s">
        <v>137</v>
      </c>
      <c r="H57" s="273" t="s">
        <v>20</v>
      </c>
      <c r="I57" s="273" t="s">
        <v>23</v>
      </c>
      <c r="J57" s="273" t="s">
        <v>144</v>
      </c>
      <c r="K57" s="273" t="s">
        <v>145</v>
      </c>
      <c r="L57" s="273" t="s">
        <v>143</v>
      </c>
    </row>
    <row r="58" spans="1:12" x14ac:dyDescent="0.25">
      <c r="A58" s="273">
        <v>312</v>
      </c>
      <c r="B58" s="273" t="s">
        <v>59</v>
      </c>
      <c r="C58" s="273" t="s">
        <v>60</v>
      </c>
      <c r="D58" s="273" t="s">
        <v>103</v>
      </c>
      <c r="E58" s="273" t="s">
        <v>114</v>
      </c>
      <c r="F58" s="273" t="s">
        <v>4</v>
      </c>
      <c r="G58" s="273" t="s">
        <v>102</v>
      </c>
      <c r="H58" s="273" t="s">
        <v>130</v>
      </c>
      <c r="I58" s="273" t="s">
        <v>41</v>
      </c>
      <c r="J58" s="273" t="s">
        <v>30</v>
      </c>
      <c r="K58" s="273" t="s">
        <v>83</v>
      </c>
      <c r="L58" s="273" t="s">
        <v>81</v>
      </c>
    </row>
    <row r="59" spans="1:12" x14ac:dyDescent="0.25">
      <c r="A59" s="273">
        <v>313</v>
      </c>
      <c r="B59" s="273" t="s">
        <v>60</v>
      </c>
      <c r="C59" s="273" t="s">
        <v>41</v>
      </c>
      <c r="D59" s="273" t="s">
        <v>59</v>
      </c>
      <c r="E59" s="273" t="s">
        <v>114</v>
      </c>
      <c r="F59" s="273" t="s">
        <v>103</v>
      </c>
      <c r="G59" s="273" t="s">
        <v>4</v>
      </c>
      <c r="H59" s="273" t="s">
        <v>54</v>
      </c>
      <c r="I59" s="273" t="s">
        <v>102</v>
      </c>
      <c r="J59" s="273" t="s">
        <v>81</v>
      </c>
      <c r="K59" s="273" t="s">
        <v>73</v>
      </c>
      <c r="L59" s="273" t="s">
        <v>130</v>
      </c>
    </row>
    <row r="60" spans="1:12" x14ac:dyDescent="0.25">
      <c r="A60" s="273">
        <v>921</v>
      </c>
      <c r="B60" s="273" t="s">
        <v>61</v>
      </c>
      <c r="C60" s="273" t="s">
        <v>135</v>
      </c>
      <c r="D60" s="273" t="s">
        <v>86</v>
      </c>
      <c r="E60" s="273" t="s">
        <v>43</v>
      </c>
      <c r="F60" s="273" t="s">
        <v>120</v>
      </c>
      <c r="G60" s="273" t="s">
        <v>99</v>
      </c>
      <c r="H60" s="273" t="s">
        <v>29</v>
      </c>
      <c r="I60" s="273" t="s">
        <v>71</v>
      </c>
      <c r="J60" s="273" t="s">
        <v>32</v>
      </c>
      <c r="K60" s="273" t="s">
        <v>127</v>
      </c>
      <c r="L60" s="273" t="s">
        <v>133</v>
      </c>
    </row>
    <row r="61" spans="1:12" x14ac:dyDescent="0.25">
      <c r="A61" s="273">
        <v>420</v>
      </c>
      <c r="B61" s="273" t="s">
        <v>552</v>
      </c>
      <c r="C61" s="273" t="s">
        <v>57</v>
      </c>
      <c r="D61" s="273" t="s">
        <v>113</v>
      </c>
      <c r="E61" s="273" t="s">
        <v>29</v>
      </c>
      <c r="F61" s="273" t="s">
        <v>148</v>
      </c>
      <c r="G61" s="273" t="s">
        <v>36</v>
      </c>
      <c r="H61" s="273" t="s">
        <v>116</v>
      </c>
      <c r="I61" s="273" t="s">
        <v>23</v>
      </c>
      <c r="J61" s="273" t="s">
        <v>47</v>
      </c>
      <c r="K61" s="273" t="s">
        <v>108</v>
      </c>
      <c r="L61" s="273" t="s">
        <v>38</v>
      </c>
    </row>
    <row r="62" spans="1:12" x14ac:dyDescent="0.25">
      <c r="A62" s="273">
        <v>206</v>
      </c>
      <c r="B62" s="273" t="s">
        <v>63</v>
      </c>
      <c r="C62" s="273" t="s">
        <v>51</v>
      </c>
      <c r="D62" s="273" t="s">
        <v>24</v>
      </c>
      <c r="E62" s="273" t="s">
        <v>146</v>
      </c>
      <c r="F62" s="273" t="s">
        <v>53</v>
      </c>
      <c r="G62" s="273" t="s">
        <v>121</v>
      </c>
      <c r="H62" s="273" t="s">
        <v>49</v>
      </c>
      <c r="I62" s="273" t="s">
        <v>79</v>
      </c>
      <c r="J62" s="273" t="s">
        <v>141</v>
      </c>
      <c r="K62" s="273" t="s">
        <v>48</v>
      </c>
      <c r="L62" s="273" t="s">
        <v>70</v>
      </c>
    </row>
    <row r="63" spans="1:12" x14ac:dyDescent="0.25">
      <c r="A63" s="273">
        <v>207</v>
      </c>
      <c r="B63" s="273" t="s">
        <v>64</v>
      </c>
      <c r="C63" s="273" t="s">
        <v>146</v>
      </c>
      <c r="D63" s="273" t="s">
        <v>24</v>
      </c>
      <c r="E63" s="273" t="s">
        <v>51</v>
      </c>
      <c r="F63" s="273" t="s">
        <v>141</v>
      </c>
      <c r="G63" s="273" t="s">
        <v>28</v>
      </c>
      <c r="H63" s="273" t="s">
        <v>4</v>
      </c>
      <c r="I63" s="273" t="s">
        <v>63</v>
      </c>
      <c r="J63" s="273" t="s">
        <v>81</v>
      </c>
      <c r="K63" s="273" t="s">
        <v>105</v>
      </c>
      <c r="L63" s="273" t="s">
        <v>102</v>
      </c>
    </row>
    <row r="64" spans="1:12" x14ac:dyDescent="0.25">
      <c r="A64" s="273">
        <v>886</v>
      </c>
      <c r="B64" s="273" t="s">
        <v>65</v>
      </c>
      <c r="C64" s="273" t="s">
        <v>45</v>
      </c>
      <c r="D64" s="273" t="s">
        <v>43</v>
      </c>
      <c r="E64" s="273" t="s">
        <v>131</v>
      </c>
      <c r="F64" s="273" t="s">
        <v>153</v>
      </c>
      <c r="G64" s="273" t="s">
        <v>92</v>
      </c>
      <c r="H64" s="273" t="s">
        <v>71</v>
      </c>
      <c r="I64" s="273" t="s">
        <v>95</v>
      </c>
      <c r="J64" s="273" t="s">
        <v>143</v>
      </c>
      <c r="K64" s="273" t="s">
        <v>145</v>
      </c>
      <c r="L64" s="273" t="s">
        <v>123</v>
      </c>
    </row>
    <row r="65" spans="1:12" x14ac:dyDescent="0.25">
      <c r="A65" s="273">
        <v>810</v>
      </c>
      <c r="B65" s="273" t="s">
        <v>550</v>
      </c>
      <c r="C65" s="273" t="s">
        <v>126</v>
      </c>
      <c r="D65" s="273" t="s">
        <v>82</v>
      </c>
      <c r="E65" s="273" t="s">
        <v>11</v>
      </c>
      <c r="F65" s="273" t="s">
        <v>55</v>
      </c>
      <c r="G65" s="273" t="s">
        <v>87</v>
      </c>
      <c r="H65" s="273" t="s">
        <v>109</v>
      </c>
      <c r="I65" s="273" t="s">
        <v>99</v>
      </c>
      <c r="J65" s="273" t="s">
        <v>118</v>
      </c>
      <c r="K65" s="273" t="s">
        <v>119</v>
      </c>
      <c r="L65" s="273" t="s">
        <v>101</v>
      </c>
    </row>
    <row r="66" spans="1:12" x14ac:dyDescent="0.25">
      <c r="A66" s="273">
        <v>314</v>
      </c>
      <c r="B66" s="273" t="s">
        <v>67</v>
      </c>
      <c r="C66" s="273" t="s">
        <v>130</v>
      </c>
      <c r="D66" s="273" t="s">
        <v>4</v>
      </c>
      <c r="E66" s="273" t="s">
        <v>81</v>
      </c>
      <c r="F66" s="273" t="s">
        <v>102</v>
      </c>
      <c r="G66" s="273" t="s">
        <v>105</v>
      </c>
      <c r="H66" s="273" t="s">
        <v>149</v>
      </c>
      <c r="I66" s="273" t="s">
        <v>58</v>
      </c>
      <c r="J66" s="273" t="s">
        <v>129</v>
      </c>
      <c r="K66" s="273" t="s">
        <v>15</v>
      </c>
      <c r="L66" s="273" t="s">
        <v>97</v>
      </c>
    </row>
    <row r="67" spans="1:12" x14ac:dyDescent="0.25">
      <c r="A67" s="273">
        <v>382</v>
      </c>
      <c r="B67" s="273" t="s">
        <v>68</v>
      </c>
      <c r="C67" s="273" t="s">
        <v>13</v>
      </c>
      <c r="D67" s="273" t="s">
        <v>22</v>
      </c>
      <c r="E67" s="273" t="s">
        <v>21</v>
      </c>
      <c r="F67" s="273" t="s">
        <v>39</v>
      </c>
      <c r="G67" s="273" t="s">
        <v>34</v>
      </c>
      <c r="H67" s="273" t="s">
        <v>71</v>
      </c>
      <c r="I67" s="273" t="s">
        <v>125</v>
      </c>
      <c r="J67" s="273" t="s">
        <v>72</v>
      </c>
      <c r="K67" s="273" t="s">
        <v>106</v>
      </c>
      <c r="L67" s="273" t="s">
        <v>133</v>
      </c>
    </row>
    <row r="68" spans="1:12" x14ac:dyDescent="0.25">
      <c r="A68" s="273">
        <v>340</v>
      </c>
      <c r="B68" s="273" t="s">
        <v>69</v>
      </c>
      <c r="C68" s="273" t="s">
        <v>118</v>
      </c>
      <c r="D68" s="273" t="s">
        <v>50</v>
      </c>
      <c r="E68" s="273" t="s">
        <v>82</v>
      </c>
      <c r="F68" s="273" t="s">
        <v>55</v>
      </c>
      <c r="G68" s="273" t="s">
        <v>77</v>
      </c>
      <c r="H68" s="273" t="s">
        <v>109</v>
      </c>
      <c r="I68" s="273" t="s">
        <v>128</v>
      </c>
      <c r="J68" s="273" t="s">
        <v>104</v>
      </c>
      <c r="K68" s="273" t="s">
        <v>46</v>
      </c>
      <c r="L68" s="273" t="s">
        <v>549</v>
      </c>
    </row>
    <row r="69" spans="1:12" x14ac:dyDescent="0.25">
      <c r="A69" s="273">
        <v>208</v>
      </c>
      <c r="B69" s="273" t="s">
        <v>70</v>
      </c>
      <c r="C69" s="273" t="s">
        <v>49</v>
      </c>
      <c r="D69" s="273" t="s">
        <v>75</v>
      </c>
      <c r="E69" s="273" t="s">
        <v>121</v>
      </c>
      <c r="F69" s="273" t="s">
        <v>53</v>
      </c>
      <c r="G69" s="273" t="s">
        <v>63</v>
      </c>
      <c r="H69" s="273" t="s">
        <v>31</v>
      </c>
      <c r="I69" s="273" t="s">
        <v>140</v>
      </c>
      <c r="J69" s="273" t="s">
        <v>51</v>
      </c>
      <c r="K69" s="273" t="s">
        <v>44</v>
      </c>
      <c r="L69" s="273" t="s">
        <v>48</v>
      </c>
    </row>
    <row r="70" spans="1:12" x14ac:dyDescent="0.25">
      <c r="A70" s="273">
        <v>888</v>
      </c>
      <c r="B70" s="273" t="s">
        <v>71</v>
      </c>
      <c r="C70" s="273" t="s">
        <v>95</v>
      </c>
      <c r="D70" s="273" t="s">
        <v>22</v>
      </c>
      <c r="E70" s="273" t="s">
        <v>35</v>
      </c>
      <c r="F70" s="273" t="s">
        <v>21</v>
      </c>
      <c r="G70" s="273" t="s">
        <v>111</v>
      </c>
      <c r="H70" s="273" t="s">
        <v>123</v>
      </c>
      <c r="I70" s="273" t="s">
        <v>125</v>
      </c>
      <c r="J70" s="273" t="s">
        <v>65</v>
      </c>
      <c r="K70" s="273" t="s">
        <v>124</v>
      </c>
      <c r="L70" s="273" t="s">
        <v>92</v>
      </c>
    </row>
    <row r="71" spans="1:12" x14ac:dyDescent="0.25">
      <c r="A71" s="273">
        <v>383</v>
      </c>
      <c r="B71" s="273" t="s">
        <v>72</v>
      </c>
      <c r="C71" s="273" t="s">
        <v>112</v>
      </c>
      <c r="D71" s="273" t="s">
        <v>33</v>
      </c>
      <c r="E71" s="273" t="s">
        <v>22</v>
      </c>
      <c r="F71" s="273" t="s">
        <v>125</v>
      </c>
      <c r="G71" s="273" t="s">
        <v>84</v>
      </c>
      <c r="H71" s="273" t="s">
        <v>21</v>
      </c>
      <c r="I71" s="273" t="s">
        <v>13</v>
      </c>
      <c r="J71" s="273" t="s">
        <v>34</v>
      </c>
      <c r="K71" s="273" t="s">
        <v>90</v>
      </c>
      <c r="L71" s="273" t="s">
        <v>68</v>
      </c>
    </row>
    <row r="72" spans="1:12" x14ac:dyDescent="0.25">
      <c r="A72" s="273">
        <v>856</v>
      </c>
      <c r="B72" s="273" t="s">
        <v>73</v>
      </c>
      <c r="C72" s="273" t="s">
        <v>114</v>
      </c>
      <c r="D72" s="273" t="s">
        <v>60</v>
      </c>
      <c r="E72" s="273" t="s">
        <v>152</v>
      </c>
      <c r="F72" s="273" t="s">
        <v>110</v>
      </c>
      <c r="G72" s="273" t="s">
        <v>59</v>
      </c>
      <c r="H72" s="273" t="s">
        <v>10</v>
      </c>
      <c r="I72" s="273" t="s">
        <v>30</v>
      </c>
      <c r="J72" s="273" t="s">
        <v>139</v>
      </c>
      <c r="K72" s="273" t="s">
        <v>119</v>
      </c>
      <c r="L72" s="273" t="s">
        <v>9</v>
      </c>
    </row>
    <row r="73" spans="1:12" x14ac:dyDescent="0.25">
      <c r="A73" s="273">
        <v>855</v>
      </c>
      <c r="B73" s="273" t="s">
        <v>74</v>
      </c>
      <c r="C73" s="273" t="s">
        <v>117</v>
      </c>
      <c r="D73" s="273" t="s">
        <v>153</v>
      </c>
      <c r="E73" s="273" t="s">
        <v>143</v>
      </c>
      <c r="F73" s="273" t="s">
        <v>25</v>
      </c>
      <c r="G73" s="273" t="s">
        <v>52</v>
      </c>
      <c r="H73" s="273" t="s">
        <v>45</v>
      </c>
      <c r="I73" s="273" t="s">
        <v>145</v>
      </c>
      <c r="J73" s="273" t="s">
        <v>89</v>
      </c>
      <c r="K73" s="273" t="s">
        <v>123</v>
      </c>
      <c r="L73" s="273" t="s">
        <v>38</v>
      </c>
    </row>
    <row r="74" spans="1:12" x14ac:dyDescent="0.25">
      <c r="A74" s="273">
        <v>209</v>
      </c>
      <c r="B74" s="273" t="s">
        <v>75</v>
      </c>
      <c r="C74" s="273" t="s">
        <v>70</v>
      </c>
      <c r="D74" s="273" t="s">
        <v>31</v>
      </c>
      <c r="E74" s="273" t="s">
        <v>53</v>
      </c>
      <c r="F74" s="273" t="s">
        <v>49</v>
      </c>
      <c r="G74" s="273" t="s">
        <v>140</v>
      </c>
      <c r="H74" s="273" t="s">
        <v>121</v>
      </c>
      <c r="I74" s="273" t="s">
        <v>44</v>
      </c>
      <c r="J74" s="273" t="s">
        <v>17</v>
      </c>
      <c r="K74" s="273" t="s">
        <v>48</v>
      </c>
      <c r="L74" s="273" t="s">
        <v>63</v>
      </c>
    </row>
    <row r="75" spans="1:12" x14ac:dyDescent="0.25">
      <c r="A75" s="273">
        <v>925</v>
      </c>
      <c r="B75" s="273" t="s">
        <v>76</v>
      </c>
      <c r="C75" s="273" t="s">
        <v>32</v>
      </c>
      <c r="D75" s="273" t="s">
        <v>86</v>
      </c>
      <c r="E75" s="273" t="s">
        <v>35</v>
      </c>
      <c r="F75" s="273" t="s">
        <v>127</v>
      </c>
      <c r="G75" s="273" t="s">
        <v>95</v>
      </c>
      <c r="H75" s="273" t="s">
        <v>123</v>
      </c>
      <c r="I75" s="273" t="s">
        <v>153</v>
      </c>
      <c r="J75" s="273" t="s">
        <v>29</v>
      </c>
      <c r="K75" s="273" t="s">
        <v>88</v>
      </c>
      <c r="L75" s="273" t="s">
        <v>116</v>
      </c>
    </row>
    <row r="76" spans="1:12" x14ac:dyDescent="0.25">
      <c r="A76" s="273">
        <v>341</v>
      </c>
      <c r="B76" s="273" t="s">
        <v>77</v>
      </c>
      <c r="C76" s="273" t="s">
        <v>109</v>
      </c>
      <c r="D76" s="273" t="s">
        <v>118</v>
      </c>
      <c r="E76" s="273" t="s">
        <v>69</v>
      </c>
      <c r="F76" s="273" t="s">
        <v>84</v>
      </c>
      <c r="G76" s="273" t="s">
        <v>82</v>
      </c>
      <c r="H76" s="273" t="s">
        <v>55</v>
      </c>
      <c r="I76" s="273" t="s">
        <v>46</v>
      </c>
      <c r="J76" s="273" t="s">
        <v>50</v>
      </c>
      <c r="K76" s="273" t="s">
        <v>128</v>
      </c>
      <c r="L76" s="273" t="s">
        <v>72</v>
      </c>
    </row>
    <row r="77" spans="1:12" x14ac:dyDescent="0.25">
      <c r="A77" s="273">
        <v>821</v>
      </c>
      <c r="B77" s="273" t="s">
        <v>78</v>
      </c>
      <c r="C77" s="273" t="s">
        <v>9</v>
      </c>
      <c r="D77" s="273" t="s">
        <v>110</v>
      </c>
      <c r="E77" s="273" t="s">
        <v>114</v>
      </c>
      <c r="F77" s="273" t="s">
        <v>16</v>
      </c>
      <c r="G77" s="273" t="s">
        <v>139</v>
      </c>
      <c r="H77" s="273" t="s">
        <v>44</v>
      </c>
      <c r="I77" s="273" t="s">
        <v>59</v>
      </c>
      <c r="J77" s="273" t="s">
        <v>34</v>
      </c>
      <c r="K77" s="273" t="s">
        <v>152</v>
      </c>
      <c r="L77" s="273" t="s">
        <v>96</v>
      </c>
    </row>
    <row r="78" spans="1:12" x14ac:dyDescent="0.25">
      <c r="A78" s="273">
        <v>352</v>
      </c>
      <c r="B78" s="273" t="s">
        <v>79</v>
      </c>
      <c r="C78" s="273" t="s">
        <v>94</v>
      </c>
      <c r="D78" s="273" t="s">
        <v>551</v>
      </c>
      <c r="E78" s="273" t="s">
        <v>9</v>
      </c>
      <c r="F78" s="273" t="s">
        <v>48</v>
      </c>
      <c r="G78" s="273" t="s">
        <v>109</v>
      </c>
      <c r="H78" s="273" t="s">
        <v>119</v>
      </c>
      <c r="I78" s="273" t="s">
        <v>77</v>
      </c>
      <c r="J78" s="273" t="s">
        <v>82</v>
      </c>
      <c r="K78" s="273" t="s">
        <v>84</v>
      </c>
      <c r="L78" s="273" t="s">
        <v>30</v>
      </c>
    </row>
    <row r="79" spans="1:12" x14ac:dyDescent="0.25">
      <c r="A79" s="273">
        <v>887</v>
      </c>
      <c r="B79" s="273" t="s">
        <v>80</v>
      </c>
      <c r="C79" s="273" t="s">
        <v>131</v>
      </c>
      <c r="D79" s="273" t="s">
        <v>133</v>
      </c>
      <c r="E79" s="273" t="s">
        <v>39</v>
      </c>
      <c r="F79" s="273" t="s">
        <v>92</v>
      </c>
      <c r="G79" s="273" t="s">
        <v>120</v>
      </c>
      <c r="H79" s="273" t="s">
        <v>65</v>
      </c>
      <c r="I79" s="273" t="s">
        <v>107</v>
      </c>
      <c r="J79" s="273" t="s">
        <v>134</v>
      </c>
      <c r="K79" s="273" t="s">
        <v>56</v>
      </c>
      <c r="L79" s="273" t="s">
        <v>88</v>
      </c>
    </row>
    <row r="80" spans="1:12" x14ac:dyDescent="0.25">
      <c r="A80" s="273">
        <v>315</v>
      </c>
      <c r="B80" s="273" t="s">
        <v>81</v>
      </c>
      <c r="C80" s="273" t="s">
        <v>4</v>
      </c>
      <c r="D80" s="273" t="s">
        <v>41</v>
      </c>
      <c r="E80" s="273" t="s">
        <v>67</v>
      </c>
      <c r="F80" s="273" t="s">
        <v>102</v>
      </c>
      <c r="G80" s="273" t="s">
        <v>130</v>
      </c>
      <c r="H80" s="273" t="s">
        <v>103</v>
      </c>
      <c r="I80" s="273" t="s">
        <v>59</v>
      </c>
      <c r="J80" s="273" t="s">
        <v>60</v>
      </c>
      <c r="K80" s="273" t="s">
        <v>141</v>
      </c>
      <c r="L80" s="273" t="s">
        <v>44</v>
      </c>
    </row>
    <row r="81" spans="1:12" x14ac:dyDescent="0.25">
      <c r="A81" s="273">
        <v>806</v>
      </c>
      <c r="B81" s="273" t="s">
        <v>82</v>
      </c>
      <c r="C81" s="273" t="s">
        <v>109</v>
      </c>
      <c r="D81" s="273" t="s">
        <v>126</v>
      </c>
      <c r="E81" s="273" t="s">
        <v>55</v>
      </c>
      <c r="F81" s="273" t="s">
        <v>106</v>
      </c>
      <c r="G81" s="273" t="s">
        <v>50</v>
      </c>
      <c r="H81" s="273" t="s">
        <v>118</v>
      </c>
      <c r="I81" s="273" t="s">
        <v>132</v>
      </c>
      <c r="J81" s="273" t="s">
        <v>69</v>
      </c>
      <c r="K81" s="273" t="s">
        <v>87</v>
      </c>
      <c r="L81" s="273" t="s">
        <v>550</v>
      </c>
    </row>
    <row r="82" spans="1:12" x14ac:dyDescent="0.25">
      <c r="A82" s="273">
        <v>826</v>
      </c>
      <c r="B82" s="273" t="s">
        <v>83</v>
      </c>
      <c r="C82" s="273" t="s">
        <v>7</v>
      </c>
      <c r="D82" s="273" t="s">
        <v>72</v>
      </c>
      <c r="E82" s="273" t="s">
        <v>112</v>
      </c>
      <c r="F82" s="273" t="s">
        <v>8</v>
      </c>
      <c r="G82" s="273" t="s">
        <v>102</v>
      </c>
      <c r="H82" s="273" t="s">
        <v>134</v>
      </c>
      <c r="I82" s="273" t="s">
        <v>131</v>
      </c>
      <c r="J82" s="273" t="s">
        <v>58</v>
      </c>
      <c r="K82" s="273" t="s">
        <v>92</v>
      </c>
      <c r="L82" s="273" t="s">
        <v>34</v>
      </c>
    </row>
    <row r="83" spans="1:12" x14ac:dyDescent="0.25">
      <c r="A83" s="273">
        <v>391</v>
      </c>
      <c r="B83" s="273" t="s">
        <v>84</v>
      </c>
      <c r="C83" s="273" t="s">
        <v>109</v>
      </c>
      <c r="D83" s="273" t="s">
        <v>72</v>
      </c>
      <c r="E83" s="273" t="s">
        <v>46</v>
      </c>
      <c r="F83" s="273" t="s">
        <v>77</v>
      </c>
      <c r="G83" s="273" t="s">
        <v>118</v>
      </c>
      <c r="H83" s="273" t="s">
        <v>82</v>
      </c>
      <c r="I83" s="273" t="s">
        <v>112</v>
      </c>
      <c r="J83" s="273" t="s">
        <v>33</v>
      </c>
      <c r="K83" s="273" t="s">
        <v>128</v>
      </c>
      <c r="L83" s="273" t="s">
        <v>106</v>
      </c>
    </row>
    <row r="84" spans="1:12" x14ac:dyDescent="0.25">
      <c r="A84" s="273">
        <v>316</v>
      </c>
      <c r="B84" s="273" t="s">
        <v>85</v>
      </c>
      <c r="C84" s="273" t="s">
        <v>17</v>
      </c>
      <c r="D84" s="273" t="s">
        <v>140</v>
      </c>
      <c r="E84" s="273" t="s">
        <v>1</v>
      </c>
      <c r="F84" s="273" t="s">
        <v>48</v>
      </c>
      <c r="G84" s="273" t="s">
        <v>53</v>
      </c>
      <c r="H84" s="273" t="s">
        <v>49</v>
      </c>
      <c r="I84" s="273" t="s">
        <v>41</v>
      </c>
      <c r="J84" s="273" t="s">
        <v>9</v>
      </c>
      <c r="K84" s="273" t="s">
        <v>114</v>
      </c>
      <c r="L84" s="273" t="s">
        <v>44</v>
      </c>
    </row>
    <row r="85" spans="1:12" x14ac:dyDescent="0.25">
      <c r="A85" s="273">
        <v>926</v>
      </c>
      <c r="B85" s="273" t="s">
        <v>86</v>
      </c>
      <c r="C85" s="273" t="s">
        <v>127</v>
      </c>
      <c r="D85" s="273" t="s">
        <v>29</v>
      </c>
      <c r="E85" s="273" t="s">
        <v>76</v>
      </c>
      <c r="F85" s="273" t="s">
        <v>32</v>
      </c>
      <c r="G85" s="273" t="s">
        <v>116</v>
      </c>
      <c r="H85" s="273" t="s">
        <v>36</v>
      </c>
      <c r="I85" s="273" t="s">
        <v>113</v>
      </c>
      <c r="J85" s="273" t="s">
        <v>43</v>
      </c>
      <c r="K85" s="273" t="s">
        <v>61</v>
      </c>
      <c r="L85" s="273" t="s">
        <v>35</v>
      </c>
    </row>
    <row r="86" spans="1:12" x14ac:dyDescent="0.25">
      <c r="A86" s="273">
        <v>812</v>
      </c>
      <c r="B86" s="273" t="s">
        <v>87</v>
      </c>
      <c r="C86" s="273" t="s">
        <v>37</v>
      </c>
      <c r="D86" s="273" t="s">
        <v>104</v>
      </c>
      <c r="E86" s="273" t="s">
        <v>50</v>
      </c>
      <c r="F86" s="273" t="s">
        <v>55</v>
      </c>
      <c r="G86" s="273" t="s">
        <v>5</v>
      </c>
      <c r="H86" s="273" t="s">
        <v>132</v>
      </c>
      <c r="I86" s="273" t="s">
        <v>107</v>
      </c>
      <c r="J86" s="273" t="s">
        <v>147</v>
      </c>
      <c r="K86" s="273" t="s">
        <v>549</v>
      </c>
      <c r="L86" s="273" t="s">
        <v>138</v>
      </c>
    </row>
    <row r="87" spans="1:12" x14ac:dyDescent="0.25">
      <c r="A87" s="273">
        <v>813</v>
      </c>
      <c r="B87" s="273" t="s">
        <v>88</v>
      </c>
      <c r="C87" s="273" t="s">
        <v>37</v>
      </c>
      <c r="D87" s="273" t="s">
        <v>107</v>
      </c>
      <c r="E87" s="273" t="s">
        <v>133</v>
      </c>
      <c r="F87" s="273" t="s">
        <v>35</v>
      </c>
      <c r="G87" s="273" t="s">
        <v>147</v>
      </c>
      <c r="H87" s="273" t="s">
        <v>76</v>
      </c>
      <c r="I87" s="273" t="s">
        <v>32</v>
      </c>
      <c r="J87" s="273" t="s">
        <v>39</v>
      </c>
      <c r="K87" s="273" t="s">
        <v>95</v>
      </c>
      <c r="L87" s="273" t="s">
        <v>86</v>
      </c>
    </row>
    <row r="88" spans="1:12" x14ac:dyDescent="0.25">
      <c r="A88" s="273">
        <v>802</v>
      </c>
      <c r="B88" s="273" t="s">
        <v>89</v>
      </c>
      <c r="C88" s="273" t="s">
        <v>153</v>
      </c>
      <c r="D88" s="273" t="s">
        <v>117</v>
      </c>
      <c r="E88" s="273" t="s">
        <v>145</v>
      </c>
      <c r="F88" s="273" t="s">
        <v>52</v>
      </c>
      <c r="G88" s="273" t="s">
        <v>43</v>
      </c>
      <c r="H88" s="273" t="s">
        <v>47</v>
      </c>
      <c r="I88" s="273" t="s">
        <v>45</v>
      </c>
      <c r="J88" s="273" t="s">
        <v>38</v>
      </c>
      <c r="K88" s="273" t="s">
        <v>74</v>
      </c>
      <c r="L88" s="273" t="s">
        <v>143</v>
      </c>
    </row>
    <row r="89" spans="1:12" x14ac:dyDescent="0.25">
      <c r="A89" s="273">
        <v>392</v>
      </c>
      <c r="B89" s="273" t="s">
        <v>90</v>
      </c>
      <c r="C89" s="273" t="s">
        <v>33</v>
      </c>
      <c r="D89" s="273" t="s">
        <v>125</v>
      </c>
      <c r="E89" s="273" t="s">
        <v>549</v>
      </c>
      <c r="F89" s="273" t="s">
        <v>111</v>
      </c>
      <c r="G89" s="273" t="s">
        <v>40</v>
      </c>
      <c r="H89" s="273" t="s">
        <v>46</v>
      </c>
      <c r="I89" s="273" t="s">
        <v>150</v>
      </c>
      <c r="J89" s="273" t="s">
        <v>147</v>
      </c>
      <c r="K89" s="273" t="s">
        <v>22</v>
      </c>
      <c r="L89" s="273" t="s">
        <v>93</v>
      </c>
    </row>
    <row r="90" spans="1:12" x14ac:dyDescent="0.25">
      <c r="A90" s="273">
        <v>815</v>
      </c>
      <c r="B90" s="273" t="s">
        <v>91</v>
      </c>
      <c r="C90" s="273" t="s">
        <v>42</v>
      </c>
      <c r="D90" s="273" t="s">
        <v>143</v>
      </c>
      <c r="E90" s="273" t="s">
        <v>26</v>
      </c>
      <c r="F90" s="273" t="s">
        <v>27</v>
      </c>
      <c r="G90" s="273" t="s">
        <v>108</v>
      </c>
      <c r="H90" s="273" t="s">
        <v>25</v>
      </c>
      <c r="I90" s="273" t="s">
        <v>153</v>
      </c>
      <c r="J90" s="273" t="s">
        <v>144</v>
      </c>
      <c r="K90" s="273" t="s">
        <v>142</v>
      </c>
      <c r="L90" s="273" t="s">
        <v>123</v>
      </c>
    </row>
    <row r="91" spans="1:12" x14ac:dyDescent="0.25">
      <c r="A91" s="273">
        <v>928</v>
      </c>
      <c r="B91" s="273" t="s">
        <v>92</v>
      </c>
      <c r="C91" s="273" t="s">
        <v>65</v>
      </c>
      <c r="D91" s="273" t="s">
        <v>95</v>
      </c>
      <c r="E91" s="273" t="s">
        <v>131</v>
      </c>
      <c r="F91" s="273" t="s">
        <v>123</v>
      </c>
      <c r="G91" s="273" t="s">
        <v>35</v>
      </c>
      <c r="H91" s="273" t="s">
        <v>45</v>
      </c>
      <c r="I91" s="273" t="s">
        <v>143</v>
      </c>
      <c r="J91" s="273" t="s">
        <v>153</v>
      </c>
      <c r="K91" s="273" t="s">
        <v>71</v>
      </c>
      <c r="L91" s="273" t="s">
        <v>80</v>
      </c>
    </row>
    <row r="92" spans="1:12" x14ac:dyDescent="0.25">
      <c r="A92" s="273">
        <v>929</v>
      </c>
      <c r="B92" s="273" t="s">
        <v>93</v>
      </c>
      <c r="C92" s="273" t="s">
        <v>42</v>
      </c>
      <c r="D92" s="273" t="s">
        <v>27</v>
      </c>
      <c r="E92" s="273" t="s">
        <v>142</v>
      </c>
      <c r="F92" s="273" t="s">
        <v>90</v>
      </c>
      <c r="G92" s="273" t="s">
        <v>125</v>
      </c>
      <c r="H92" s="273" t="s">
        <v>40</v>
      </c>
      <c r="I92" s="273" t="s">
        <v>123</v>
      </c>
      <c r="J92" s="273" t="s">
        <v>22</v>
      </c>
      <c r="K92" s="273" t="s">
        <v>35</v>
      </c>
      <c r="L92" s="273" t="s">
        <v>95</v>
      </c>
    </row>
    <row r="93" spans="1:12" x14ac:dyDescent="0.25">
      <c r="A93" s="273">
        <v>892</v>
      </c>
      <c r="B93" s="273" t="s">
        <v>94</v>
      </c>
      <c r="C93" s="273" t="s">
        <v>79</v>
      </c>
      <c r="D93" s="273" t="s">
        <v>152</v>
      </c>
      <c r="E93" s="273" t="s">
        <v>110</v>
      </c>
      <c r="F93" s="273" t="s">
        <v>551</v>
      </c>
      <c r="G93" s="273" t="s">
        <v>119</v>
      </c>
      <c r="H93" s="273" t="s">
        <v>30</v>
      </c>
      <c r="I93" s="273" t="s">
        <v>9</v>
      </c>
      <c r="J93" s="273" t="s">
        <v>109</v>
      </c>
      <c r="K93" s="273" t="s">
        <v>34</v>
      </c>
      <c r="L93" s="273" t="s">
        <v>550</v>
      </c>
    </row>
    <row r="94" spans="1:12" x14ac:dyDescent="0.25">
      <c r="A94" s="273">
        <v>891</v>
      </c>
      <c r="B94" s="273" t="s">
        <v>95</v>
      </c>
      <c r="C94" s="273" t="s">
        <v>35</v>
      </c>
      <c r="D94" s="273" t="s">
        <v>123</v>
      </c>
      <c r="E94" s="273" t="s">
        <v>71</v>
      </c>
      <c r="F94" s="273" t="s">
        <v>153</v>
      </c>
      <c r="G94" s="273" t="s">
        <v>32</v>
      </c>
      <c r="H94" s="273" t="s">
        <v>92</v>
      </c>
      <c r="I94" s="273" t="s">
        <v>45</v>
      </c>
      <c r="J94" s="273" t="s">
        <v>65</v>
      </c>
      <c r="K94" s="273" t="s">
        <v>27</v>
      </c>
      <c r="L94" s="273" t="s">
        <v>143</v>
      </c>
    </row>
    <row r="95" spans="1:12" x14ac:dyDescent="0.25">
      <c r="A95" s="273">
        <v>353</v>
      </c>
      <c r="B95" s="273" t="s">
        <v>96</v>
      </c>
      <c r="C95" s="273" t="s">
        <v>106</v>
      </c>
      <c r="D95" s="273" t="s">
        <v>16</v>
      </c>
      <c r="E95" s="273" t="s">
        <v>139</v>
      </c>
      <c r="F95" s="273" t="s">
        <v>132</v>
      </c>
      <c r="G95" s="273" t="s">
        <v>68</v>
      </c>
      <c r="H95" s="273" t="s">
        <v>13</v>
      </c>
      <c r="I95" s="273" t="s">
        <v>34</v>
      </c>
      <c r="J95" s="273" t="s">
        <v>10</v>
      </c>
      <c r="K95" s="273" t="s">
        <v>82</v>
      </c>
      <c r="L95" s="273" t="s">
        <v>39</v>
      </c>
    </row>
    <row r="96" spans="1:12" x14ac:dyDescent="0.25">
      <c r="A96" s="273">
        <v>931</v>
      </c>
      <c r="B96" s="273" t="s">
        <v>97</v>
      </c>
      <c r="C96" s="273" t="s">
        <v>23</v>
      </c>
      <c r="D96" s="273" t="s">
        <v>6</v>
      </c>
      <c r="E96" s="273" t="s">
        <v>58</v>
      </c>
      <c r="F96" s="273" t="s">
        <v>52</v>
      </c>
      <c r="G96" s="273" t="s">
        <v>144</v>
      </c>
      <c r="H96" s="273" t="s">
        <v>148</v>
      </c>
      <c r="I96" s="273" t="s">
        <v>47</v>
      </c>
      <c r="J96" s="273" t="s">
        <v>20</v>
      </c>
      <c r="K96" s="273" t="s">
        <v>15</v>
      </c>
      <c r="L96" s="273" t="s">
        <v>145</v>
      </c>
    </row>
    <row r="97" spans="1:12" x14ac:dyDescent="0.25">
      <c r="A97" s="273">
        <v>874</v>
      </c>
      <c r="B97" s="273" t="s">
        <v>98</v>
      </c>
      <c r="C97" s="273" t="s">
        <v>34</v>
      </c>
      <c r="D97" s="273" t="s">
        <v>133</v>
      </c>
      <c r="E97" s="273" t="s">
        <v>139</v>
      </c>
      <c r="F97" s="273" t="s">
        <v>112</v>
      </c>
      <c r="G97" s="273" t="s">
        <v>80</v>
      </c>
      <c r="H97" s="273" t="s">
        <v>119</v>
      </c>
      <c r="I97" s="273" t="s">
        <v>101</v>
      </c>
      <c r="J97" s="273" t="s">
        <v>99</v>
      </c>
      <c r="K97" s="273" t="s">
        <v>13</v>
      </c>
      <c r="L97" s="273" t="s">
        <v>107</v>
      </c>
    </row>
    <row r="98" spans="1:12" x14ac:dyDescent="0.25">
      <c r="A98" s="273">
        <v>879</v>
      </c>
      <c r="B98" s="273" t="s">
        <v>99</v>
      </c>
      <c r="C98" s="273" t="s">
        <v>135</v>
      </c>
      <c r="D98" s="273" t="s">
        <v>101</v>
      </c>
      <c r="E98" s="273" t="s">
        <v>120</v>
      </c>
      <c r="F98" s="273" t="s">
        <v>133</v>
      </c>
      <c r="G98" s="273" t="s">
        <v>61</v>
      </c>
      <c r="H98" s="273" t="s">
        <v>14</v>
      </c>
      <c r="I98" s="273" t="s">
        <v>107</v>
      </c>
      <c r="J98" s="273" t="s">
        <v>112</v>
      </c>
      <c r="K98" s="273" t="s">
        <v>80</v>
      </c>
      <c r="L98" s="273" t="s">
        <v>119</v>
      </c>
    </row>
    <row r="99" spans="1:12" x14ac:dyDescent="0.25">
      <c r="A99" s="273">
        <v>836</v>
      </c>
      <c r="B99" s="273" t="s">
        <v>100</v>
      </c>
      <c r="C99" s="273" t="s">
        <v>145</v>
      </c>
      <c r="D99" s="273" t="s">
        <v>117</v>
      </c>
      <c r="E99" s="273" t="s">
        <v>153</v>
      </c>
      <c r="F99" s="273" t="s">
        <v>43</v>
      </c>
      <c r="G99" s="273" t="s">
        <v>131</v>
      </c>
      <c r="H99" s="273" t="s">
        <v>38</v>
      </c>
      <c r="I99" s="273" t="s">
        <v>65</v>
      </c>
      <c r="J99" s="273" t="s">
        <v>89</v>
      </c>
      <c r="K99" s="273" t="s">
        <v>127</v>
      </c>
      <c r="L99" s="273" t="s">
        <v>45</v>
      </c>
    </row>
    <row r="100" spans="1:12" x14ac:dyDescent="0.25">
      <c r="A100" s="273">
        <v>851</v>
      </c>
      <c r="B100" s="273" t="s">
        <v>101</v>
      </c>
      <c r="C100" s="273" t="s">
        <v>119</v>
      </c>
      <c r="D100" s="273" t="s">
        <v>99</v>
      </c>
      <c r="E100" s="273" t="s">
        <v>112</v>
      </c>
      <c r="F100" s="273" t="s">
        <v>98</v>
      </c>
      <c r="G100" s="273" t="s">
        <v>34</v>
      </c>
      <c r="H100" s="273" t="s">
        <v>120</v>
      </c>
      <c r="I100" s="273" t="s">
        <v>14</v>
      </c>
      <c r="J100" s="273" t="s">
        <v>133</v>
      </c>
      <c r="K100" s="273" t="s">
        <v>551</v>
      </c>
      <c r="L100" s="273" t="s">
        <v>30</v>
      </c>
    </row>
    <row r="101" spans="1:12" x14ac:dyDescent="0.25">
      <c r="A101" s="273">
        <v>870</v>
      </c>
      <c r="B101" s="273" t="s">
        <v>102</v>
      </c>
      <c r="C101" s="273" t="s">
        <v>130</v>
      </c>
      <c r="D101" s="273" t="s">
        <v>551</v>
      </c>
      <c r="E101" s="273" t="s">
        <v>83</v>
      </c>
      <c r="F101" s="273" t="s">
        <v>7</v>
      </c>
      <c r="G101" s="273" t="s">
        <v>18</v>
      </c>
      <c r="H101" s="273" t="s">
        <v>112</v>
      </c>
      <c r="I101" s="273" t="s">
        <v>4</v>
      </c>
      <c r="J101" s="273" t="s">
        <v>119</v>
      </c>
      <c r="K101" s="273" t="s">
        <v>34</v>
      </c>
      <c r="L101" s="273" t="s">
        <v>59</v>
      </c>
    </row>
    <row r="102" spans="1:12" x14ac:dyDescent="0.25">
      <c r="A102" s="273">
        <v>317</v>
      </c>
      <c r="B102" s="273" t="s">
        <v>103</v>
      </c>
      <c r="C102" s="273" t="s">
        <v>59</v>
      </c>
      <c r="D102" s="273" t="s">
        <v>60</v>
      </c>
      <c r="E102" s="273" t="s">
        <v>41</v>
      </c>
      <c r="F102" s="273" t="s">
        <v>4</v>
      </c>
      <c r="G102" s="273" t="s">
        <v>114</v>
      </c>
      <c r="H102" s="273" t="s">
        <v>54</v>
      </c>
      <c r="I102" s="273" t="s">
        <v>81</v>
      </c>
      <c r="J102" s="273" t="s">
        <v>78</v>
      </c>
      <c r="K102" s="273" t="s">
        <v>102</v>
      </c>
      <c r="L102" s="273" t="s">
        <v>130</v>
      </c>
    </row>
    <row r="103" spans="1:12" x14ac:dyDescent="0.25">
      <c r="A103" s="273">
        <v>807</v>
      </c>
      <c r="B103" s="273" t="s">
        <v>104</v>
      </c>
      <c r="C103" s="273" t="s">
        <v>5</v>
      </c>
      <c r="D103" s="273" t="s">
        <v>55</v>
      </c>
      <c r="E103" s="273" t="s">
        <v>549</v>
      </c>
      <c r="F103" s="273" t="s">
        <v>87</v>
      </c>
      <c r="G103" s="273" t="s">
        <v>147</v>
      </c>
      <c r="H103" s="273" t="s">
        <v>50</v>
      </c>
      <c r="I103" s="273" t="s">
        <v>132</v>
      </c>
      <c r="J103" s="273" t="s">
        <v>107</v>
      </c>
      <c r="K103" s="273" t="s">
        <v>37</v>
      </c>
      <c r="L103" s="273" t="s">
        <v>150</v>
      </c>
    </row>
    <row r="104" spans="1:12" x14ac:dyDescent="0.25">
      <c r="A104" s="273">
        <v>318</v>
      </c>
      <c r="B104" s="273" t="s">
        <v>105</v>
      </c>
      <c r="C104" s="273" t="s">
        <v>149</v>
      </c>
      <c r="D104" s="273" t="s">
        <v>129</v>
      </c>
      <c r="E104" s="273" t="s">
        <v>151</v>
      </c>
      <c r="F104" s="273" t="s">
        <v>97</v>
      </c>
      <c r="G104" s="273" t="s">
        <v>67</v>
      </c>
      <c r="H104" s="273" t="s">
        <v>20</v>
      </c>
      <c r="I104" s="273" t="s">
        <v>58</v>
      </c>
      <c r="J104" s="273" t="s">
        <v>19</v>
      </c>
      <c r="K104" s="273" t="s">
        <v>23</v>
      </c>
      <c r="L104" s="273" t="s">
        <v>137</v>
      </c>
    </row>
    <row r="105" spans="1:12" x14ac:dyDescent="0.25">
      <c r="A105" s="273">
        <v>354</v>
      </c>
      <c r="B105" s="273" t="s">
        <v>106</v>
      </c>
      <c r="C105" s="273" t="s">
        <v>96</v>
      </c>
      <c r="D105" s="273" t="s">
        <v>82</v>
      </c>
      <c r="E105" s="273" t="s">
        <v>132</v>
      </c>
      <c r="F105" s="273" t="s">
        <v>13</v>
      </c>
      <c r="G105" s="273" t="s">
        <v>139</v>
      </c>
      <c r="H105" s="273" t="s">
        <v>68</v>
      </c>
      <c r="I105" s="273" t="s">
        <v>107</v>
      </c>
      <c r="J105" s="273" t="s">
        <v>126</v>
      </c>
      <c r="K105" s="273" t="s">
        <v>34</v>
      </c>
      <c r="L105" s="273" t="s">
        <v>37</v>
      </c>
    </row>
    <row r="106" spans="1:12" x14ac:dyDescent="0.25">
      <c r="A106" s="273">
        <v>372</v>
      </c>
      <c r="B106" s="273" t="s">
        <v>107</v>
      </c>
      <c r="C106" s="273" t="s">
        <v>37</v>
      </c>
      <c r="D106" s="273" t="s">
        <v>147</v>
      </c>
      <c r="E106" s="273" t="s">
        <v>39</v>
      </c>
      <c r="F106" s="273" t="s">
        <v>5</v>
      </c>
      <c r="G106" s="273" t="s">
        <v>132</v>
      </c>
      <c r="H106" s="273" t="s">
        <v>133</v>
      </c>
      <c r="I106" s="273" t="s">
        <v>87</v>
      </c>
      <c r="J106" s="273" t="s">
        <v>104</v>
      </c>
      <c r="K106" s="273" t="s">
        <v>138</v>
      </c>
      <c r="L106" s="273" t="s">
        <v>88</v>
      </c>
    </row>
    <row r="107" spans="1:12" x14ac:dyDescent="0.25">
      <c r="A107" s="273">
        <v>857</v>
      </c>
      <c r="B107" s="273" t="s">
        <v>108</v>
      </c>
      <c r="C107" s="273" t="s">
        <v>91</v>
      </c>
      <c r="D107" s="273" t="s">
        <v>144</v>
      </c>
      <c r="E107" s="273" t="s">
        <v>26</v>
      </c>
      <c r="F107" s="273" t="s">
        <v>148</v>
      </c>
      <c r="G107" s="273" t="s">
        <v>25</v>
      </c>
      <c r="H107" s="273" t="s">
        <v>23</v>
      </c>
      <c r="I107" s="273" t="s">
        <v>20</v>
      </c>
      <c r="J107" s="273" t="s">
        <v>143</v>
      </c>
      <c r="K107" s="273" t="s">
        <v>52</v>
      </c>
      <c r="L107" s="273" t="s">
        <v>97</v>
      </c>
    </row>
    <row r="108" spans="1:12" x14ac:dyDescent="0.25">
      <c r="A108" s="273">
        <v>355</v>
      </c>
      <c r="B108" s="273" t="s">
        <v>109</v>
      </c>
      <c r="C108" s="273" t="s">
        <v>77</v>
      </c>
      <c r="D108" s="273" t="s">
        <v>82</v>
      </c>
      <c r="E108" s="273" t="s">
        <v>84</v>
      </c>
      <c r="F108" s="273" t="s">
        <v>118</v>
      </c>
      <c r="G108" s="273" t="s">
        <v>55</v>
      </c>
      <c r="H108" s="273" t="s">
        <v>46</v>
      </c>
      <c r="I108" s="273" t="s">
        <v>69</v>
      </c>
      <c r="J108" s="273" t="s">
        <v>50</v>
      </c>
      <c r="K108" s="273" t="s">
        <v>72</v>
      </c>
      <c r="L108" s="273" t="s">
        <v>132</v>
      </c>
    </row>
    <row r="109" spans="1:12" x14ac:dyDescent="0.25">
      <c r="A109" s="273">
        <v>333</v>
      </c>
      <c r="B109" s="273" t="s">
        <v>110</v>
      </c>
      <c r="C109" s="273" t="s">
        <v>152</v>
      </c>
      <c r="D109" s="273" t="s">
        <v>139</v>
      </c>
      <c r="E109" s="273" t="s">
        <v>34</v>
      </c>
      <c r="F109" s="273" t="s">
        <v>9</v>
      </c>
      <c r="G109" s="273" t="s">
        <v>30</v>
      </c>
      <c r="H109" s="273" t="s">
        <v>98</v>
      </c>
      <c r="I109" s="273" t="s">
        <v>94</v>
      </c>
      <c r="J109" s="273" t="s">
        <v>126</v>
      </c>
      <c r="K109" s="273" t="s">
        <v>78</v>
      </c>
      <c r="L109" s="273" t="s">
        <v>10</v>
      </c>
    </row>
    <row r="110" spans="1:12" x14ac:dyDescent="0.25">
      <c r="A110" s="273">
        <v>343</v>
      </c>
      <c r="B110" s="273" t="s">
        <v>111</v>
      </c>
      <c r="C110" s="273" t="s">
        <v>71</v>
      </c>
      <c r="D110" s="273" t="s">
        <v>150</v>
      </c>
      <c r="E110" s="273" t="s">
        <v>125</v>
      </c>
      <c r="F110" s="273" t="s">
        <v>90</v>
      </c>
      <c r="G110" s="273" t="s">
        <v>95</v>
      </c>
      <c r="H110" s="273" t="s">
        <v>33</v>
      </c>
      <c r="I110" s="273" t="s">
        <v>21</v>
      </c>
      <c r="J110" s="273" t="s">
        <v>147</v>
      </c>
      <c r="K110" s="273" t="s">
        <v>22</v>
      </c>
      <c r="L110" s="273" t="s">
        <v>124</v>
      </c>
    </row>
    <row r="111" spans="1:12" x14ac:dyDescent="0.25">
      <c r="A111" s="273">
        <v>373</v>
      </c>
      <c r="B111" s="273" t="s">
        <v>112</v>
      </c>
      <c r="C111" s="273" t="s">
        <v>34</v>
      </c>
      <c r="D111" s="273" t="s">
        <v>72</v>
      </c>
      <c r="E111" s="273" t="s">
        <v>120</v>
      </c>
      <c r="F111" s="273" t="s">
        <v>133</v>
      </c>
      <c r="G111" s="273" t="s">
        <v>13</v>
      </c>
      <c r="H111" s="273" t="s">
        <v>98</v>
      </c>
      <c r="I111" s="273" t="s">
        <v>99</v>
      </c>
      <c r="J111" s="273" t="s">
        <v>101</v>
      </c>
      <c r="K111" s="273" t="s">
        <v>22</v>
      </c>
      <c r="L111" s="273" t="s">
        <v>7</v>
      </c>
    </row>
    <row r="112" spans="1:12" x14ac:dyDescent="0.25">
      <c r="A112" s="273">
        <v>893</v>
      </c>
      <c r="B112" s="273" t="s">
        <v>113</v>
      </c>
      <c r="C112" s="273" t="s">
        <v>36</v>
      </c>
      <c r="D112" s="273" t="s">
        <v>38</v>
      </c>
      <c r="E112" s="273" t="s">
        <v>57</v>
      </c>
      <c r="F112" s="273" t="s">
        <v>116</v>
      </c>
      <c r="G112" s="273" t="s">
        <v>148</v>
      </c>
      <c r="H112" s="273" t="s">
        <v>47</v>
      </c>
      <c r="I112" s="273" t="s">
        <v>127</v>
      </c>
      <c r="J112" s="273" t="s">
        <v>29</v>
      </c>
      <c r="K112" s="273" t="s">
        <v>153</v>
      </c>
      <c r="L112" s="273" t="s">
        <v>86</v>
      </c>
    </row>
    <row r="113" spans="1:12" x14ac:dyDescent="0.25">
      <c r="A113" s="273">
        <v>871</v>
      </c>
      <c r="B113" s="273" t="s">
        <v>114</v>
      </c>
      <c r="C113" s="273" t="s">
        <v>59</v>
      </c>
      <c r="D113" s="273" t="s">
        <v>60</v>
      </c>
      <c r="E113" s="273" t="s">
        <v>103</v>
      </c>
      <c r="F113" s="273" t="s">
        <v>78</v>
      </c>
      <c r="G113" s="273" t="s">
        <v>9</v>
      </c>
      <c r="H113" s="273" t="s">
        <v>41</v>
      </c>
      <c r="I113" s="273" t="s">
        <v>73</v>
      </c>
      <c r="J113" s="273" t="s">
        <v>102</v>
      </c>
      <c r="K113" s="273" t="s">
        <v>30</v>
      </c>
      <c r="L113" s="273" t="s">
        <v>110</v>
      </c>
    </row>
    <row r="114" spans="1:12" x14ac:dyDescent="0.25">
      <c r="A114" s="273">
        <v>334</v>
      </c>
      <c r="B114" s="273" t="s">
        <v>115</v>
      </c>
      <c r="C114" s="273" t="s">
        <v>124</v>
      </c>
      <c r="D114" s="273" t="s">
        <v>142</v>
      </c>
      <c r="E114" s="273" t="s">
        <v>137</v>
      </c>
      <c r="F114" s="273" t="s">
        <v>27</v>
      </c>
      <c r="G114" s="273" t="s">
        <v>25</v>
      </c>
      <c r="H114" s="273" t="s">
        <v>143</v>
      </c>
      <c r="I114" s="273" t="s">
        <v>26</v>
      </c>
      <c r="J114" s="273" t="s">
        <v>45</v>
      </c>
      <c r="K114" s="273" t="s">
        <v>21</v>
      </c>
      <c r="L114" s="273" t="s">
        <v>58</v>
      </c>
    </row>
    <row r="115" spans="1:12" x14ac:dyDescent="0.25">
      <c r="A115" s="273">
        <v>933</v>
      </c>
      <c r="B115" s="273" t="s">
        <v>116</v>
      </c>
      <c r="C115" s="273" t="s">
        <v>36</v>
      </c>
      <c r="D115" s="273" t="s">
        <v>29</v>
      </c>
      <c r="E115" s="273" t="s">
        <v>127</v>
      </c>
      <c r="F115" s="273" t="s">
        <v>113</v>
      </c>
      <c r="G115" s="273" t="s">
        <v>57</v>
      </c>
      <c r="H115" s="273" t="s">
        <v>38</v>
      </c>
      <c r="I115" s="273" t="s">
        <v>86</v>
      </c>
      <c r="J115" s="273" t="s">
        <v>47</v>
      </c>
      <c r="K115" s="273" t="s">
        <v>148</v>
      </c>
      <c r="L115" s="273" t="s">
        <v>43</v>
      </c>
    </row>
    <row r="116" spans="1:12" x14ac:dyDescent="0.25">
      <c r="A116" s="273">
        <v>803</v>
      </c>
      <c r="B116" s="273" t="s">
        <v>117</v>
      </c>
      <c r="C116" s="273" t="s">
        <v>52</v>
      </c>
      <c r="D116" s="273" t="s">
        <v>145</v>
      </c>
      <c r="E116" s="273" t="s">
        <v>74</v>
      </c>
      <c r="F116" s="273" t="s">
        <v>89</v>
      </c>
      <c r="G116" s="273" t="s">
        <v>153</v>
      </c>
      <c r="H116" s="273" t="s">
        <v>47</v>
      </c>
      <c r="I116" s="273" t="s">
        <v>25</v>
      </c>
      <c r="J116" s="273" t="s">
        <v>45</v>
      </c>
      <c r="K116" s="273" t="s">
        <v>100</v>
      </c>
      <c r="L116" s="273" t="s">
        <v>38</v>
      </c>
    </row>
    <row r="117" spans="1:12" x14ac:dyDescent="0.25">
      <c r="A117" s="273">
        <v>393</v>
      </c>
      <c r="B117" s="273" t="s">
        <v>118</v>
      </c>
      <c r="C117" s="273" t="s">
        <v>55</v>
      </c>
      <c r="D117" s="273" t="s">
        <v>128</v>
      </c>
      <c r="E117" s="273" t="s">
        <v>69</v>
      </c>
      <c r="F117" s="273" t="s">
        <v>46</v>
      </c>
      <c r="G117" s="273" t="s">
        <v>50</v>
      </c>
      <c r="H117" s="273" t="s">
        <v>109</v>
      </c>
      <c r="I117" s="273" t="s">
        <v>104</v>
      </c>
      <c r="J117" s="273" t="s">
        <v>549</v>
      </c>
      <c r="K117" s="273" t="s">
        <v>77</v>
      </c>
      <c r="L117" s="273" t="s">
        <v>132</v>
      </c>
    </row>
    <row r="118" spans="1:12" x14ac:dyDescent="0.25">
      <c r="A118" s="273">
        <v>852</v>
      </c>
      <c r="B118" s="273" t="s">
        <v>119</v>
      </c>
      <c r="C118" s="273" t="s">
        <v>101</v>
      </c>
      <c r="D118" s="273" t="s">
        <v>98</v>
      </c>
      <c r="E118" s="273" t="s">
        <v>99</v>
      </c>
      <c r="F118" s="273" t="s">
        <v>34</v>
      </c>
      <c r="G118" s="273" t="s">
        <v>112</v>
      </c>
      <c r="H118" s="273" t="s">
        <v>14</v>
      </c>
      <c r="I118" s="273" t="s">
        <v>30</v>
      </c>
      <c r="J118" s="273" t="s">
        <v>551</v>
      </c>
      <c r="K118" s="273" t="s">
        <v>126</v>
      </c>
      <c r="L118" s="273" t="s">
        <v>120</v>
      </c>
    </row>
    <row r="119" spans="1:12" x14ac:dyDescent="0.25">
      <c r="A119" s="273">
        <v>882</v>
      </c>
      <c r="B119" s="273" t="s">
        <v>120</v>
      </c>
      <c r="C119" s="273" t="s">
        <v>131</v>
      </c>
      <c r="D119" s="273" t="s">
        <v>99</v>
      </c>
      <c r="E119" s="273" t="s">
        <v>80</v>
      </c>
      <c r="F119" s="273" t="s">
        <v>14</v>
      </c>
      <c r="G119" s="273" t="s">
        <v>65</v>
      </c>
      <c r="H119" s="273" t="s">
        <v>112</v>
      </c>
      <c r="I119" s="273" t="s">
        <v>61</v>
      </c>
      <c r="J119" s="273" t="s">
        <v>133</v>
      </c>
      <c r="K119" s="273" t="s">
        <v>43</v>
      </c>
      <c r="L119" s="273" t="s">
        <v>100</v>
      </c>
    </row>
    <row r="120" spans="1:12" x14ac:dyDescent="0.25">
      <c r="A120" s="273">
        <v>210</v>
      </c>
      <c r="B120" s="273" t="s">
        <v>121</v>
      </c>
      <c r="C120" s="273" t="s">
        <v>49</v>
      </c>
      <c r="D120" s="273" t="s">
        <v>70</v>
      </c>
      <c r="E120" s="273" t="s">
        <v>53</v>
      </c>
      <c r="F120" s="273" t="s">
        <v>63</v>
      </c>
      <c r="G120" s="273" t="s">
        <v>48</v>
      </c>
      <c r="H120" s="273" t="s">
        <v>75</v>
      </c>
      <c r="I120" s="273" t="s">
        <v>51</v>
      </c>
      <c r="J120" s="273" t="s">
        <v>140</v>
      </c>
      <c r="K120" s="273" t="s">
        <v>44</v>
      </c>
      <c r="L120" s="273" t="s">
        <v>24</v>
      </c>
    </row>
    <row r="121" spans="1:12" x14ac:dyDescent="0.25">
      <c r="A121" s="273">
        <v>342</v>
      </c>
      <c r="B121" s="273" t="s">
        <v>549</v>
      </c>
      <c r="C121" s="273" t="s">
        <v>147</v>
      </c>
      <c r="D121" s="273" t="s">
        <v>40</v>
      </c>
      <c r="E121" s="273" t="s">
        <v>33</v>
      </c>
      <c r="F121" s="273" t="s">
        <v>50</v>
      </c>
      <c r="G121" s="273" t="s">
        <v>104</v>
      </c>
      <c r="H121" s="273" t="s">
        <v>5</v>
      </c>
      <c r="I121" s="273" t="s">
        <v>138</v>
      </c>
      <c r="J121" s="273" t="s">
        <v>128</v>
      </c>
      <c r="K121" s="273" t="s">
        <v>125</v>
      </c>
      <c r="L121" s="273" t="s">
        <v>46</v>
      </c>
    </row>
    <row r="122" spans="1:12" x14ac:dyDescent="0.25">
      <c r="A122" s="273">
        <v>860</v>
      </c>
      <c r="B122" s="273" t="s">
        <v>123</v>
      </c>
      <c r="C122" s="273" t="s">
        <v>35</v>
      </c>
      <c r="D122" s="273" t="s">
        <v>95</v>
      </c>
      <c r="E122" s="273" t="s">
        <v>153</v>
      </c>
      <c r="F122" s="273" t="s">
        <v>143</v>
      </c>
      <c r="G122" s="273" t="s">
        <v>45</v>
      </c>
      <c r="H122" s="273" t="s">
        <v>42</v>
      </c>
      <c r="I122" s="273" t="s">
        <v>71</v>
      </c>
      <c r="J122" s="273" t="s">
        <v>27</v>
      </c>
      <c r="K122" s="273" t="s">
        <v>92</v>
      </c>
      <c r="L122" s="273" t="s">
        <v>142</v>
      </c>
    </row>
    <row r="123" spans="1:12" x14ac:dyDescent="0.25">
      <c r="A123" s="273">
        <v>356</v>
      </c>
      <c r="B123" s="273" t="s">
        <v>124</v>
      </c>
      <c r="C123" s="273" t="s">
        <v>115</v>
      </c>
      <c r="D123" s="273" t="s">
        <v>27</v>
      </c>
      <c r="E123" s="273" t="s">
        <v>142</v>
      </c>
      <c r="F123" s="273" t="s">
        <v>21</v>
      </c>
      <c r="G123" s="273" t="s">
        <v>143</v>
      </c>
      <c r="H123" s="273" t="s">
        <v>71</v>
      </c>
      <c r="I123" s="273" t="s">
        <v>45</v>
      </c>
      <c r="J123" s="273" t="s">
        <v>89</v>
      </c>
      <c r="K123" s="273" t="s">
        <v>153</v>
      </c>
      <c r="L123" s="273" t="s">
        <v>154</v>
      </c>
    </row>
    <row r="124" spans="1:12" x14ac:dyDescent="0.25">
      <c r="A124" s="273">
        <v>808</v>
      </c>
      <c r="B124" s="273" t="s">
        <v>125</v>
      </c>
      <c r="C124" s="273" t="s">
        <v>33</v>
      </c>
      <c r="D124" s="273" t="s">
        <v>22</v>
      </c>
      <c r="E124" s="273" t="s">
        <v>71</v>
      </c>
      <c r="F124" s="273" t="s">
        <v>21</v>
      </c>
      <c r="G124" s="273" t="s">
        <v>147</v>
      </c>
      <c r="H124" s="273" t="s">
        <v>549</v>
      </c>
      <c r="I124" s="273" t="s">
        <v>111</v>
      </c>
      <c r="J124" s="273" t="s">
        <v>90</v>
      </c>
      <c r="K124" s="273" t="s">
        <v>40</v>
      </c>
      <c r="L124" s="273" t="s">
        <v>150</v>
      </c>
    </row>
    <row r="125" spans="1:12" x14ac:dyDescent="0.25">
      <c r="A125" s="273">
        <v>861</v>
      </c>
      <c r="B125" s="273" t="s">
        <v>126</v>
      </c>
      <c r="C125" s="273" t="s">
        <v>550</v>
      </c>
      <c r="D125" s="273" t="s">
        <v>82</v>
      </c>
      <c r="E125" s="273" t="s">
        <v>37</v>
      </c>
      <c r="F125" s="273" t="s">
        <v>87</v>
      </c>
      <c r="G125" s="273" t="s">
        <v>132</v>
      </c>
      <c r="H125" s="273" t="s">
        <v>107</v>
      </c>
      <c r="I125" s="273" t="s">
        <v>11</v>
      </c>
      <c r="J125" s="273" t="s">
        <v>139</v>
      </c>
      <c r="K125" s="273" t="s">
        <v>55</v>
      </c>
      <c r="L125" s="273" t="s">
        <v>106</v>
      </c>
    </row>
    <row r="126" spans="1:12" x14ac:dyDescent="0.25">
      <c r="A126" s="273">
        <v>935</v>
      </c>
      <c r="B126" s="273" t="s">
        <v>127</v>
      </c>
      <c r="C126" s="273" t="s">
        <v>116</v>
      </c>
      <c r="D126" s="273" t="s">
        <v>86</v>
      </c>
      <c r="E126" s="273" t="s">
        <v>36</v>
      </c>
      <c r="F126" s="273" t="s">
        <v>29</v>
      </c>
      <c r="G126" s="273" t="s">
        <v>113</v>
      </c>
      <c r="H126" s="273" t="s">
        <v>38</v>
      </c>
      <c r="I126" s="273" t="s">
        <v>76</v>
      </c>
      <c r="J126" s="273" t="s">
        <v>43</v>
      </c>
      <c r="K126" s="273" t="s">
        <v>47</v>
      </c>
      <c r="L126" s="273" t="s">
        <v>153</v>
      </c>
    </row>
    <row r="127" spans="1:12" x14ac:dyDescent="0.25">
      <c r="A127" s="273">
        <v>394</v>
      </c>
      <c r="B127" s="273" t="s">
        <v>128</v>
      </c>
      <c r="C127" s="273" t="s">
        <v>46</v>
      </c>
      <c r="D127" s="273" t="s">
        <v>138</v>
      </c>
      <c r="E127" s="273" t="s">
        <v>40</v>
      </c>
      <c r="F127" s="273" t="s">
        <v>549</v>
      </c>
      <c r="G127" s="273" t="s">
        <v>50</v>
      </c>
      <c r="H127" s="273" t="s">
        <v>5</v>
      </c>
      <c r="I127" s="273" t="s">
        <v>118</v>
      </c>
      <c r="J127" s="273" t="s">
        <v>55</v>
      </c>
      <c r="K127" s="273" t="s">
        <v>132</v>
      </c>
      <c r="L127" s="273" t="s">
        <v>33</v>
      </c>
    </row>
    <row r="128" spans="1:12" x14ac:dyDescent="0.25">
      <c r="A128" s="273">
        <v>936</v>
      </c>
      <c r="B128" s="273" t="s">
        <v>129</v>
      </c>
      <c r="C128" s="273" t="s">
        <v>149</v>
      </c>
      <c r="D128" s="273" t="s">
        <v>20</v>
      </c>
      <c r="E128" s="273" t="s">
        <v>144</v>
      </c>
      <c r="F128" s="273" t="s">
        <v>151</v>
      </c>
      <c r="G128" s="273" t="s">
        <v>58</v>
      </c>
      <c r="H128" s="273" t="s">
        <v>97</v>
      </c>
      <c r="I128" s="273" t="s">
        <v>23</v>
      </c>
      <c r="J128" s="273" t="s">
        <v>15</v>
      </c>
      <c r="K128" s="273" t="s">
        <v>52</v>
      </c>
      <c r="L128" s="273" t="s">
        <v>26</v>
      </c>
    </row>
    <row r="129" spans="1:12" x14ac:dyDescent="0.25">
      <c r="A129" s="273">
        <v>319</v>
      </c>
      <c r="B129" s="273" t="s">
        <v>130</v>
      </c>
      <c r="C129" s="273" t="s">
        <v>19</v>
      </c>
      <c r="D129" s="273" t="s">
        <v>102</v>
      </c>
      <c r="E129" s="273" t="s">
        <v>58</v>
      </c>
      <c r="F129" s="273" t="s">
        <v>7</v>
      </c>
      <c r="G129" s="273" t="s">
        <v>67</v>
      </c>
      <c r="H129" s="273" t="s">
        <v>15</v>
      </c>
      <c r="I129" s="273" t="s">
        <v>83</v>
      </c>
      <c r="J129" s="273" t="s">
        <v>8</v>
      </c>
      <c r="K129" s="273" t="s">
        <v>131</v>
      </c>
      <c r="L129" s="273" t="s">
        <v>4</v>
      </c>
    </row>
    <row r="130" spans="1:12" x14ac:dyDescent="0.25">
      <c r="A130" s="273">
        <v>866</v>
      </c>
      <c r="B130" s="273" t="s">
        <v>131</v>
      </c>
      <c r="C130" s="273" t="s">
        <v>65</v>
      </c>
      <c r="D130" s="273" t="s">
        <v>80</v>
      </c>
      <c r="E130" s="273" t="s">
        <v>92</v>
      </c>
      <c r="F130" s="273" t="s">
        <v>120</v>
      </c>
      <c r="G130" s="273" t="s">
        <v>100</v>
      </c>
      <c r="H130" s="273" t="s">
        <v>45</v>
      </c>
      <c r="I130" s="273" t="s">
        <v>95</v>
      </c>
      <c r="J130" s="273" t="s">
        <v>133</v>
      </c>
      <c r="K130" s="273" t="s">
        <v>127</v>
      </c>
      <c r="L130" s="273" t="s">
        <v>71</v>
      </c>
    </row>
    <row r="131" spans="1:12" x14ac:dyDescent="0.25">
      <c r="A131" s="273">
        <v>357</v>
      </c>
      <c r="B131" s="273" t="s">
        <v>132</v>
      </c>
      <c r="C131" s="273" t="s">
        <v>107</v>
      </c>
      <c r="D131" s="273" t="s">
        <v>37</v>
      </c>
      <c r="E131" s="273" t="s">
        <v>549</v>
      </c>
      <c r="F131" s="273" t="s">
        <v>87</v>
      </c>
      <c r="G131" s="273" t="s">
        <v>147</v>
      </c>
      <c r="H131" s="273" t="s">
        <v>104</v>
      </c>
      <c r="I131" s="273" t="s">
        <v>55</v>
      </c>
      <c r="J131" s="273" t="s">
        <v>50</v>
      </c>
      <c r="K131" s="273" t="s">
        <v>5</v>
      </c>
      <c r="L131" s="273" t="s">
        <v>128</v>
      </c>
    </row>
    <row r="132" spans="1:12" x14ac:dyDescent="0.25">
      <c r="A132" s="273">
        <v>894</v>
      </c>
      <c r="B132" s="273" t="s">
        <v>133</v>
      </c>
      <c r="C132" s="273" t="s">
        <v>107</v>
      </c>
      <c r="D132" s="273" t="s">
        <v>80</v>
      </c>
      <c r="E132" s="273" t="s">
        <v>39</v>
      </c>
      <c r="F132" s="273" t="s">
        <v>37</v>
      </c>
      <c r="G132" s="273" t="s">
        <v>88</v>
      </c>
      <c r="H132" s="273" t="s">
        <v>98</v>
      </c>
      <c r="I132" s="273" t="s">
        <v>34</v>
      </c>
      <c r="J132" s="273" t="s">
        <v>147</v>
      </c>
      <c r="K132" s="273" t="s">
        <v>71</v>
      </c>
      <c r="L132" s="273" t="s">
        <v>99</v>
      </c>
    </row>
    <row r="133" spans="1:12" x14ac:dyDescent="0.25">
      <c r="A133" s="273">
        <v>883</v>
      </c>
      <c r="B133" s="273" t="s">
        <v>134</v>
      </c>
      <c r="C133" s="273" t="s">
        <v>80</v>
      </c>
      <c r="D133" s="273" t="s">
        <v>8</v>
      </c>
      <c r="E133" s="273" t="s">
        <v>56</v>
      </c>
      <c r="F133" s="273" t="s">
        <v>39</v>
      </c>
      <c r="G133" s="273" t="s">
        <v>133</v>
      </c>
      <c r="H133" s="273" t="s">
        <v>131</v>
      </c>
      <c r="I133" s="273" t="s">
        <v>120</v>
      </c>
      <c r="J133" s="273" t="s">
        <v>112</v>
      </c>
      <c r="K133" s="273" t="s">
        <v>98</v>
      </c>
      <c r="L133" s="273" t="s">
        <v>34</v>
      </c>
    </row>
    <row r="134" spans="1:12" x14ac:dyDescent="0.25">
      <c r="A134" s="273">
        <v>880</v>
      </c>
      <c r="B134" s="273" t="s">
        <v>135</v>
      </c>
      <c r="C134" s="273" t="s">
        <v>61</v>
      </c>
      <c r="D134" s="273" t="s">
        <v>99</v>
      </c>
      <c r="E134" s="273" t="s">
        <v>120</v>
      </c>
      <c r="F134" s="273" t="s">
        <v>107</v>
      </c>
      <c r="G134" s="273" t="s">
        <v>104</v>
      </c>
      <c r="H134" s="273" t="s">
        <v>11</v>
      </c>
      <c r="I134" s="273" t="s">
        <v>133</v>
      </c>
      <c r="J134" s="273" t="s">
        <v>147</v>
      </c>
      <c r="K134" s="273" t="s">
        <v>86</v>
      </c>
      <c r="L134" s="273" t="s">
        <v>87</v>
      </c>
    </row>
    <row r="135" spans="1:12" x14ac:dyDescent="0.25">
      <c r="A135" s="273">
        <v>211</v>
      </c>
      <c r="B135" s="273" t="s">
        <v>136</v>
      </c>
      <c r="C135" s="273" t="s">
        <v>85</v>
      </c>
      <c r="D135" s="273" t="s">
        <v>24</v>
      </c>
      <c r="E135" s="273" t="s">
        <v>146</v>
      </c>
      <c r="F135" s="273" t="s">
        <v>63</v>
      </c>
      <c r="G135" s="273" t="s">
        <v>79</v>
      </c>
      <c r="H135" s="273" t="s">
        <v>53</v>
      </c>
      <c r="I135" s="273" t="s">
        <v>51</v>
      </c>
      <c r="J135" s="273" t="s">
        <v>49</v>
      </c>
      <c r="K135" s="273" t="s">
        <v>78</v>
      </c>
      <c r="L135" s="273" t="s">
        <v>9</v>
      </c>
    </row>
    <row r="136" spans="1:12" x14ac:dyDescent="0.25">
      <c r="A136" s="273">
        <v>358</v>
      </c>
      <c r="B136" s="273" t="s">
        <v>137</v>
      </c>
      <c r="C136" s="273" t="s">
        <v>115</v>
      </c>
      <c r="D136" s="273" t="s">
        <v>58</v>
      </c>
      <c r="E136" s="273" t="s">
        <v>19</v>
      </c>
      <c r="F136" s="273" t="s">
        <v>124</v>
      </c>
      <c r="G136" s="273" t="s">
        <v>15</v>
      </c>
      <c r="H136" s="273" t="s">
        <v>25</v>
      </c>
      <c r="I136" s="273" t="s">
        <v>154</v>
      </c>
      <c r="J136" s="273" t="s">
        <v>143</v>
      </c>
      <c r="K136" s="273" t="s">
        <v>52</v>
      </c>
      <c r="L136" s="273" t="s">
        <v>26</v>
      </c>
    </row>
    <row r="137" spans="1:12" x14ac:dyDescent="0.25">
      <c r="A137" s="273">
        <v>384</v>
      </c>
      <c r="B137" s="273" t="s">
        <v>138</v>
      </c>
      <c r="C137" s="273" t="s">
        <v>5</v>
      </c>
      <c r="D137" s="273" t="s">
        <v>37</v>
      </c>
      <c r="E137" s="273" t="s">
        <v>40</v>
      </c>
      <c r="F137" s="273" t="s">
        <v>128</v>
      </c>
      <c r="G137" s="273" t="s">
        <v>147</v>
      </c>
      <c r="H137" s="273" t="s">
        <v>549</v>
      </c>
      <c r="I137" s="273" t="s">
        <v>46</v>
      </c>
      <c r="J137" s="273" t="s">
        <v>107</v>
      </c>
      <c r="K137" s="273" t="s">
        <v>50</v>
      </c>
      <c r="L137" s="273" t="s">
        <v>104</v>
      </c>
    </row>
    <row r="138" spans="1:12" x14ac:dyDescent="0.25">
      <c r="A138" s="273">
        <v>335</v>
      </c>
      <c r="B138" s="273" t="s">
        <v>139</v>
      </c>
      <c r="C138" s="273" t="s">
        <v>34</v>
      </c>
      <c r="D138" s="273" t="s">
        <v>98</v>
      </c>
      <c r="E138" s="273" t="s">
        <v>13</v>
      </c>
      <c r="F138" s="273" t="s">
        <v>106</v>
      </c>
      <c r="G138" s="273" t="s">
        <v>39</v>
      </c>
      <c r="H138" s="273" t="s">
        <v>126</v>
      </c>
      <c r="I138" s="273" t="s">
        <v>133</v>
      </c>
      <c r="J138" s="273" t="s">
        <v>107</v>
      </c>
      <c r="K138" s="273" t="s">
        <v>132</v>
      </c>
      <c r="L138" s="273" t="s">
        <v>37</v>
      </c>
    </row>
    <row r="139" spans="1:12" x14ac:dyDescent="0.25">
      <c r="A139" s="273">
        <v>320</v>
      </c>
      <c r="B139" s="273" t="s">
        <v>140</v>
      </c>
      <c r="C139" s="273" t="s">
        <v>44</v>
      </c>
      <c r="D139" s="273" t="s">
        <v>31</v>
      </c>
      <c r="E139" s="273" t="s">
        <v>53</v>
      </c>
      <c r="F139" s="273" t="s">
        <v>9</v>
      </c>
      <c r="G139" s="273" t="s">
        <v>17</v>
      </c>
      <c r="H139" s="273" t="s">
        <v>78</v>
      </c>
      <c r="I139" s="273" t="s">
        <v>48</v>
      </c>
      <c r="J139" s="273" t="s">
        <v>41</v>
      </c>
      <c r="K139" s="273" t="s">
        <v>75</v>
      </c>
      <c r="L139" s="273" t="s">
        <v>49</v>
      </c>
    </row>
    <row r="140" spans="1:12" x14ac:dyDescent="0.25">
      <c r="A140" s="273">
        <v>212</v>
      </c>
      <c r="B140" s="273" t="s">
        <v>141</v>
      </c>
      <c r="C140" s="273" t="s">
        <v>51</v>
      </c>
      <c r="D140" s="273" t="s">
        <v>64</v>
      </c>
      <c r="E140" s="273" t="s">
        <v>24</v>
      </c>
      <c r="F140" s="273" t="s">
        <v>146</v>
      </c>
      <c r="G140" s="273" t="s">
        <v>81</v>
      </c>
      <c r="H140" s="273" t="s">
        <v>4</v>
      </c>
      <c r="I140" s="273" t="s">
        <v>102</v>
      </c>
      <c r="J140" s="273" t="s">
        <v>63</v>
      </c>
      <c r="K140" s="273" t="s">
        <v>53</v>
      </c>
      <c r="L140" s="273" t="s">
        <v>18</v>
      </c>
    </row>
    <row r="141" spans="1:12" x14ac:dyDescent="0.25">
      <c r="A141" s="273">
        <v>877</v>
      </c>
      <c r="B141" s="273" t="s">
        <v>142</v>
      </c>
      <c r="C141" s="273" t="s">
        <v>27</v>
      </c>
      <c r="D141" s="273" t="s">
        <v>143</v>
      </c>
      <c r="E141" s="273" t="s">
        <v>115</v>
      </c>
      <c r="F141" s="273" t="s">
        <v>26</v>
      </c>
      <c r="G141" s="273" t="s">
        <v>42</v>
      </c>
      <c r="H141" s="273" t="s">
        <v>124</v>
      </c>
      <c r="I141" s="273" t="s">
        <v>123</v>
      </c>
      <c r="J141" s="273" t="s">
        <v>25</v>
      </c>
      <c r="K141" s="273" t="s">
        <v>154</v>
      </c>
      <c r="L141" s="273" t="s">
        <v>21</v>
      </c>
    </row>
    <row r="142" spans="1:12" x14ac:dyDescent="0.25">
      <c r="A142" s="273">
        <v>937</v>
      </c>
      <c r="B142" s="273" t="s">
        <v>143</v>
      </c>
      <c r="C142" s="273" t="s">
        <v>27</v>
      </c>
      <c r="D142" s="273" t="s">
        <v>153</v>
      </c>
      <c r="E142" s="273" t="s">
        <v>25</v>
      </c>
      <c r="F142" s="273" t="s">
        <v>74</v>
      </c>
      <c r="G142" s="273" t="s">
        <v>123</v>
      </c>
      <c r="H142" s="273" t="s">
        <v>142</v>
      </c>
      <c r="I142" s="273" t="s">
        <v>26</v>
      </c>
      <c r="J142" s="273" t="s">
        <v>45</v>
      </c>
      <c r="K142" s="273" t="s">
        <v>52</v>
      </c>
      <c r="L142" s="273" t="s">
        <v>89</v>
      </c>
    </row>
    <row r="143" spans="1:12" x14ac:dyDescent="0.25">
      <c r="A143" s="273">
        <v>869</v>
      </c>
      <c r="B143" s="273" t="s">
        <v>144</v>
      </c>
      <c r="C143" s="273" t="s">
        <v>52</v>
      </c>
      <c r="D143" s="273" t="s">
        <v>20</v>
      </c>
      <c r="E143" s="273" t="s">
        <v>25</v>
      </c>
      <c r="F143" s="273" t="s">
        <v>23</v>
      </c>
      <c r="G143" s="273" t="s">
        <v>97</v>
      </c>
      <c r="H143" s="273" t="s">
        <v>26</v>
      </c>
      <c r="I143" s="273" t="s">
        <v>58</v>
      </c>
      <c r="J143" s="273" t="s">
        <v>108</v>
      </c>
      <c r="K143" s="273" t="s">
        <v>129</v>
      </c>
      <c r="L143" s="273" t="s">
        <v>15</v>
      </c>
    </row>
    <row r="144" spans="1:12" x14ac:dyDescent="0.25">
      <c r="A144" s="273">
        <v>938</v>
      </c>
      <c r="B144" s="273" t="s">
        <v>145</v>
      </c>
      <c r="C144" s="273" t="s">
        <v>52</v>
      </c>
      <c r="D144" s="273" t="s">
        <v>117</v>
      </c>
      <c r="E144" s="273" t="s">
        <v>47</v>
      </c>
      <c r="F144" s="273" t="s">
        <v>153</v>
      </c>
      <c r="G144" s="273" t="s">
        <v>89</v>
      </c>
      <c r="H144" s="273" t="s">
        <v>38</v>
      </c>
      <c r="I144" s="273" t="s">
        <v>45</v>
      </c>
      <c r="J144" s="273" t="s">
        <v>74</v>
      </c>
      <c r="K144" s="273" t="s">
        <v>6</v>
      </c>
      <c r="L144" s="273" t="s">
        <v>100</v>
      </c>
    </row>
    <row r="145" spans="1:12" x14ac:dyDescent="0.25">
      <c r="A145" s="273">
        <v>213</v>
      </c>
      <c r="B145" s="273" t="s">
        <v>146</v>
      </c>
      <c r="C145" s="273" t="s">
        <v>24</v>
      </c>
      <c r="D145" s="273" t="s">
        <v>51</v>
      </c>
      <c r="E145" s="273" t="s">
        <v>64</v>
      </c>
      <c r="F145" s="273" t="s">
        <v>63</v>
      </c>
      <c r="G145" s="273" t="s">
        <v>141</v>
      </c>
      <c r="H145" s="273" t="s">
        <v>79</v>
      </c>
      <c r="I145" s="273" t="s">
        <v>28</v>
      </c>
      <c r="J145" s="273" t="s">
        <v>48</v>
      </c>
      <c r="K145" s="273" t="s">
        <v>4</v>
      </c>
      <c r="L145" s="273" t="s">
        <v>102</v>
      </c>
    </row>
    <row r="146" spans="1:12" x14ac:dyDescent="0.25">
      <c r="A146" s="273">
        <v>359</v>
      </c>
      <c r="B146" s="273" t="s">
        <v>147</v>
      </c>
      <c r="C146" s="273" t="s">
        <v>549</v>
      </c>
      <c r="D146" s="273" t="s">
        <v>107</v>
      </c>
      <c r="E146" s="273" t="s">
        <v>5</v>
      </c>
      <c r="F146" s="273" t="s">
        <v>37</v>
      </c>
      <c r="G146" s="273" t="s">
        <v>104</v>
      </c>
      <c r="H146" s="273" t="s">
        <v>138</v>
      </c>
      <c r="I146" s="273" t="s">
        <v>125</v>
      </c>
      <c r="J146" s="273" t="s">
        <v>132</v>
      </c>
      <c r="K146" s="273" t="s">
        <v>39</v>
      </c>
      <c r="L146" s="273" t="s">
        <v>33</v>
      </c>
    </row>
    <row r="147" spans="1:12" x14ac:dyDescent="0.25">
      <c r="A147" s="273">
        <v>865</v>
      </c>
      <c r="B147" s="273" t="s">
        <v>148</v>
      </c>
      <c r="C147" s="273" t="s">
        <v>47</v>
      </c>
      <c r="D147" s="273" t="s">
        <v>113</v>
      </c>
      <c r="E147" s="273" t="s">
        <v>23</v>
      </c>
      <c r="F147" s="273" t="s">
        <v>38</v>
      </c>
      <c r="G147" s="273" t="s">
        <v>6</v>
      </c>
      <c r="H147" s="273" t="s">
        <v>36</v>
      </c>
      <c r="I147" s="273" t="s">
        <v>153</v>
      </c>
      <c r="J147" s="273" t="s">
        <v>52</v>
      </c>
      <c r="K147" s="273" t="s">
        <v>145</v>
      </c>
      <c r="L147" s="273" t="s">
        <v>97</v>
      </c>
    </row>
    <row r="148" spans="1:12" x14ac:dyDescent="0.25">
      <c r="A148" s="273">
        <v>868</v>
      </c>
      <c r="B148" s="273" t="s">
        <v>149</v>
      </c>
      <c r="C148" s="273" t="s">
        <v>129</v>
      </c>
      <c r="D148" s="273" t="s">
        <v>20</v>
      </c>
      <c r="E148" s="273" t="s">
        <v>58</v>
      </c>
      <c r="F148" s="273" t="s">
        <v>151</v>
      </c>
      <c r="G148" s="273" t="s">
        <v>144</v>
      </c>
      <c r="H148" s="273" t="s">
        <v>97</v>
      </c>
      <c r="I148" s="273" t="s">
        <v>15</v>
      </c>
      <c r="J148" s="273" t="s">
        <v>23</v>
      </c>
      <c r="K148" s="273" t="s">
        <v>52</v>
      </c>
      <c r="L148" s="273" t="s">
        <v>137</v>
      </c>
    </row>
    <row r="149" spans="1:12" x14ac:dyDescent="0.25">
      <c r="A149" s="273">
        <v>344</v>
      </c>
      <c r="B149" s="273" t="s">
        <v>150</v>
      </c>
      <c r="C149" s="273" t="s">
        <v>111</v>
      </c>
      <c r="D149" s="273" t="s">
        <v>33</v>
      </c>
      <c r="E149" s="273" t="s">
        <v>125</v>
      </c>
      <c r="F149" s="273" t="s">
        <v>104</v>
      </c>
      <c r="G149" s="273" t="s">
        <v>549</v>
      </c>
      <c r="H149" s="273" t="s">
        <v>90</v>
      </c>
      <c r="I149" s="273" t="s">
        <v>147</v>
      </c>
      <c r="J149" s="273" t="s">
        <v>50</v>
      </c>
      <c r="K149" s="273" t="s">
        <v>71</v>
      </c>
      <c r="L149" s="273" t="s">
        <v>55</v>
      </c>
    </row>
    <row r="150" spans="1:12" x14ac:dyDescent="0.25">
      <c r="A150" s="273">
        <v>872</v>
      </c>
      <c r="B150" s="273" t="s">
        <v>151</v>
      </c>
      <c r="C150" s="273" t="s">
        <v>129</v>
      </c>
      <c r="D150" s="273" t="s">
        <v>149</v>
      </c>
      <c r="E150" s="273" t="s">
        <v>20</v>
      </c>
      <c r="F150" s="273" t="s">
        <v>144</v>
      </c>
      <c r="G150" s="273" t="s">
        <v>15</v>
      </c>
      <c r="H150" s="273" t="s">
        <v>58</v>
      </c>
      <c r="I150" s="273" t="s">
        <v>26</v>
      </c>
      <c r="J150" s="273" t="s">
        <v>52</v>
      </c>
      <c r="K150" s="273" t="s">
        <v>97</v>
      </c>
      <c r="L150" s="273" t="s">
        <v>108</v>
      </c>
    </row>
    <row r="151" spans="1:12" x14ac:dyDescent="0.25">
      <c r="A151" s="273">
        <v>336</v>
      </c>
      <c r="B151" s="273" t="s">
        <v>152</v>
      </c>
      <c r="C151" s="273" t="s">
        <v>110</v>
      </c>
      <c r="D151" s="273" t="s">
        <v>30</v>
      </c>
      <c r="E151" s="273" t="s">
        <v>94</v>
      </c>
      <c r="F151" s="273" t="s">
        <v>139</v>
      </c>
      <c r="G151" s="273" t="s">
        <v>34</v>
      </c>
      <c r="H151" s="273" t="s">
        <v>9</v>
      </c>
      <c r="I151" s="273" t="s">
        <v>98</v>
      </c>
      <c r="J151" s="273" t="s">
        <v>119</v>
      </c>
      <c r="K151" s="273" t="s">
        <v>112</v>
      </c>
      <c r="L151" s="273" t="s">
        <v>126</v>
      </c>
    </row>
    <row r="152" spans="1:12" x14ac:dyDescent="0.25">
      <c r="A152" s="273">
        <v>885</v>
      </c>
      <c r="B152" s="273" t="s">
        <v>153</v>
      </c>
      <c r="C152" s="273" t="s">
        <v>89</v>
      </c>
      <c r="D152" s="273" t="s">
        <v>143</v>
      </c>
      <c r="E152" s="273" t="s">
        <v>45</v>
      </c>
      <c r="F152" s="273" t="s">
        <v>145</v>
      </c>
      <c r="G152" s="273" t="s">
        <v>38</v>
      </c>
      <c r="H152" s="273" t="s">
        <v>117</v>
      </c>
      <c r="I152" s="273" t="s">
        <v>74</v>
      </c>
      <c r="J152" s="273" t="s">
        <v>43</v>
      </c>
      <c r="K152" s="273" t="s">
        <v>123</v>
      </c>
      <c r="L152" s="273" t="s">
        <v>52</v>
      </c>
    </row>
    <row r="153" spans="1:12" x14ac:dyDescent="0.25">
      <c r="A153" s="273">
        <v>816</v>
      </c>
      <c r="B153" s="273" t="s">
        <v>154</v>
      </c>
      <c r="C153" s="273" t="s">
        <v>27</v>
      </c>
      <c r="D153" s="273" t="s">
        <v>143</v>
      </c>
      <c r="E153" s="273" t="s">
        <v>142</v>
      </c>
      <c r="F153" s="273" t="s">
        <v>124</v>
      </c>
      <c r="G153" s="273" t="s">
        <v>26</v>
      </c>
      <c r="H153" s="273" t="s">
        <v>52</v>
      </c>
      <c r="I153" s="273" t="s">
        <v>58</v>
      </c>
      <c r="J153" s="273" t="s">
        <v>15</v>
      </c>
      <c r="K153" s="273" t="s">
        <v>25</v>
      </c>
      <c r="L153" s="273" t="s">
        <v>153</v>
      </c>
    </row>
    <row r="155" spans="1:12" x14ac:dyDescent="0.25">
      <c r="A155" s="273">
        <v>1</v>
      </c>
      <c r="B155" s="273">
        <v>2</v>
      </c>
      <c r="C155" s="273">
        <v>4</v>
      </c>
      <c r="D155" s="273">
        <v>8</v>
      </c>
      <c r="E155" s="273">
        <v>12</v>
      </c>
      <c r="F155" s="273">
        <v>16</v>
      </c>
      <c r="G155" s="273">
        <v>20</v>
      </c>
      <c r="H155" s="273">
        <v>24</v>
      </c>
      <c r="I155" s="273">
        <v>28</v>
      </c>
      <c r="J155" s="273">
        <v>32</v>
      </c>
      <c r="K155" s="273">
        <v>36</v>
      </c>
      <c r="L155" s="273">
        <v>40</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AI36"/>
  <sheetViews>
    <sheetView zoomScaleNormal="100" zoomScalePageLayoutView="60" workbookViewId="0">
      <selection activeCell="Y4" sqref="Y4"/>
    </sheetView>
  </sheetViews>
  <sheetFormatPr defaultColWidth="0" defaultRowHeight="0" customHeight="1" zeroHeight="1" x14ac:dyDescent="0.3"/>
  <cols>
    <col min="1" max="1" width="0.88671875" style="24" customWidth="1"/>
    <col min="2" max="2" width="1.44140625" style="24" customWidth="1"/>
    <col min="3" max="13" width="6.6640625" style="24" customWidth="1"/>
    <col min="14" max="14" width="0.88671875" style="24" customWidth="1"/>
    <col min="15" max="15" width="1.44140625" style="24" customWidth="1"/>
    <col min="16" max="20" width="6.6640625" style="24" customWidth="1"/>
    <col min="21" max="21" width="3" style="24" customWidth="1"/>
    <col min="22" max="22" width="0.88671875" style="24" customWidth="1"/>
    <col min="23" max="23" width="6.6640625" style="24" customWidth="1"/>
    <col min="24" max="24" width="9.33203125" style="24" customWidth="1"/>
    <col min="25" max="25" width="8" style="24" customWidth="1"/>
    <col min="26" max="26" width="0.88671875" style="24" customWidth="1"/>
    <col min="27" max="27" width="2.5546875" style="24" hidden="1" customWidth="1"/>
    <col min="28" max="35" width="0" style="24" hidden="1" customWidth="1"/>
    <col min="36" max="16384" width="8.88671875" style="24" hidden="1"/>
  </cols>
  <sheetData>
    <row r="1" spans="1:26" ht="6" customHeight="1" x14ac:dyDescent="0.25">
      <c r="A1" s="1"/>
      <c r="B1" s="1"/>
      <c r="C1" s="1"/>
      <c r="D1" s="1"/>
      <c r="E1" s="1"/>
      <c r="F1" s="1"/>
      <c r="G1" s="1"/>
      <c r="H1" s="1"/>
      <c r="I1" s="1"/>
      <c r="J1" s="1"/>
      <c r="K1" s="1"/>
      <c r="L1" s="1"/>
      <c r="M1" s="1"/>
      <c r="N1" s="1"/>
      <c r="O1" s="1"/>
      <c r="P1" s="1"/>
      <c r="Q1" s="1"/>
      <c r="R1" s="1"/>
      <c r="S1" s="1"/>
      <c r="T1" s="1"/>
      <c r="U1" s="1"/>
      <c r="V1" s="1"/>
      <c r="W1" s="1"/>
      <c r="X1" s="1"/>
      <c r="Y1" s="1"/>
      <c r="Z1" s="1"/>
    </row>
    <row r="2" spans="1:26" ht="15" customHeight="1" x14ac:dyDescent="0.3">
      <c r="A2" s="1"/>
      <c r="B2" s="290" t="s">
        <v>337</v>
      </c>
      <c r="C2" s="290"/>
      <c r="D2" s="290"/>
      <c r="E2" s="33"/>
      <c r="F2" s="30"/>
      <c r="G2" s="30"/>
      <c r="H2" s="30"/>
      <c r="I2" s="31"/>
      <c r="J2" s="31"/>
      <c r="K2" s="31"/>
      <c r="L2" s="31"/>
      <c r="M2" s="31"/>
      <c r="N2" s="31"/>
      <c r="O2" s="31"/>
      <c r="P2" s="32"/>
      <c r="Q2" s="31"/>
      <c r="R2" s="31"/>
      <c r="S2" s="306"/>
      <c r="T2" s="306"/>
      <c r="U2" s="306"/>
      <c r="V2" s="306"/>
      <c r="W2" s="306"/>
      <c r="X2" s="31"/>
      <c r="Y2" s="31"/>
      <c r="Z2" s="1"/>
    </row>
    <row r="3" spans="1:26" ht="17.399999999999999" customHeight="1" x14ac:dyDescent="0.3">
      <c r="A3" s="1"/>
      <c r="B3" s="290"/>
      <c r="C3" s="290"/>
      <c r="D3" s="290"/>
      <c r="E3" s="33"/>
      <c r="F3" s="30"/>
      <c r="G3" s="30"/>
      <c r="H3" s="30"/>
      <c r="I3" s="31"/>
      <c r="J3" s="31"/>
      <c r="K3" s="31"/>
      <c r="L3" s="31"/>
      <c r="M3" s="31"/>
      <c r="N3" s="31"/>
      <c r="O3" s="31"/>
      <c r="P3" s="31"/>
      <c r="Q3" s="31"/>
      <c r="R3" s="31"/>
      <c r="S3" s="306"/>
      <c r="T3" s="306"/>
      <c r="U3" s="306"/>
      <c r="V3" s="306"/>
      <c r="W3" s="306"/>
      <c r="X3" s="31"/>
      <c r="Y3" s="31"/>
      <c r="Z3" s="1"/>
    </row>
    <row r="4" spans="1:26" ht="9" customHeight="1" thickBot="1" x14ac:dyDescent="0.3">
      <c r="A4" s="1"/>
      <c r="B4" s="1"/>
      <c r="C4" s="10"/>
      <c r="D4" s="10"/>
      <c r="E4" s="10"/>
      <c r="F4" s="1"/>
      <c r="G4" s="1"/>
      <c r="H4" s="1"/>
      <c r="I4" s="1"/>
      <c r="J4" s="1"/>
      <c r="K4" s="1"/>
      <c r="L4" s="1"/>
      <c r="M4" s="1"/>
      <c r="N4" s="1"/>
      <c r="O4" s="1"/>
      <c r="P4" s="1"/>
      <c r="Q4" s="1"/>
      <c r="R4" s="1"/>
      <c r="S4" s="1"/>
      <c r="T4" s="12"/>
      <c r="U4" s="12"/>
      <c r="V4" s="12"/>
      <c r="W4" s="12"/>
      <c r="X4" s="1"/>
      <c r="Y4" s="1"/>
      <c r="Z4" s="1"/>
    </row>
    <row r="5" spans="1:26" ht="15" customHeight="1" x14ac:dyDescent="0.3">
      <c r="A5" s="1"/>
      <c r="B5" s="48" t="s">
        <v>170</v>
      </c>
      <c r="C5" s="49"/>
      <c r="D5" s="41"/>
      <c r="E5" s="291"/>
      <c r="F5" s="291"/>
      <c r="G5" s="291"/>
      <c r="H5" s="291"/>
      <c r="I5" s="46"/>
      <c r="J5" s="293"/>
      <c r="K5" s="293"/>
      <c r="L5" s="49"/>
      <c r="M5" s="49"/>
      <c r="N5" s="125"/>
      <c r="O5" s="44" t="s">
        <v>196</v>
      </c>
      <c r="P5" s="125"/>
      <c r="Q5" s="74"/>
      <c r="R5" s="34"/>
      <c r="S5" s="34"/>
      <c r="T5" s="34"/>
      <c r="U5" s="34"/>
      <c r="V5" s="126"/>
      <c r="W5" s="48" t="s">
        <v>322</v>
      </c>
      <c r="X5" s="130"/>
      <c r="Y5" s="131"/>
      <c r="Z5" s="1"/>
    </row>
    <row r="6" spans="1:26" ht="17.399999999999999" customHeight="1" x14ac:dyDescent="0.3">
      <c r="A6" s="1"/>
      <c r="B6" s="42"/>
      <c r="C6" s="47"/>
      <c r="D6" s="47"/>
      <c r="E6" s="292"/>
      <c r="F6" s="292"/>
      <c r="G6" s="292"/>
      <c r="H6" s="292"/>
      <c r="I6" s="50"/>
      <c r="J6" s="294"/>
      <c r="K6" s="294"/>
      <c r="L6" s="31"/>
      <c r="M6" s="31"/>
      <c r="N6" s="25"/>
      <c r="O6" s="45" t="s">
        <v>197</v>
      </c>
      <c r="P6" s="25"/>
      <c r="Q6" s="3"/>
      <c r="R6" s="26"/>
      <c r="S6" s="3"/>
      <c r="T6" s="14"/>
      <c r="U6" s="14"/>
      <c r="V6" s="127"/>
      <c r="W6" s="31"/>
      <c r="X6" s="31"/>
      <c r="Y6" s="71"/>
      <c r="Z6" s="1"/>
    </row>
    <row r="7" spans="1:26" ht="14.4" customHeight="1" thickBot="1" x14ac:dyDescent="0.3">
      <c r="A7" s="1"/>
      <c r="B7" s="36"/>
      <c r="C7" s="26"/>
      <c r="D7" s="26"/>
      <c r="E7" s="3"/>
      <c r="F7" s="3"/>
      <c r="G7" s="3"/>
      <c r="H7" s="3"/>
      <c r="I7" s="3"/>
      <c r="J7" s="3"/>
      <c r="K7" s="3"/>
      <c r="L7" s="3"/>
      <c r="M7" s="3"/>
      <c r="N7" s="25"/>
      <c r="O7" s="43" t="s">
        <v>198</v>
      </c>
      <c r="P7" s="25"/>
      <c r="Q7" s="3"/>
      <c r="R7" s="26"/>
      <c r="S7" s="3"/>
      <c r="T7" s="15"/>
      <c r="U7" s="15"/>
      <c r="V7" s="128"/>
      <c r="W7" s="31"/>
      <c r="X7" s="31"/>
      <c r="Y7" s="71"/>
      <c r="Z7" s="1"/>
    </row>
    <row r="8" spans="1:26" ht="14.4" customHeight="1" x14ac:dyDescent="0.3">
      <c r="A8" s="1"/>
      <c r="B8" s="36"/>
      <c r="C8" s="3"/>
      <c r="D8" s="3"/>
      <c r="E8" s="3"/>
      <c r="F8" s="3"/>
      <c r="G8" s="3"/>
      <c r="H8" s="3"/>
      <c r="I8" s="3"/>
      <c r="J8" s="3"/>
      <c r="K8" s="3"/>
      <c r="L8" s="3"/>
      <c r="M8" s="3"/>
      <c r="N8" s="25"/>
      <c r="O8" s="25"/>
      <c r="P8" s="25"/>
      <c r="Q8" s="23"/>
      <c r="R8" s="3"/>
      <c r="S8" s="3"/>
      <c r="T8" s="15"/>
      <c r="U8" s="15"/>
      <c r="V8" s="128"/>
      <c r="W8" s="307"/>
      <c r="X8" s="308"/>
      <c r="Y8" s="309"/>
      <c r="Z8" s="1"/>
    </row>
    <row r="9" spans="1:26" ht="14.4" customHeight="1" thickBot="1" x14ac:dyDescent="0.35">
      <c r="A9" s="1"/>
      <c r="B9" s="36"/>
      <c r="C9" s="3"/>
      <c r="D9" s="3"/>
      <c r="E9" s="3"/>
      <c r="F9" s="3"/>
      <c r="G9" s="3"/>
      <c r="H9" s="3"/>
      <c r="I9" s="3"/>
      <c r="J9" s="3"/>
      <c r="K9" s="3"/>
      <c r="L9" s="3"/>
      <c r="M9" s="3"/>
      <c r="N9" s="25"/>
      <c r="O9" s="25"/>
      <c r="P9" s="25"/>
      <c r="Q9" s="23"/>
      <c r="R9" s="132" t="str">
        <f>IF(OR(chosen_LA="City of London",chosen_LA="Isles of Scilly"),"     See notes","")</f>
        <v/>
      </c>
      <c r="S9" s="3"/>
      <c r="T9" s="15"/>
      <c r="U9" s="15"/>
      <c r="V9" s="128"/>
      <c r="W9" s="307"/>
      <c r="X9" s="308"/>
      <c r="Y9" s="310"/>
      <c r="Z9" s="1"/>
    </row>
    <row r="10" spans="1:26" ht="14.4" customHeight="1" x14ac:dyDescent="0.3">
      <c r="A10" s="1"/>
      <c r="B10" s="36"/>
      <c r="C10" s="3"/>
      <c r="D10" s="3"/>
      <c r="E10" s="3"/>
      <c r="F10" s="3"/>
      <c r="G10" s="3"/>
      <c r="H10" s="3"/>
      <c r="I10" s="3"/>
      <c r="J10" s="3"/>
      <c r="K10" s="3"/>
      <c r="L10" s="3"/>
      <c r="M10" s="3"/>
      <c r="N10" s="3"/>
      <c r="O10" s="3"/>
      <c r="P10" s="3"/>
      <c r="Q10" s="3"/>
      <c r="R10" s="3"/>
      <c r="S10" s="3"/>
      <c r="T10" s="3"/>
      <c r="U10" s="3"/>
      <c r="V10" s="129"/>
      <c r="W10" s="307"/>
      <c r="X10" s="308"/>
      <c r="Y10" s="311"/>
      <c r="Z10" s="1"/>
    </row>
    <row r="11" spans="1:26" ht="14.4" customHeight="1" x14ac:dyDescent="0.3">
      <c r="A11" s="1"/>
      <c r="B11" s="36"/>
      <c r="C11" s="3"/>
      <c r="D11" s="3"/>
      <c r="E11" s="3"/>
      <c r="F11" s="3"/>
      <c r="G11" s="3"/>
      <c r="H11" s="3"/>
      <c r="I11" s="3"/>
      <c r="J11" s="3"/>
      <c r="K11" s="3"/>
      <c r="L11" s="3"/>
      <c r="M11" s="3"/>
      <c r="N11" s="25"/>
      <c r="O11" s="25"/>
      <c r="P11" s="25"/>
      <c r="Q11" s="23"/>
      <c r="R11" s="3"/>
      <c r="S11" s="3"/>
      <c r="T11" s="3"/>
      <c r="U11" s="3"/>
      <c r="V11" s="129"/>
      <c r="W11" s="307"/>
      <c r="X11" s="308"/>
      <c r="Y11" s="312"/>
      <c r="Z11" s="1"/>
    </row>
    <row r="12" spans="1:26" ht="14.4" customHeight="1" x14ac:dyDescent="0.25">
      <c r="A12" s="1"/>
      <c r="B12" s="36"/>
      <c r="C12" s="3"/>
      <c r="D12" s="3"/>
      <c r="E12" s="3"/>
      <c r="F12" s="3"/>
      <c r="G12" s="3"/>
      <c r="H12" s="3"/>
      <c r="I12" s="3"/>
      <c r="J12" s="3"/>
      <c r="K12" s="3"/>
      <c r="L12" s="3"/>
      <c r="M12" s="3"/>
      <c r="N12" s="25"/>
      <c r="O12" s="43" t="s">
        <v>196</v>
      </c>
      <c r="P12" s="25"/>
      <c r="Q12" s="23"/>
      <c r="R12" s="26"/>
      <c r="S12" s="3"/>
      <c r="T12" s="3"/>
      <c r="U12" s="3"/>
      <c r="V12" s="129"/>
      <c r="W12" s="133"/>
      <c r="X12" s="3"/>
      <c r="Y12" s="35"/>
      <c r="Z12" s="1"/>
    </row>
    <row r="13" spans="1:26" ht="14.4" customHeight="1" x14ac:dyDescent="0.25">
      <c r="A13" s="1"/>
      <c r="B13" s="36"/>
      <c r="C13" s="3"/>
      <c r="D13" s="3"/>
      <c r="E13" s="3"/>
      <c r="F13" s="3"/>
      <c r="G13" s="3"/>
      <c r="H13" s="3"/>
      <c r="I13" s="3"/>
      <c r="J13" s="3"/>
      <c r="K13" s="3"/>
      <c r="L13" s="3"/>
      <c r="M13" s="3"/>
      <c r="N13" s="25"/>
      <c r="O13" s="43" t="s">
        <v>199</v>
      </c>
      <c r="P13" s="25"/>
      <c r="Q13" s="3"/>
      <c r="R13" s="26"/>
      <c r="S13" s="3"/>
      <c r="T13" s="14"/>
      <c r="U13" s="14"/>
      <c r="V13" s="127"/>
      <c r="W13" s="3"/>
      <c r="X13" s="3"/>
      <c r="Y13" s="35"/>
      <c r="Z13" s="1"/>
    </row>
    <row r="14" spans="1:26" ht="14.4" customHeight="1" x14ac:dyDescent="0.25">
      <c r="A14" s="1"/>
      <c r="B14" s="36"/>
      <c r="C14" s="3"/>
      <c r="D14" s="3"/>
      <c r="E14" s="3"/>
      <c r="F14" s="3"/>
      <c r="G14" s="3"/>
      <c r="H14" s="3"/>
      <c r="I14" s="3"/>
      <c r="J14" s="3"/>
      <c r="K14" s="3"/>
      <c r="L14" s="3"/>
      <c r="M14" s="3"/>
      <c r="N14" s="25"/>
      <c r="O14" s="43" t="s">
        <v>198</v>
      </c>
      <c r="P14" s="25"/>
      <c r="Q14" s="23"/>
      <c r="R14" s="26"/>
      <c r="S14" s="3"/>
      <c r="T14" s="15"/>
      <c r="U14" s="15"/>
      <c r="V14" s="128"/>
      <c r="W14" s="3"/>
      <c r="X14" s="3"/>
      <c r="Y14" s="35"/>
      <c r="Z14" s="1"/>
    </row>
    <row r="15" spans="1:26" ht="14.4" customHeight="1" x14ac:dyDescent="0.25">
      <c r="A15" s="1"/>
      <c r="B15" s="36"/>
      <c r="C15" s="3"/>
      <c r="D15" s="3"/>
      <c r="E15" s="3"/>
      <c r="F15" s="3"/>
      <c r="G15" s="3"/>
      <c r="H15" s="3"/>
      <c r="I15" s="3"/>
      <c r="J15" s="3"/>
      <c r="K15" s="3"/>
      <c r="L15" s="3"/>
      <c r="M15" s="3"/>
      <c r="N15" s="25"/>
      <c r="O15" s="25"/>
      <c r="P15" s="25"/>
      <c r="Q15" s="23"/>
      <c r="R15" s="3"/>
      <c r="S15" s="3"/>
      <c r="T15" s="15"/>
      <c r="U15" s="15"/>
      <c r="V15" s="128"/>
      <c r="W15" s="3"/>
      <c r="X15" s="3"/>
      <c r="Y15" s="35"/>
      <c r="Z15" s="1"/>
    </row>
    <row r="16" spans="1:26" ht="14.4" customHeight="1" x14ac:dyDescent="0.25">
      <c r="A16" s="1"/>
      <c r="B16" s="36"/>
      <c r="C16" s="3"/>
      <c r="D16" s="3"/>
      <c r="E16" s="3"/>
      <c r="F16" s="3"/>
      <c r="G16" s="3"/>
      <c r="H16" s="3"/>
      <c r="I16" s="3"/>
      <c r="J16" s="3"/>
      <c r="K16" s="3"/>
      <c r="L16" s="3"/>
      <c r="M16" s="3"/>
      <c r="N16" s="25"/>
      <c r="O16" s="25"/>
      <c r="P16" s="25"/>
      <c r="Q16" s="3"/>
      <c r="R16" s="132" t="str">
        <f>IF(OR(chosen_LA="City of London",chosen_LA="Isles of Scilly"),"     See notes","")</f>
        <v/>
      </c>
      <c r="S16" s="132"/>
      <c r="T16" s="15"/>
      <c r="U16" s="15"/>
      <c r="V16" s="128"/>
      <c r="W16" s="132"/>
      <c r="X16" s="192" t="str">
        <f>IF(chosen_LA="Isles Of Scilly","See notes","")</f>
        <v/>
      </c>
      <c r="Y16" s="35"/>
      <c r="Z16" s="1"/>
    </row>
    <row r="17" spans="1:33" ht="15.6" customHeight="1" x14ac:dyDescent="0.25">
      <c r="A17" s="1"/>
      <c r="B17" s="36"/>
      <c r="C17" s="3"/>
      <c r="D17" s="3"/>
      <c r="E17" s="3"/>
      <c r="F17" s="3"/>
      <c r="G17" s="3"/>
      <c r="H17" s="3"/>
      <c r="I17" s="3"/>
      <c r="J17" s="3"/>
      <c r="K17" s="3"/>
      <c r="L17" s="3"/>
      <c r="M17" s="3"/>
      <c r="N17" s="3"/>
      <c r="O17" s="3"/>
      <c r="P17" s="3"/>
      <c r="Q17" s="3"/>
      <c r="R17" s="3"/>
      <c r="S17" s="3"/>
      <c r="T17" s="3"/>
      <c r="U17" s="3"/>
      <c r="V17" s="129"/>
      <c r="W17" s="300" t="s">
        <v>336</v>
      </c>
      <c r="X17" s="301"/>
      <c r="Y17" s="302"/>
      <c r="Z17" s="1"/>
    </row>
    <row r="18" spans="1:33" ht="4.2" customHeight="1" thickBot="1" x14ac:dyDescent="0.3">
      <c r="A18" s="1"/>
      <c r="B18" s="37"/>
      <c r="C18" s="38"/>
      <c r="D18" s="38"/>
      <c r="E18" s="38"/>
      <c r="F18" s="38"/>
      <c r="G18" s="38"/>
      <c r="H18" s="38"/>
      <c r="I18" s="38"/>
      <c r="J18" s="38"/>
      <c r="K18" s="38"/>
      <c r="L18" s="38"/>
      <c r="M18" s="38"/>
      <c r="N18" s="38"/>
      <c r="O18" s="38"/>
      <c r="P18" s="38"/>
      <c r="Q18" s="39"/>
      <c r="R18" s="38"/>
      <c r="S18" s="38"/>
      <c r="T18" s="38"/>
      <c r="U18" s="38"/>
      <c r="V18" s="129"/>
      <c r="W18" s="38"/>
      <c r="X18" s="38"/>
      <c r="Y18" s="40"/>
      <c r="Z18" s="1"/>
    </row>
    <row r="19" spans="1:33" ht="6" customHeight="1" thickBot="1" x14ac:dyDescent="0.3">
      <c r="A19" s="1"/>
      <c r="B19" s="9"/>
      <c r="C19" s="9"/>
      <c r="D19" s="9"/>
      <c r="E19" s="9"/>
      <c r="F19" s="9"/>
      <c r="G19" s="9"/>
      <c r="H19" s="9"/>
      <c r="I19" s="9"/>
      <c r="J19" s="9"/>
      <c r="K19" s="9"/>
      <c r="L19" s="9"/>
      <c r="M19" s="9"/>
      <c r="N19" s="9"/>
      <c r="O19" s="9"/>
      <c r="P19" s="9"/>
      <c r="Q19" s="9"/>
      <c r="R19" s="9"/>
      <c r="S19" s="9"/>
      <c r="T19" s="9"/>
      <c r="U19" s="9"/>
      <c r="V19" s="9"/>
      <c r="W19" s="9"/>
      <c r="X19" s="9"/>
      <c r="Y19" s="9"/>
      <c r="Z19" s="1"/>
    </row>
    <row r="20" spans="1:33" ht="15" customHeight="1" x14ac:dyDescent="0.25">
      <c r="A20" s="1"/>
      <c r="B20" s="60" t="s">
        <v>155</v>
      </c>
      <c r="C20" s="41"/>
      <c r="D20" s="41"/>
      <c r="E20" s="49"/>
      <c r="F20" s="49"/>
      <c r="G20" s="55"/>
      <c r="H20" s="49"/>
      <c r="I20" s="49"/>
      <c r="J20" s="56"/>
      <c r="K20" s="56"/>
      <c r="L20" s="56"/>
      <c r="M20" s="70"/>
      <c r="N20" s="9"/>
      <c r="O20" s="60" t="s">
        <v>156</v>
      </c>
      <c r="P20" s="41"/>
      <c r="Q20" s="41"/>
      <c r="R20" s="61"/>
      <c r="S20" s="49"/>
      <c r="T20" s="49"/>
      <c r="U20" s="49"/>
      <c r="V20" s="49"/>
      <c r="W20" s="49"/>
      <c r="X20" s="49"/>
      <c r="Y20" s="70"/>
      <c r="Z20" s="9"/>
    </row>
    <row r="21" spans="1:33" ht="17.399999999999999" customHeight="1" x14ac:dyDescent="0.45">
      <c r="A21" s="1"/>
      <c r="B21" s="42"/>
      <c r="C21" s="57"/>
      <c r="D21" s="57"/>
      <c r="E21" s="58"/>
      <c r="F21" s="58"/>
      <c r="G21" s="58"/>
      <c r="H21" s="58"/>
      <c r="I21" s="58"/>
      <c r="J21" s="59"/>
      <c r="K21" s="59"/>
      <c r="L21" s="59"/>
      <c r="M21" s="71"/>
      <c r="N21" s="9"/>
      <c r="O21" s="42"/>
      <c r="P21" s="31"/>
      <c r="Q21" s="31"/>
      <c r="R21" s="31"/>
      <c r="S21" s="31"/>
      <c r="T21" s="31"/>
      <c r="U21" s="31"/>
      <c r="V21" s="31"/>
      <c r="W21" s="31"/>
      <c r="X21" s="31"/>
      <c r="Y21" s="71"/>
      <c r="Z21" s="9"/>
    </row>
    <row r="22" spans="1:33" ht="14.4" customHeight="1" x14ac:dyDescent="0.5">
      <c r="A22" s="1"/>
      <c r="B22" s="36"/>
      <c r="C22" s="29"/>
      <c r="D22" s="29"/>
      <c r="E22" s="8"/>
      <c r="F22" s="8"/>
      <c r="G22" s="8"/>
      <c r="H22" s="8"/>
      <c r="I22" s="8"/>
      <c r="J22" s="75" t="str">
        <f>IF(AND(Chosen_Qual="KS2 Value Added",chosen_phase="Secondary"),"KS2 value added ratings are relevant to the Primary phase only",IF(AND(Chosen_Qual="KS4 Value Added",chosen_phase="Primary"),"KS4 value added ratings are relevant to the Secondary phase only",""))</f>
        <v/>
      </c>
      <c r="K22" s="7"/>
      <c r="L22" s="7"/>
      <c r="M22" s="35"/>
      <c r="N22" s="9"/>
      <c r="O22" s="62"/>
      <c r="P22" s="3"/>
      <c r="Q22" s="3"/>
      <c r="R22" s="64"/>
      <c r="S22" s="3"/>
      <c r="T22" s="3"/>
      <c r="U22" s="3"/>
      <c r="V22" s="3"/>
      <c r="W22" s="64"/>
      <c r="X22" s="3"/>
      <c r="Y22" s="65"/>
      <c r="Z22" s="9"/>
    </row>
    <row r="23" spans="1:33" ht="14.4" customHeight="1" x14ac:dyDescent="0.45">
      <c r="A23" s="1"/>
      <c r="B23" s="298" t="str">
        <f>chosen_LA</f>
        <v>Barking and Dagenham</v>
      </c>
      <c r="C23" s="299"/>
      <c r="D23" s="29"/>
      <c r="E23" s="6"/>
      <c r="F23" s="6"/>
      <c r="G23" s="6"/>
      <c r="H23" s="6"/>
      <c r="I23" s="6"/>
      <c r="J23" s="3"/>
      <c r="K23" s="3"/>
      <c r="L23" s="3"/>
      <c r="M23" s="35"/>
      <c r="N23" s="9"/>
      <c r="O23" s="63"/>
      <c r="P23" s="16"/>
      <c r="Q23" s="297" t="str">
        <f>IF(Calculations!K$44=5,ROUND(Calculations!K$46,-1),"")</f>
        <v/>
      </c>
      <c r="R23" s="297"/>
      <c r="S23" s="16"/>
      <c r="T23" s="297" t="str">
        <f>IF(Calculations!L$44=5,Calculations!L$46,"")</f>
        <v/>
      </c>
      <c r="U23" s="297"/>
      <c r="V23" s="297"/>
      <c r="W23" s="297"/>
      <c r="X23" s="303" t="str">
        <f>IF(Calculations!M$44=5,Calculations!M$46,"")</f>
        <v/>
      </c>
      <c r="Y23" s="304"/>
      <c r="Z23" s="9"/>
    </row>
    <row r="24" spans="1:33" ht="14.4" customHeight="1" x14ac:dyDescent="0.3">
      <c r="A24" s="1"/>
      <c r="B24" s="298"/>
      <c r="C24" s="299"/>
      <c r="D24" s="3"/>
      <c r="E24" s="3"/>
      <c r="F24" s="3"/>
      <c r="G24" s="3"/>
      <c r="H24" s="3"/>
      <c r="I24" s="3"/>
      <c r="J24" s="3"/>
      <c r="K24" s="3"/>
      <c r="L24" s="3"/>
      <c r="M24" s="35"/>
      <c r="N24" s="9"/>
      <c r="O24" s="63"/>
      <c r="P24" s="16"/>
      <c r="Q24" s="297"/>
      <c r="R24" s="297"/>
      <c r="S24" s="16"/>
      <c r="T24" s="297"/>
      <c r="U24" s="297"/>
      <c r="V24" s="297"/>
      <c r="W24" s="297"/>
      <c r="X24" s="303"/>
      <c r="Y24" s="304"/>
      <c r="Z24" s="9"/>
    </row>
    <row r="25" spans="1:33" ht="14.4" customHeight="1" x14ac:dyDescent="0.3">
      <c r="A25" s="1"/>
      <c r="B25" s="298"/>
      <c r="C25" s="299"/>
      <c r="D25" s="3"/>
      <c r="E25" s="3"/>
      <c r="F25" s="3"/>
      <c r="G25" s="3"/>
      <c r="H25" s="3"/>
      <c r="I25" s="3"/>
      <c r="J25" s="3"/>
      <c r="K25" s="3"/>
      <c r="L25" s="3"/>
      <c r="M25" s="35"/>
      <c r="N25" s="9"/>
      <c r="O25" s="63"/>
      <c r="P25" s="16"/>
      <c r="Q25" s="297" t="str">
        <f>IF(Calculations!K$44=4,Calculations!K$46,"")</f>
        <v/>
      </c>
      <c r="R25" s="297"/>
      <c r="S25" s="16"/>
      <c r="T25" s="297" t="str">
        <f>IF(Calculations!L$44=4,Calculations!L$46,"")</f>
        <v/>
      </c>
      <c r="U25" s="297"/>
      <c r="V25" s="297"/>
      <c r="W25" s="297"/>
      <c r="X25" s="303" t="str">
        <f>IF(Calculations!M$44=4,Calculations!M$46,"")</f>
        <v/>
      </c>
      <c r="Y25" s="304"/>
      <c r="Z25" s="9"/>
      <c r="AC25" s="305"/>
      <c r="AD25" s="305"/>
      <c r="AE25" s="305"/>
    </row>
    <row r="26" spans="1:33" ht="14.4" customHeight="1" x14ac:dyDescent="0.3">
      <c r="A26" s="1"/>
      <c r="B26" s="298"/>
      <c r="C26" s="299"/>
      <c r="D26" s="3"/>
      <c r="E26" s="3"/>
      <c r="F26" s="3"/>
      <c r="G26" s="3"/>
      <c r="H26" s="3"/>
      <c r="I26" s="3"/>
      <c r="J26" s="3"/>
      <c r="K26" s="3"/>
      <c r="L26" s="3"/>
      <c r="M26" s="35"/>
      <c r="N26" s="9"/>
      <c r="O26" s="63"/>
      <c r="P26" s="16"/>
      <c r="Q26" s="297"/>
      <c r="R26" s="297"/>
      <c r="S26" s="16"/>
      <c r="T26" s="297"/>
      <c r="U26" s="297"/>
      <c r="V26" s="297"/>
      <c r="W26" s="297"/>
      <c r="X26" s="303"/>
      <c r="Y26" s="304"/>
      <c r="Z26" s="9"/>
      <c r="AC26" s="305"/>
      <c r="AD26" s="305"/>
      <c r="AE26" s="305"/>
    </row>
    <row r="27" spans="1:33" ht="14.4" customHeight="1" x14ac:dyDescent="0.3">
      <c r="A27" s="1"/>
      <c r="B27" s="275" t="s">
        <v>200</v>
      </c>
      <c r="C27" s="276"/>
      <c r="D27" s="3"/>
      <c r="E27" s="3"/>
      <c r="F27" s="3"/>
      <c r="G27" s="3"/>
      <c r="H27" s="3"/>
      <c r="I27" s="3"/>
      <c r="J27" s="3"/>
      <c r="K27" s="3"/>
      <c r="L27" s="3"/>
      <c r="M27" s="35"/>
      <c r="N27" s="9"/>
      <c r="O27" s="63"/>
      <c r="P27" s="16"/>
      <c r="Q27" s="297">
        <f>IF(Calculations!K$44=3,ROUND(Calculations!K$46,-1),"")</f>
        <v>10290</v>
      </c>
      <c r="R27" s="297"/>
      <c r="S27" s="16"/>
      <c r="T27" s="297" t="str">
        <f>IF(Calculations!L$44=3,Calculations!L$46,"")</f>
        <v/>
      </c>
      <c r="U27" s="297"/>
      <c r="V27" s="297"/>
      <c r="W27" s="297"/>
      <c r="X27" s="303" t="str">
        <f>IF(Calculations!M$44=3,Calculations!M$46,"")</f>
        <v/>
      </c>
      <c r="Y27" s="304"/>
      <c r="Z27" s="9"/>
      <c r="AC27" s="305"/>
      <c r="AD27" s="305"/>
      <c r="AE27" s="305"/>
    </row>
    <row r="28" spans="1:33" ht="14.4" customHeight="1" x14ac:dyDescent="0.3">
      <c r="A28" s="1"/>
      <c r="B28" s="275"/>
      <c r="C28" s="276"/>
      <c r="D28" s="3"/>
      <c r="E28" s="3"/>
      <c r="F28" s="3"/>
      <c r="G28" s="3"/>
      <c r="H28" s="3"/>
      <c r="I28" s="3"/>
      <c r="J28" s="3"/>
      <c r="K28" s="3"/>
      <c r="L28" s="3"/>
      <c r="M28" s="35"/>
      <c r="N28" s="9"/>
      <c r="O28" s="63"/>
      <c r="P28" s="16"/>
      <c r="Q28" s="297"/>
      <c r="R28" s="297"/>
      <c r="S28" s="16"/>
      <c r="T28" s="297"/>
      <c r="U28" s="297"/>
      <c r="V28" s="297"/>
      <c r="W28" s="297"/>
      <c r="X28" s="303"/>
      <c r="Y28" s="304"/>
      <c r="Z28" s="9"/>
      <c r="AC28" s="8"/>
      <c r="AD28" s="8"/>
      <c r="AE28" s="8"/>
      <c r="AF28" s="8"/>
      <c r="AG28" s="8"/>
    </row>
    <row r="29" spans="1:33" ht="14.4" customHeight="1" x14ac:dyDescent="0.3">
      <c r="A29" s="1"/>
      <c r="B29" s="275"/>
      <c r="C29" s="276"/>
      <c r="D29" s="3"/>
      <c r="E29" s="3"/>
      <c r="F29" s="3"/>
      <c r="G29" s="3"/>
      <c r="H29" s="3"/>
      <c r="I29" s="3"/>
      <c r="J29" s="3"/>
      <c r="K29" s="3"/>
      <c r="L29" s="3"/>
      <c r="M29" s="35"/>
      <c r="N29" s="9"/>
      <c r="O29" s="63"/>
      <c r="P29" s="16"/>
      <c r="Q29" s="297" t="str">
        <f>IF(Calculations!K$44=2,Calculations!K$46,"")</f>
        <v/>
      </c>
      <c r="R29" s="297"/>
      <c r="S29" s="16"/>
      <c r="T29" s="297" t="str">
        <f>IF(Calculations!L$44=2,Calculations!L$46,"")</f>
        <v/>
      </c>
      <c r="U29" s="297"/>
      <c r="V29" s="297"/>
      <c r="W29" s="297"/>
      <c r="X29" s="303" t="str">
        <f>IF(Calculations!M$44=2,Calculations!M$46,"")</f>
        <v/>
      </c>
      <c r="Y29" s="304"/>
      <c r="Z29" s="9"/>
      <c r="AC29" s="8"/>
      <c r="AD29" s="8"/>
      <c r="AE29" s="8"/>
      <c r="AF29" s="8"/>
      <c r="AG29" s="8"/>
    </row>
    <row r="30" spans="1:33" ht="14.4" customHeight="1" x14ac:dyDescent="0.3">
      <c r="A30" s="1"/>
      <c r="B30" s="275"/>
      <c r="C30" s="276"/>
      <c r="D30" s="3"/>
      <c r="E30" s="3"/>
      <c r="F30" s="3"/>
      <c r="G30" s="3"/>
      <c r="H30" s="3"/>
      <c r="I30" s="3"/>
      <c r="J30" s="3"/>
      <c r="K30" s="3"/>
      <c r="L30" s="3"/>
      <c r="M30" s="35"/>
      <c r="N30" s="9"/>
      <c r="O30" s="63"/>
      <c r="P30" s="16"/>
      <c r="Q30" s="297"/>
      <c r="R30" s="297"/>
      <c r="S30" s="16"/>
      <c r="T30" s="297"/>
      <c r="U30" s="297"/>
      <c r="V30" s="297"/>
      <c r="W30" s="297"/>
      <c r="X30" s="303"/>
      <c r="Y30" s="304"/>
      <c r="Z30" s="9"/>
    </row>
    <row r="31" spans="1:33" ht="14.4" customHeight="1" x14ac:dyDescent="0.3">
      <c r="A31" s="1"/>
      <c r="B31" s="36"/>
      <c r="C31" s="279"/>
      <c r="D31" s="279"/>
      <c r="E31" s="280"/>
      <c r="F31" s="281"/>
      <c r="G31" s="281"/>
      <c r="H31" s="13"/>
      <c r="I31" s="67"/>
      <c r="J31" s="67"/>
      <c r="K31" s="68"/>
      <c r="L31" s="68"/>
      <c r="M31" s="69"/>
      <c r="N31" s="9"/>
      <c r="O31" s="62"/>
      <c r="P31" s="16"/>
      <c r="Q31" s="297" t="str">
        <f>IF(Calculations!K$44=1,Calculations!K$46,"")</f>
        <v/>
      </c>
      <c r="R31" s="297"/>
      <c r="S31" s="16"/>
      <c r="T31" s="297" t="str">
        <f>IF(Calculations!L$44=1,Calculations!L$46,"")</f>
        <v/>
      </c>
      <c r="U31" s="297"/>
      <c r="V31" s="297"/>
      <c r="W31" s="297"/>
      <c r="X31" s="303" t="str">
        <f>IF(Calculations!M$44=1,Calculations!M$46,"")</f>
        <v/>
      </c>
      <c r="Y31" s="304"/>
      <c r="Z31" s="9"/>
    </row>
    <row r="32" spans="1:33" ht="14.4" customHeight="1" x14ac:dyDescent="0.3">
      <c r="A32" s="1"/>
      <c r="B32" s="51"/>
      <c r="C32" s="279"/>
      <c r="D32" s="279"/>
      <c r="E32" s="281"/>
      <c r="F32" s="281"/>
      <c r="G32" s="281"/>
      <c r="H32" s="22"/>
      <c r="I32" s="67"/>
      <c r="J32" s="67"/>
      <c r="K32" s="68"/>
      <c r="L32" s="68"/>
      <c r="M32" s="69"/>
      <c r="N32" s="9"/>
      <c r="O32" s="63"/>
      <c r="P32" s="16"/>
      <c r="Q32" s="297"/>
      <c r="R32" s="297"/>
      <c r="S32" s="16"/>
      <c r="T32" s="297"/>
      <c r="U32" s="297"/>
      <c r="V32" s="297"/>
      <c r="W32" s="297"/>
      <c r="X32" s="303"/>
      <c r="Y32" s="304"/>
      <c r="Z32" s="9"/>
    </row>
    <row r="33" spans="1:26" ht="14.4" customHeight="1" x14ac:dyDescent="0.3">
      <c r="A33" s="1"/>
      <c r="B33" s="51"/>
      <c r="C33" s="279"/>
      <c r="D33" s="279"/>
      <c r="E33" s="281"/>
      <c r="F33" s="281"/>
      <c r="G33" s="281"/>
      <c r="H33" s="22"/>
      <c r="I33" s="67"/>
      <c r="J33" s="67"/>
      <c r="K33" s="68"/>
      <c r="L33" s="68"/>
      <c r="M33" s="69"/>
      <c r="N33" s="9"/>
      <c r="O33" s="36"/>
      <c r="P33" s="28"/>
      <c r="Q33" s="295"/>
      <c r="R33" s="295"/>
      <c r="S33" s="28"/>
      <c r="T33" s="296"/>
      <c r="U33" s="296"/>
      <c r="V33" s="296"/>
      <c r="W33" s="296"/>
      <c r="X33" s="27"/>
      <c r="Y33" s="66"/>
      <c r="Z33" s="9"/>
    </row>
    <row r="34" spans="1:26" ht="14.4" customHeight="1" x14ac:dyDescent="0.3">
      <c r="A34" s="1"/>
      <c r="B34" s="51"/>
      <c r="C34" s="279"/>
      <c r="D34" s="279"/>
      <c r="E34" s="22"/>
      <c r="F34" s="22"/>
      <c r="G34" s="22"/>
      <c r="I34" s="277" t="str">
        <f>"New places with no rating = "&amp;Calculations!Q22&amp;"     "</f>
        <v xml:space="preserve">New places with no rating = 0     </v>
      </c>
      <c r="J34" s="277"/>
      <c r="K34" s="277"/>
      <c r="L34" s="277"/>
      <c r="M34" s="278"/>
      <c r="N34" s="9"/>
      <c r="O34" s="36"/>
      <c r="P34" s="288" t="s">
        <v>555</v>
      </c>
      <c r="Q34" s="288"/>
      <c r="R34" s="288"/>
      <c r="S34" s="282" t="s">
        <v>195</v>
      </c>
      <c r="T34" s="282"/>
      <c r="U34" s="282"/>
      <c r="V34" s="282"/>
      <c r="W34" s="282"/>
      <c r="X34" s="284" t="s">
        <v>554</v>
      </c>
      <c r="Y34" s="285"/>
      <c r="Z34" s="9"/>
    </row>
    <row r="35" spans="1:26" ht="7.2" customHeight="1" thickBot="1" x14ac:dyDescent="0.35">
      <c r="A35" s="1"/>
      <c r="B35" s="52"/>
      <c r="C35" s="53"/>
      <c r="D35" s="53"/>
      <c r="E35" s="53"/>
      <c r="F35" s="53"/>
      <c r="G35" s="54"/>
      <c r="H35" s="54"/>
      <c r="I35" s="54"/>
      <c r="J35" s="38"/>
      <c r="K35" s="38"/>
      <c r="L35" s="38"/>
      <c r="M35" s="40"/>
      <c r="N35" s="9"/>
      <c r="O35" s="37"/>
      <c r="P35" s="289"/>
      <c r="Q35" s="289"/>
      <c r="R35" s="289"/>
      <c r="S35" s="283"/>
      <c r="T35" s="283"/>
      <c r="U35" s="283"/>
      <c r="V35" s="283"/>
      <c r="W35" s="283"/>
      <c r="X35" s="286"/>
      <c r="Y35" s="287"/>
      <c r="Z35" s="9"/>
    </row>
    <row r="36" spans="1:26" ht="6.6" customHeight="1" x14ac:dyDescent="0.3">
      <c r="A36" s="1"/>
      <c r="B36" s="9"/>
      <c r="C36" s="9"/>
      <c r="D36" s="9"/>
      <c r="E36" s="9"/>
      <c r="F36" s="9"/>
      <c r="G36" s="9"/>
      <c r="H36" s="9"/>
      <c r="I36" s="9"/>
      <c r="J36" s="9"/>
      <c r="K36" s="9"/>
      <c r="L36" s="9"/>
      <c r="M36" s="1"/>
      <c r="N36" s="9"/>
      <c r="O36" s="9"/>
      <c r="P36" s="9"/>
      <c r="Q36" s="9"/>
      <c r="R36" s="9"/>
      <c r="S36" s="9"/>
      <c r="T36" s="9"/>
      <c r="U36" s="9"/>
      <c r="V36" s="9"/>
      <c r="W36" s="9"/>
      <c r="X36" s="9"/>
      <c r="Y36" s="9"/>
      <c r="Z36" s="1"/>
    </row>
  </sheetData>
  <sheetProtection password="A229" sheet="1" objects="1" scenarios="1" selectLockedCells="1"/>
  <mergeCells count="35">
    <mergeCell ref="X31:Y32"/>
    <mergeCell ref="X29:Y30"/>
    <mergeCell ref="AC25:AE27"/>
    <mergeCell ref="S2:W3"/>
    <mergeCell ref="T23:W24"/>
    <mergeCell ref="T25:W26"/>
    <mergeCell ref="T27:W28"/>
    <mergeCell ref="X23:Y24"/>
    <mergeCell ref="X27:Y28"/>
    <mergeCell ref="X25:Y26"/>
    <mergeCell ref="W10:X11"/>
    <mergeCell ref="W8:X9"/>
    <mergeCell ref="Y8:Y9"/>
    <mergeCell ref="Y10:Y11"/>
    <mergeCell ref="X34:Y35"/>
    <mergeCell ref="P34:R35"/>
    <mergeCell ref="B2:D3"/>
    <mergeCell ref="E5:H6"/>
    <mergeCell ref="J5:K6"/>
    <mergeCell ref="Q33:R33"/>
    <mergeCell ref="T33:W33"/>
    <mergeCell ref="Q29:R30"/>
    <mergeCell ref="Q31:R32"/>
    <mergeCell ref="T29:W30"/>
    <mergeCell ref="T31:W32"/>
    <mergeCell ref="Q23:R24"/>
    <mergeCell ref="Q25:R26"/>
    <mergeCell ref="Q27:R28"/>
    <mergeCell ref="B23:C26"/>
    <mergeCell ref="W17:Y17"/>
    <mergeCell ref="B27:C30"/>
    <mergeCell ref="I34:M34"/>
    <mergeCell ref="C31:D34"/>
    <mergeCell ref="E31:G33"/>
    <mergeCell ref="S34:W35"/>
  </mergeCells>
  <pageMargins left="0.25" right="0.25" top="0.75" bottom="0.75" header="0.3" footer="0.3"/>
  <pageSetup paperSize="9" orientation="landscape" r:id="rId1"/>
  <headerFooter>
    <oddHeader>&amp;L&amp;F&amp;R&amp;D &amp;T</oddHeader>
    <oddFooter>&amp;CPage &amp;P of &amp;N</oddFooter>
  </headerFooter>
  <drawing r:id="rId2"/>
  <legacyDrawing r:id="rId3"/>
  <controls>
    <mc:AlternateContent xmlns:mc="http://schemas.openxmlformats.org/markup-compatibility/2006">
      <mc:Choice Requires="x14">
        <control shapeId="7236" r:id="rId4" name="TextBox34">
          <controlPr defaultSize="0" autoLine="0" linkedCell="obscurer" r:id="rId5">
            <anchor>
              <from>
                <xdr:col>11</xdr:col>
                <xdr:colOff>7620</xdr:colOff>
                <xdr:row>31</xdr:row>
                <xdr:rowOff>45720</xdr:rowOff>
              </from>
              <to>
                <xdr:col>12</xdr:col>
                <xdr:colOff>22860</xdr:colOff>
                <xdr:row>33</xdr:row>
                <xdr:rowOff>68580</xdr:rowOff>
              </to>
            </anchor>
          </controlPr>
        </control>
      </mc:Choice>
      <mc:Fallback>
        <control shapeId="7236" r:id="rId4" name="TextBox34"/>
      </mc:Fallback>
    </mc:AlternateContent>
    <mc:AlternateContent xmlns:mc="http://schemas.openxmlformats.org/markup-compatibility/2006">
      <mc:Choice Requires="x14">
        <control shapeId="7230" r:id="rId6" name="TextBox29">
          <controlPr defaultSize="0" autoLine="0" linkedCell="qual_key_6" r:id="rId7">
            <anchor>
              <from>
                <xdr:col>11</xdr:col>
                <xdr:colOff>335280</xdr:colOff>
                <xdr:row>19</xdr:row>
                <xdr:rowOff>0</xdr:rowOff>
              </from>
              <to>
                <xdr:col>12</xdr:col>
                <xdr:colOff>381000</xdr:colOff>
                <xdr:row>20</xdr:row>
                <xdr:rowOff>0</xdr:rowOff>
              </to>
            </anchor>
          </controlPr>
        </control>
      </mc:Choice>
      <mc:Fallback>
        <control shapeId="7230" r:id="rId6" name="TextBox29"/>
      </mc:Fallback>
    </mc:AlternateContent>
    <mc:AlternateContent xmlns:mc="http://schemas.openxmlformats.org/markup-compatibility/2006">
      <mc:Choice Requires="x14">
        <control shapeId="7229" r:id="rId8" name="TextBox28">
          <controlPr defaultSize="0" autoLine="0" linkedCell="qual_key3" r:id="rId9">
            <anchor>
              <from>
                <xdr:col>8</xdr:col>
                <xdr:colOff>342900</xdr:colOff>
                <xdr:row>19</xdr:row>
                <xdr:rowOff>152400</xdr:rowOff>
              </from>
              <to>
                <xdr:col>10</xdr:col>
                <xdr:colOff>45720</xdr:colOff>
                <xdr:row>20</xdr:row>
                <xdr:rowOff>182880</xdr:rowOff>
              </to>
            </anchor>
          </controlPr>
        </control>
      </mc:Choice>
      <mc:Fallback>
        <control shapeId="7229" r:id="rId8" name="TextBox28"/>
      </mc:Fallback>
    </mc:AlternateContent>
    <mc:AlternateContent xmlns:mc="http://schemas.openxmlformats.org/markup-compatibility/2006">
      <mc:Choice Requires="x14">
        <control shapeId="7220" r:id="rId10" name="TextBox22">
          <controlPr defaultSize="0" autoLine="0" linkedCell="ct_lab5" r:id="rId11">
            <anchor>
              <from>
                <xdr:col>23</xdr:col>
                <xdr:colOff>365760</xdr:colOff>
                <xdr:row>19</xdr:row>
                <xdr:rowOff>68580</xdr:rowOff>
              </from>
              <to>
                <xdr:col>24</xdr:col>
                <xdr:colOff>457200</xdr:colOff>
                <xdr:row>20</xdr:row>
                <xdr:rowOff>144780</xdr:rowOff>
              </to>
            </anchor>
          </controlPr>
        </control>
      </mc:Choice>
      <mc:Fallback>
        <control shapeId="7220" r:id="rId10" name="TextBox22"/>
      </mc:Fallback>
    </mc:AlternateContent>
    <mc:AlternateContent xmlns:mc="http://schemas.openxmlformats.org/markup-compatibility/2006">
      <mc:Choice Requires="x14">
        <control shapeId="7219" r:id="rId12" name="TextBox21">
          <controlPr defaultSize="0" autoLine="0" linkedCell="ct_key1" r:id="rId13">
            <anchor>
              <from>
                <xdr:col>15</xdr:col>
                <xdr:colOff>441960</xdr:colOff>
                <xdr:row>19</xdr:row>
                <xdr:rowOff>0</xdr:rowOff>
              </from>
              <to>
                <xdr:col>19</xdr:col>
                <xdr:colOff>335280</xdr:colOff>
                <xdr:row>21</xdr:row>
                <xdr:rowOff>0</xdr:rowOff>
              </to>
            </anchor>
          </controlPr>
        </control>
      </mc:Choice>
      <mc:Fallback>
        <control shapeId="7219" r:id="rId12" name="TextBox21"/>
      </mc:Fallback>
    </mc:AlternateContent>
    <mc:AlternateContent xmlns:mc="http://schemas.openxmlformats.org/markup-compatibility/2006">
      <mc:Choice Requires="x14">
        <control shapeId="7218" r:id="rId14" name="TextBox20">
          <controlPr defaultSize="0" autoLine="0" linkedCell="ql_key2" r:id="rId15">
            <anchor>
              <from>
                <xdr:col>6</xdr:col>
                <xdr:colOff>45720</xdr:colOff>
                <xdr:row>19</xdr:row>
                <xdr:rowOff>0</xdr:rowOff>
              </from>
              <to>
                <xdr:col>8</xdr:col>
                <xdr:colOff>289560</xdr:colOff>
                <xdr:row>21</xdr:row>
                <xdr:rowOff>0</xdr:rowOff>
              </to>
            </anchor>
          </controlPr>
        </control>
      </mc:Choice>
      <mc:Fallback>
        <control shapeId="7218" r:id="rId14" name="TextBox20"/>
      </mc:Fallback>
    </mc:AlternateContent>
    <mc:AlternateContent xmlns:mc="http://schemas.openxmlformats.org/markup-compatibility/2006">
      <mc:Choice Requires="x14">
        <control shapeId="7217" r:id="rId16" name="TextBox19">
          <controlPr defaultSize="0" autoLine="0" linkedCell="Qual_key4" r:id="rId17">
            <anchor>
              <from>
                <xdr:col>10</xdr:col>
                <xdr:colOff>83820</xdr:colOff>
                <xdr:row>19</xdr:row>
                <xdr:rowOff>152400</xdr:rowOff>
              </from>
              <to>
                <xdr:col>11</xdr:col>
                <xdr:colOff>243840</xdr:colOff>
                <xdr:row>20</xdr:row>
                <xdr:rowOff>182880</xdr:rowOff>
              </to>
            </anchor>
          </controlPr>
        </control>
      </mc:Choice>
      <mc:Fallback>
        <control shapeId="7217" r:id="rId16" name="TextBox19"/>
      </mc:Fallback>
    </mc:AlternateContent>
    <mc:AlternateContent xmlns:mc="http://schemas.openxmlformats.org/markup-compatibility/2006">
      <mc:Choice Requires="x14">
        <control shapeId="7216" r:id="rId18" name="TextBox16">
          <controlPr defaultSize="0" autoLine="0" linkedCell="ql_key1" r:id="rId19">
            <anchor>
              <from>
                <xdr:col>3</xdr:col>
                <xdr:colOff>297180</xdr:colOff>
                <xdr:row>19</xdr:row>
                <xdr:rowOff>0</xdr:rowOff>
              </from>
              <to>
                <xdr:col>6</xdr:col>
                <xdr:colOff>0</xdr:colOff>
                <xdr:row>21</xdr:row>
                <xdr:rowOff>0</xdr:rowOff>
              </to>
            </anchor>
          </controlPr>
        </control>
      </mc:Choice>
      <mc:Fallback>
        <control shapeId="7216" r:id="rId18" name="TextBox16"/>
      </mc:Fallback>
    </mc:AlternateContent>
    <mc:AlternateContent xmlns:mc="http://schemas.openxmlformats.org/markup-compatibility/2006">
      <mc:Choice Requires="x14">
        <control shapeId="7215" r:id="rId20" name="TextBox9">
          <controlPr defaultSize="0" autoLine="0" linkedCell="Qn_key3" r:id="rId21">
            <anchor>
              <from>
                <xdr:col>9</xdr:col>
                <xdr:colOff>99060</xdr:colOff>
                <xdr:row>15</xdr:row>
                <xdr:rowOff>99060</xdr:rowOff>
              </from>
              <to>
                <xdr:col>13</xdr:col>
                <xdr:colOff>7620</xdr:colOff>
                <xdr:row>17</xdr:row>
                <xdr:rowOff>45720</xdr:rowOff>
              </to>
            </anchor>
          </controlPr>
        </control>
      </mc:Choice>
      <mc:Fallback>
        <control shapeId="7215" r:id="rId20" name="TextBox9"/>
      </mc:Fallback>
    </mc:AlternateContent>
    <mc:AlternateContent xmlns:mc="http://schemas.openxmlformats.org/markup-compatibility/2006">
      <mc:Choice Requires="x14">
        <control shapeId="7214" r:id="rId22" name="TextBox7">
          <controlPr defaultSize="0" autoLine="0" linkedCell="quan_lab1" r:id="rId23">
            <anchor>
              <from>
                <xdr:col>11</xdr:col>
                <xdr:colOff>114300</xdr:colOff>
                <xdr:row>4</xdr:row>
                <xdr:rowOff>76200</xdr:rowOff>
              </from>
              <to>
                <xdr:col>12</xdr:col>
                <xdr:colOff>388620</xdr:colOff>
                <xdr:row>5</xdr:row>
                <xdr:rowOff>152400</xdr:rowOff>
              </to>
            </anchor>
          </controlPr>
        </control>
      </mc:Choice>
      <mc:Fallback>
        <control shapeId="7214" r:id="rId22" name="TextBox7"/>
      </mc:Fallback>
    </mc:AlternateContent>
    <mc:AlternateContent xmlns:mc="http://schemas.openxmlformats.org/markup-compatibility/2006">
      <mc:Choice Requires="x14">
        <control shapeId="7211" r:id="rId24" name="for_lab4">
          <controlPr defaultSize="0" autoLine="0" linkedCell="for_lab4" r:id="rId25">
            <anchor>
              <from>
                <xdr:col>14</xdr:col>
                <xdr:colOff>7620</xdr:colOff>
                <xdr:row>15</xdr:row>
                <xdr:rowOff>30480</xdr:rowOff>
              </from>
              <to>
                <xdr:col>16</xdr:col>
                <xdr:colOff>220980</xdr:colOff>
                <xdr:row>18</xdr:row>
                <xdr:rowOff>30480</xdr:rowOff>
              </to>
            </anchor>
          </controlPr>
        </control>
      </mc:Choice>
      <mc:Fallback>
        <control shapeId="7211" r:id="rId24" name="for_lab4"/>
      </mc:Fallback>
    </mc:AlternateContent>
    <mc:AlternateContent xmlns:mc="http://schemas.openxmlformats.org/markup-compatibility/2006">
      <mc:Choice Requires="x14">
        <control shapeId="7210" r:id="rId26" name="for_lab3">
          <controlPr defaultSize="0" autoLine="0" linkedCell="for_lab3" r:id="rId27">
            <anchor>
              <from>
                <xdr:col>18</xdr:col>
                <xdr:colOff>419100</xdr:colOff>
                <xdr:row>15</xdr:row>
                <xdr:rowOff>30480</xdr:rowOff>
              </from>
              <to>
                <xdr:col>20</xdr:col>
                <xdr:colOff>198120</xdr:colOff>
                <xdr:row>18</xdr:row>
                <xdr:rowOff>45720</xdr:rowOff>
              </to>
            </anchor>
          </controlPr>
        </control>
      </mc:Choice>
      <mc:Fallback>
        <control shapeId="7210" r:id="rId26" name="for_lab3"/>
      </mc:Fallback>
    </mc:AlternateContent>
    <mc:AlternateContent xmlns:mc="http://schemas.openxmlformats.org/markup-compatibility/2006">
      <mc:Choice Requires="x14">
        <control shapeId="7208" r:id="rId28" name="For_lab2">
          <controlPr defaultSize="0" autoLine="0" linkedCell="for_lab2" r:id="rId29">
            <anchor>
              <from>
                <xdr:col>14</xdr:col>
                <xdr:colOff>30480</xdr:colOff>
                <xdr:row>8</xdr:row>
                <xdr:rowOff>22860</xdr:rowOff>
              </from>
              <to>
                <xdr:col>16</xdr:col>
                <xdr:colOff>243840</xdr:colOff>
                <xdr:row>11</xdr:row>
                <xdr:rowOff>30480</xdr:rowOff>
              </to>
            </anchor>
          </controlPr>
        </control>
      </mc:Choice>
      <mc:Fallback>
        <control shapeId="7208" r:id="rId28" name="For_lab2"/>
      </mc:Fallback>
    </mc:AlternateContent>
    <mc:AlternateContent xmlns:mc="http://schemas.openxmlformats.org/markup-compatibility/2006">
      <mc:Choice Requires="x14">
        <control shapeId="7207" r:id="rId30" name="for_lab1">
          <controlPr defaultSize="0" autoLine="0" linkedCell="for_lab1" r:id="rId31">
            <anchor>
              <from>
                <xdr:col>19</xdr:col>
                <xdr:colOff>0</xdr:colOff>
                <xdr:row>8</xdr:row>
                <xdr:rowOff>22860</xdr:rowOff>
              </from>
              <to>
                <xdr:col>21</xdr:col>
                <xdr:colOff>53340</xdr:colOff>
                <xdr:row>11</xdr:row>
                <xdr:rowOff>30480</xdr:rowOff>
              </to>
            </anchor>
          </controlPr>
        </control>
      </mc:Choice>
      <mc:Fallback>
        <control shapeId="7207" r:id="rId30" name="for_lab1"/>
      </mc:Fallback>
    </mc:AlternateContent>
    <mc:AlternateContent xmlns:mc="http://schemas.openxmlformats.org/markup-compatibility/2006">
      <mc:Choice Requires="x14">
        <control shapeId="7169" r:id="rId32" name="One-year-fore">
          <controlPr defaultSize="0" autoLine="0" linkedCell="for_1_value" r:id="rId33">
            <anchor>
              <from>
                <xdr:col>14</xdr:col>
                <xdr:colOff>30480</xdr:colOff>
                <xdr:row>8</xdr:row>
                <xdr:rowOff>0</xdr:rowOff>
              </from>
              <to>
                <xdr:col>22</xdr:col>
                <xdr:colOff>7620</xdr:colOff>
                <xdr:row>10</xdr:row>
                <xdr:rowOff>91440</xdr:rowOff>
              </to>
            </anchor>
          </controlPr>
        </control>
      </mc:Choice>
      <mc:Fallback>
        <control shapeId="7169" r:id="rId32" name="One-year-fore"/>
      </mc:Fallback>
    </mc:AlternateContent>
    <mc:AlternateContent xmlns:mc="http://schemas.openxmlformats.org/markup-compatibility/2006">
      <mc:Choice Requires="x14">
        <control shapeId="7170" r:id="rId34" name="ComboBox1">
          <controlPr locked="0" defaultSize="0" autoLine="0" linkedCell="chosen_phase" listFillRange="Phases" r:id="rId35">
            <anchor>
              <from>
                <xdr:col>11</xdr:col>
                <xdr:colOff>106680</xdr:colOff>
                <xdr:row>1</xdr:row>
                <xdr:rowOff>45720</xdr:rowOff>
              </from>
              <to>
                <xdr:col>15</xdr:col>
                <xdr:colOff>381000</xdr:colOff>
                <xdr:row>2</xdr:row>
                <xdr:rowOff>182880</xdr:rowOff>
              </to>
            </anchor>
          </controlPr>
        </control>
      </mc:Choice>
      <mc:Fallback>
        <control shapeId="7170" r:id="rId34" name="ComboBox1"/>
      </mc:Fallback>
    </mc:AlternateContent>
    <mc:AlternateContent xmlns:mc="http://schemas.openxmlformats.org/markup-compatibility/2006">
      <mc:Choice Requires="x14">
        <control shapeId="7171" r:id="rId36" name="ComboBox2">
          <controlPr locked="0" defaultSize="0" autoLine="0" linkedCell="chosen_LA" listFillRange="Authorities" r:id="rId37">
            <anchor>
              <from>
                <xdr:col>4</xdr:col>
                <xdr:colOff>45720</xdr:colOff>
                <xdr:row>1</xdr:row>
                <xdr:rowOff>45720</xdr:rowOff>
              </from>
              <to>
                <xdr:col>10</xdr:col>
                <xdr:colOff>441960</xdr:colOff>
                <xdr:row>2</xdr:row>
                <xdr:rowOff>190500</xdr:rowOff>
              </to>
            </anchor>
          </controlPr>
        </control>
      </mc:Choice>
      <mc:Fallback>
        <control shapeId="7171" r:id="rId36" name="ComboBox2"/>
      </mc:Fallback>
    </mc:AlternateContent>
    <mc:AlternateContent xmlns:mc="http://schemas.openxmlformats.org/markup-compatibility/2006">
      <mc:Choice Requires="x14">
        <control shapeId="7172" r:id="rId38" name="Three-year-fore">
          <controlPr defaultSize="0" autoLine="0" linkedCell="for_3_value" r:id="rId39">
            <anchor>
              <from>
                <xdr:col>14</xdr:col>
                <xdr:colOff>30480</xdr:colOff>
                <xdr:row>15</xdr:row>
                <xdr:rowOff>60960</xdr:rowOff>
              </from>
              <to>
                <xdr:col>22</xdr:col>
                <xdr:colOff>7620</xdr:colOff>
                <xdr:row>19</xdr:row>
                <xdr:rowOff>7620</xdr:rowOff>
              </to>
            </anchor>
          </controlPr>
        </control>
      </mc:Choice>
      <mc:Fallback>
        <control shapeId="7172" r:id="rId38" name="Three-year-fore"/>
      </mc:Fallback>
    </mc:AlternateContent>
    <mc:AlternateContent xmlns:mc="http://schemas.openxmlformats.org/markup-compatibility/2006">
      <mc:Choice Requires="x14">
        <control shapeId="7174" r:id="rId40" name="TextBox8">
          <controlPr defaultSize="0" autoLine="0" linkedCell="BNfunding" r:id="rId41">
            <anchor>
              <from>
                <xdr:col>16</xdr:col>
                <xdr:colOff>0</xdr:colOff>
                <xdr:row>1</xdr:row>
                <xdr:rowOff>45720</xdr:rowOff>
              </from>
              <to>
                <xdr:col>18</xdr:col>
                <xdr:colOff>160020</xdr:colOff>
                <xdr:row>2</xdr:row>
                <xdr:rowOff>182880</xdr:rowOff>
              </to>
            </anchor>
          </controlPr>
        </control>
      </mc:Choice>
      <mc:Fallback>
        <control shapeId="7174" r:id="rId40" name="TextBox8"/>
      </mc:Fallback>
    </mc:AlternateContent>
    <mc:AlternateContent xmlns:mc="http://schemas.openxmlformats.org/markup-compatibility/2006">
      <mc:Choice Requires="x14">
        <control shapeId="7175" r:id="rId42" name="TextBox11">
          <controlPr defaultSize="0" autoLine="0" linkedCell="Pupil_Growth" r:id="rId43">
            <anchor>
              <from>
                <xdr:col>20</xdr:col>
                <xdr:colOff>175260</xdr:colOff>
                <xdr:row>1</xdr:row>
                <xdr:rowOff>45720</xdr:rowOff>
              </from>
              <to>
                <xdr:col>23</xdr:col>
                <xdr:colOff>198120</xdr:colOff>
                <xdr:row>2</xdr:row>
                <xdr:rowOff>182880</xdr:rowOff>
              </to>
            </anchor>
          </controlPr>
        </control>
      </mc:Choice>
      <mc:Fallback>
        <control shapeId="7175" r:id="rId42" name="TextBox11"/>
      </mc:Fallback>
    </mc:AlternateContent>
    <mc:AlternateContent xmlns:mc="http://schemas.openxmlformats.org/markup-compatibility/2006">
      <mc:Choice Requires="x14">
        <control shapeId="7178" r:id="rId44" name="TextBox13">
          <controlPr defaultSize="0" autoLine="0" linkedCell="Qn_key1" r:id="rId45">
            <anchor>
              <from>
                <xdr:col>2</xdr:col>
                <xdr:colOff>182880</xdr:colOff>
                <xdr:row>15</xdr:row>
                <xdr:rowOff>99060</xdr:rowOff>
              </from>
              <to>
                <xdr:col>5</xdr:col>
                <xdr:colOff>182880</xdr:colOff>
                <xdr:row>17</xdr:row>
                <xdr:rowOff>45720</xdr:rowOff>
              </to>
            </anchor>
          </controlPr>
        </control>
      </mc:Choice>
      <mc:Fallback>
        <control shapeId="7178" r:id="rId44" name="TextBox13"/>
      </mc:Fallback>
    </mc:AlternateContent>
    <mc:AlternateContent xmlns:mc="http://schemas.openxmlformats.org/markup-compatibility/2006">
      <mc:Choice Requires="x14">
        <control shapeId="7179" r:id="rId46" name="TextBox14">
          <controlPr defaultSize="0" autoLine="0" linkedCell="Qn_key2" r:id="rId47">
            <anchor>
              <from>
                <xdr:col>5</xdr:col>
                <xdr:colOff>381000</xdr:colOff>
                <xdr:row>15</xdr:row>
                <xdr:rowOff>99060</xdr:rowOff>
              </from>
              <to>
                <xdr:col>8</xdr:col>
                <xdr:colOff>358140</xdr:colOff>
                <xdr:row>17</xdr:row>
                <xdr:rowOff>45720</xdr:rowOff>
              </to>
            </anchor>
          </controlPr>
        </control>
      </mc:Choice>
      <mc:Fallback>
        <control shapeId="7179" r:id="rId46" name="TextBox14"/>
      </mc:Fallback>
    </mc:AlternateContent>
    <mc:AlternateContent xmlns:mc="http://schemas.openxmlformats.org/markup-compatibility/2006">
      <mc:Choice Requires="x14">
        <control shapeId="7181" r:id="rId48" name="ComboBox3">
          <controlPr locked="0" defaultSize="0" autoLine="0" linkedCell="Chosen_Qual" listFillRange="Qual_mets" r:id="rId49">
            <anchor>
              <from>
                <xdr:col>8</xdr:col>
                <xdr:colOff>381000</xdr:colOff>
                <xdr:row>21</xdr:row>
                <xdr:rowOff>0</xdr:rowOff>
              </from>
              <to>
                <xdr:col>12</xdr:col>
                <xdr:colOff>411480</xdr:colOff>
                <xdr:row>22</xdr:row>
                <xdr:rowOff>68580</xdr:rowOff>
              </to>
            </anchor>
          </controlPr>
        </control>
      </mc:Choice>
      <mc:Fallback>
        <control shapeId="7181" r:id="rId48" name="ComboBox3"/>
      </mc:Fallback>
    </mc:AlternateContent>
    <mc:AlternateContent xmlns:mc="http://schemas.openxmlformats.org/markup-compatibility/2006">
      <mc:Choice Requires="x14">
        <control shapeId="7182" r:id="rId50" name="TextBox1">
          <controlPr defaultSize="0" autoLine="0" linkedCell="NS_desc" r:id="rId51">
            <anchor>
              <from>
                <xdr:col>22</xdr:col>
                <xdr:colOff>114300</xdr:colOff>
                <xdr:row>21</xdr:row>
                <xdr:rowOff>30480</xdr:rowOff>
              </from>
              <to>
                <xdr:col>24</xdr:col>
                <xdr:colOff>411480</xdr:colOff>
                <xdr:row>22</xdr:row>
                <xdr:rowOff>30480</xdr:rowOff>
              </to>
            </anchor>
          </controlPr>
        </control>
      </mc:Choice>
      <mc:Fallback>
        <control shapeId="7182" r:id="rId50" name="TextBox1"/>
      </mc:Fallback>
    </mc:AlternateContent>
    <mc:AlternateContent xmlns:mc="http://schemas.openxmlformats.org/markup-compatibility/2006">
      <mc:Choice Requires="x14">
        <control shapeId="7183" r:id="rId52" name="TextBox2">
          <controlPr defaultSize="0" autoLine="0" linkedCell="ET_desc" r:id="rId53">
            <anchor>
              <from>
                <xdr:col>17</xdr:col>
                <xdr:colOff>441960</xdr:colOff>
                <xdr:row>21</xdr:row>
                <xdr:rowOff>30480</xdr:rowOff>
              </from>
              <to>
                <xdr:col>22</xdr:col>
                <xdr:colOff>129540</xdr:colOff>
                <xdr:row>22</xdr:row>
                <xdr:rowOff>30480</xdr:rowOff>
              </to>
            </anchor>
          </controlPr>
        </control>
      </mc:Choice>
      <mc:Fallback>
        <control shapeId="7183" r:id="rId52" name="TextBox2"/>
      </mc:Fallback>
    </mc:AlternateContent>
    <mc:AlternateContent xmlns:mc="http://schemas.openxmlformats.org/markup-compatibility/2006">
      <mc:Choice Requires="x14">
        <control shapeId="7184" r:id="rId54" name="TextBox3">
          <controlPr defaultSize="0" autoLine="0" linkedCell="EP_desc" r:id="rId55">
            <anchor>
              <from>
                <xdr:col>15</xdr:col>
                <xdr:colOff>22860</xdr:colOff>
                <xdr:row>21</xdr:row>
                <xdr:rowOff>30480</xdr:rowOff>
              </from>
              <to>
                <xdr:col>18</xdr:col>
                <xdr:colOff>45720</xdr:colOff>
                <xdr:row>22</xdr:row>
                <xdr:rowOff>30480</xdr:rowOff>
              </to>
            </anchor>
          </controlPr>
        </control>
      </mc:Choice>
      <mc:Fallback>
        <control shapeId="7184" r:id="rId54" name="TextBox3"/>
      </mc:Fallback>
    </mc:AlternateContent>
    <mc:AlternateContent xmlns:mc="http://schemas.openxmlformats.org/markup-compatibility/2006">
      <mc:Choice Requires="x14">
        <control shapeId="7188" r:id="rId56" name="TextBox17">
          <controlPr defaultSize="0" autoLine="0" linkedCell="PG_lab" r:id="rId57">
            <anchor>
              <from>
                <xdr:col>23</xdr:col>
                <xdr:colOff>228600</xdr:colOff>
                <xdr:row>1</xdr:row>
                <xdr:rowOff>0</xdr:rowOff>
              </from>
              <to>
                <xdr:col>26</xdr:col>
                <xdr:colOff>0</xdr:colOff>
                <xdr:row>3</xdr:row>
                <xdr:rowOff>0</xdr:rowOff>
              </to>
            </anchor>
          </controlPr>
        </control>
      </mc:Choice>
      <mc:Fallback>
        <control shapeId="7188" r:id="rId56" name="TextBox17"/>
      </mc:Fallback>
    </mc:AlternateContent>
    <mc:AlternateContent xmlns:mc="http://schemas.openxmlformats.org/markup-compatibility/2006">
      <mc:Choice Requires="x14">
        <control shapeId="7189" r:id="rId58" name="TextBox18">
          <controlPr defaultSize="0" autoLine="0" linkedCell="Funding_lab1" r:id="rId59">
            <anchor>
              <from>
                <xdr:col>18</xdr:col>
                <xdr:colOff>175260</xdr:colOff>
                <xdr:row>1</xdr:row>
                <xdr:rowOff>0</xdr:rowOff>
              </from>
              <to>
                <xdr:col>21</xdr:col>
                <xdr:colOff>15240</xdr:colOff>
                <xdr:row>3</xdr:row>
                <xdr:rowOff>0</xdr:rowOff>
              </to>
            </anchor>
          </controlPr>
        </control>
      </mc:Choice>
      <mc:Fallback>
        <control shapeId="7189" r:id="rId58" name="TextBox18"/>
      </mc:Fallback>
    </mc:AlternateContent>
    <mc:AlternateContent xmlns:mc="http://schemas.openxmlformats.org/markup-compatibility/2006">
      <mc:Choice Requires="x14">
        <control shapeId="7205" r:id="rId60" name="TextBox31">
          <controlPr defaultSize="0" autoLine="0" linkedCell="cost_lab1" r:id="rId61">
            <anchor>
              <from>
                <xdr:col>15</xdr:col>
                <xdr:colOff>22860</xdr:colOff>
                <xdr:row>32</xdr:row>
                <xdr:rowOff>22860</xdr:rowOff>
              </from>
              <to>
                <xdr:col>17</xdr:col>
                <xdr:colOff>129540</xdr:colOff>
                <xdr:row>33</xdr:row>
                <xdr:rowOff>30480</xdr:rowOff>
              </to>
            </anchor>
          </controlPr>
        </control>
      </mc:Choice>
      <mc:Fallback>
        <control shapeId="7205" r:id="rId60" name="TextBox31"/>
      </mc:Fallback>
    </mc:AlternateContent>
    <mc:AlternateContent xmlns:mc="http://schemas.openxmlformats.org/markup-compatibility/2006">
      <mc:Choice Requires="x14">
        <control shapeId="7212" r:id="rId62" name="TextBox6">
          <controlPr defaultSize="0" autoLine="0" linkedCell="cost_lab2" r:id="rId63">
            <anchor>
              <from>
                <xdr:col>17</xdr:col>
                <xdr:colOff>441960</xdr:colOff>
                <xdr:row>32</xdr:row>
                <xdr:rowOff>22860</xdr:rowOff>
              </from>
              <to>
                <xdr:col>20</xdr:col>
                <xdr:colOff>91440</xdr:colOff>
                <xdr:row>33</xdr:row>
                <xdr:rowOff>22860</xdr:rowOff>
              </to>
            </anchor>
          </controlPr>
        </control>
      </mc:Choice>
      <mc:Fallback>
        <control shapeId="7212" r:id="rId62" name="TextBox6"/>
      </mc:Fallback>
    </mc:AlternateContent>
    <mc:AlternateContent xmlns:mc="http://schemas.openxmlformats.org/markup-compatibility/2006">
      <mc:Choice Requires="x14">
        <control shapeId="7213" r:id="rId64" name="TextBox10">
          <controlPr defaultSize="0" autoLine="0" linkedCell="cost_lab3" r:id="rId65">
            <anchor>
              <from>
                <xdr:col>22</xdr:col>
                <xdr:colOff>114300</xdr:colOff>
                <xdr:row>32</xdr:row>
                <xdr:rowOff>22860</xdr:rowOff>
              </from>
              <to>
                <xdr:col>24</xdr:col>
                <xdr:colOff>38100</xdr:colOff>
                <xdr:row>33</xdr:row>
                <xdr:rowOff>22860</xdr:rowOff>
              </to>
            </anchor>
          </controlPr>
        </control>
      </mc:Choice>
      <mc:Fallback>
        <control shapeId="7213" r:id="rId64" name="TextBox10"/>
      </mc:Fallback>
    </mc:AlternateContent>
    <mc:AlternateContent xmlns:mc="http://schemas.openxmlformats.org/markup-compatibility/2006">
      <mc:Choice Requires="x14">
        <control shapeId="7221" r:id="rId66" name="TextBox15">
          <controlPr defaultSize="0" autoLine="0" linkedCell="Qn_key3" r:id="rId67">
            <anchor>
              <from>
                <xdr:col>8</xdr:col>
                <xdr:colOff>99060</xdr:colOff>
                <xdr:row>4</xdr:row>
                <xdr:rowOff>0</xdr:rowOff>
              </from>
              <to>
                <xdr:col>11</xdr:col>
                <xdr:colOff>7620</xdr:colOff>
                <xdr:row>6</xdr:row>
                <xdr:rowOff>0</xdr:rowOff>
              </to>
            </anchor>
          </controlPr>
        </control>
      </mc:Choice>
      <mc:Fallback>
        <control shapeId="7221" r:id="rId66" name="TextBox15"/>
      </mc:Fallback>
    </mc:AlternateContent>
    <mc:AlternateContent xmlns:mc="http://schemas.openxmlformats.org/markup-compatibility/2006">
      <mc:Choice Requires="x14">
        <control shapeId="7222" r:id="rId68" name="TextBox23">
          <controlPr defaultSize="0" autoLine="0" linkedCell="qn_lab2" r:id="rId69">
            <anchor>
              <from>
                <xdr:col>4</xdr:col>
                <xdr:colOff>0</xdr:colOff>
                <xdr:row>4</xdr:row>
                <xdr:rowOff>0</xdr:rowOff>
              </from>
              <to>
                <xdr:col>8</xdr:col>
                <xdr:colOff>91440</xdr:colOff>
                <xdr:row>6</xdr:row>
                <xdr:rowOff>0</xdr:rowOff>
              </to>
            </anchor>
          </controlPr>
        </control>
      </mc:Choice>
      <mc:Fallback>
        <control shapeId="7222" r:id="rId68" name="TextBox23"/>
      </mc:Fallback>
    </mc:AlternateContent>
    <mc:AlternateContent xmlns:mc="http://schemas.openxmlformats.org/markup-compatibility/2006">
      <mc:Choice Requires="x14">
        <control shapeId="7224" r:id="rId70" name="TextBox24">
          <controlPr defaultSize="0" autoLine="0" linkedCell="Qual_key5" r:id="rId71">
            <anchor>
              <from>
                <xdr:col>11</xdr:col>
                <xdr:colOff>289560</xdr:colOff>
                <xdr:row>19</xdr:row>
                <xdr:rowOff>152400</xdr:rowOff>
              </from>
              <to>
                <xdr:col>12</xdr:col>
                <xdr:colOff>449580</xdr:colOff>
                <xdr:row>20</xdr:row>
                <xdr:rowOff>182880</xdr:rowOff>
              </to>
            </anchor>
          </controlPr>
        </control>
      </mc:Choice>
      <mc:Fallback>
        <control shapeId="7224" r:id="rId70" name="TextBox24"/>
      </mc:Fallback>
    </mc:AlternateContent>
    <mc:AlternateContent xmlns:mc="http://schemas.openxmlformats.org/markup-compatibility/2006">
      <mc:Choice Requires="x14">
        <control shapeId="7225" r:id="rId72" name="TextBox25">
          <controlPr defaultSize="0" autoLine="0" linkedCell="ql_lab8" r:id="rId73">
            <anchor>
              <from>
                <xdr:col>10</xdr:col>
                <xdr:colOff>137160</xdr:colOff>
                <xdr:row>19</xdr:row>
                <xdr:rowOff>0</xdr:rowOff>
              </from>
              <to>
                <xdr:col>11</xdr:col>
                <xdr:colOff>182880</xdr:colOff>
                <xdr:row>20</xdr:row>
                <xdr:rowOff>0</xdr:rowOff>
              </to>
            </anchor>
          </controlPr>
        </control>
      </mc:Choice>
      <mc:Fallback>
        <control shapeId="7225" r:id="rId72" name="TextBox25"/>
      </mc:Fallback>
    </mc:AlternateContent>
    <mc:AlternateContent xmlns:mc="http://schemas.openxmlformats.org/markup-compatibility/2006">
      <mc:Choice Requires="x14">
        <control shapeId="7226" r:id="rId74" name="TextBox26">
          <controlPr defaultSize="0" autoLine="0" linkedCell="ql_lab9" r:id="rId75">
            <anchor>
              <from>
                <xdr:col>8</xdr:col>
                <xdr:colOff>403860</xdr:colOff>
                <xdr:row>19</xdr:row>
                <xdr:rowOff>0</xdr:rowOff>
              </from>
              <to>
                <xdr:col>10</xdr:col>
                <xdr:colOff>7620</xdr:colOff>
                <xdr:row>20</xdr:row>
                <xdr:rowOff>0</xdr:rowOff>
              </to>
            </anchor>
          </controlPr>
        </control>
      </mc:Choice>
      <mc:Fallback>
        <control shapeId="7226" r:id="rId74" name="TextBox26"/>
      </mc:Fallback>
    </mc:AlternateContent>
    <mc:AlternateContent xmlns:mc="http://schemas.openxmlformats.org/markup-compatibility/2006">
      <mc:Choice Requires="x14">
        <control shapeId="7227" r:id="rId76" name="TextBox27">
          <controlPr defaultSize="0" autoLine="0" linkedCell="ct_lab6" r:id="rId77">
            <anchor>
              <from>
                <xdr:col>19</xdr:col>
                <xdr:colOff>419100</xdr:colOff>
                <xdr:row>19</xdr:row>
                <xdr:rowOff>0</xdr:rowOff>
              </from>
              <to>
                <xdr:col>23</xdr:col>
                <xdr:colOff>304800</xdr:colOff>
                <xdr:row>21</xdr:row>
                <xdr:rowOff>0</xdr:rowOff>
              </to>
            </anchor>
          </controlPr>
        </control>
      </mc:Choice>
      <mc:Fallback>
        <control shapeId="7227" r:id="rId76" name="TextBox27"/>
      </mc:Fallback>
    </mc:AlternateContent>
    <mc:AlternateContent xmlns:mc="http://schemas.openxmlformats.org/markup-compatibility/2006">
      <mc:Choice Requires="x14">
        <control shapeId="7232" r:id="rId78" name="TextBox12">
          <controlPr defaultSize="0" autoLine="0" linkedCell="New" r:id="rId79">
            <anchor>
              <from>
                <xdr:col>3</xdr:col>
                <xdr:colOff>30480</xdr:colOff>
                <xdr:row>22</xdr:row>
                <xdr:rowOff>99060</xdr:rowOff>
              </from>
              <to>
                <xdr:col>4</xdr:col>
                <xdr:colOff>91440</xdr:colOff>
                <xdr:row>24</xdr:row>
                <xdr:rowOff>83820</xdr:rowOff>
              </to>
            </anchor>
          </controlPr>
        </control>
      </mc:Choice>
      <mc:Fallback>
        <control shapeId="7232" r:id="rId78" name="TextBox12"/>
      </mc:Fallback>
    </mc:AlternateContent>
    <mc:AlternateContent xmlns:mc="http://schemas.openxmlformats.org/markup-compatibility/2006">
      <mc:Choice Requires="x14">
        <control shapeId="7233" r:id="rId80" name="TextBox30">
          <controlPr defaultSize="0" autoLine="0" linkedCell="New" r:id="rId81">
            <anchor>
              <from>
                <xdr:col>3</xdr:col>
                <xdr:colOff>30480</xdr:colOff>
                <xdr:row>26</xdr:row>
                <xdr:rowOff>60960</xdr:rowOff>
              </from>
              <to>
                <xdr:col>4</xdr:col>
                <xdr:colOff>91440</xdr:colOff>
                <xdr:row>28</xdr:row>
                <xdr:rowOff>53340</xdr:rowOff>
              </to>
            </anchor>
          </controlPr>
        </control>
      </mc:Choice>
      <mc:Fallback>
        <control shapeId="7233" r:id="rId80" name="TextBox30"/>
      </mc:Fallback>
    </mc:AlternateContent>
    <mc:AlternateContent xmlns:mc="http://schemas.openxmlformats.org/markup-compatibility/2006">
      <mc:Choice Requires="x14">
        <control shapeId="7234" r:id="rId82" name="TextBox32">
          <controlPr defaultSize="0" autoLine="0" linkedCell="Existing" r:id="rId83">
            <anchor>
              <from>
                <xdr:col>3</xdr:col>
                <xdr:colOff>30480</xdr:colOff>
                <xdr:row>28</xdr:row>
                <xdr:rowOff>45720</xdr:rowOff>
              </from>
              <to>
                <xdr:col>4</xdr:col>
                <xdr:colOff>91440</xdr:colOff>
                <xdr:row>30</xdr:row>
                <xdr:rowOff>30480</xdr:rowOff>
              </to>
            </anchor>
          </controlPr>
        </control>
      </mc:Choice>
      <mc:Fallback>
        <control shapeId="7234" r:id="rId82" name="TextBox32"/>
      </mc:Fallback>
    </mc:AlternateContent>
    <mc:AlternateContent xmlns:mc="http://schemas.openxmlformats.org/markup-compatibility/2006">
      <mc:Choice Requires="x14">
        <control shapeId="7235" r:id="rId84" name="TextBox33">
          <controlPr defaultSize="0" autoLine="0" linkedCell="Existing" r:id="rId85">
            <anchor>
              <from>
                <xdr:col>3</xdr:col>
                <xdr:colOff>30480</xdr:colOff>
                <xdr:row>24</xdr:row>
                <xdr:rowOff>76200</xdr:rowOff>
              </from>
              <to>
                <xdr:col>4</xdr:col>
                <xdr:colOff>91440</xdr:colOff>
                <xdr:row>26</xdr:row>
                <xdr:rowOff>60960</xdr:rowOff>
              </to>
            </anchor>
          </controlPr>
        </control>
      </mc:Choice>
      <mc:Fallback>
        <control shapeId="7235" r:id="rId84" name="TextBox33"/>
      </mc:Fallback>
    </mc:AlternateContent>
    <mc:AlternateContent xmlns:mc="http://schemas.openxmlformats.org/markup-compatibility/2006">
      <mc:Choice Requires="x14">
        <control shapeId="7238" r:id="rId86" name="TextBox35">
          <controlPr defaultSize="0" autoLine="0" linkedCell="Pref_lab1" r:id="rId87">
            <anchor>
              <from>
                <xdr:col>22</xdr:col>
                <xdr:colOff>30480</xdr:colOff>
                <xdr:row>5</xdr:row>
                <xdr:rowOff>22860</xdr:rowOff>
              </from>
              <to>
                <xdr:col>25</xdr:col>
                <xdr:colOff>30480</xdr:colOff>
                <xdr:row>7</xdr:row>
                <xdr:rowOff>83820</xdr:rowOff>
              </to>
            </anchor>
          </controlPr>
        </control>
      </mc:Choice>
      <mc:Fallback>
        <control shapeId="7238" r:id="rId86" name="TextBox35"/>
      </mc:Fallback>
    </mc:AlternateContent>
    <mc:AlternateContent xmlns:mc="http://schemas.openxmlformats.org/markup-compatibility/2006">
      <mc:Choice Requires="x14">
        <control shapeId="7239" r:id="rId88" name="TextBox36">
          <controlPr defaultSize="0" autoLine="0" linkedCell="Pref_T3" r:id="rId89">
            <anchor>
              <from>
                <xdr:col>23</xdr:col>
                <xdr:colOff>533400</xdr:colOff>
                <xdr:row>9</xdr:row>
                <xdr:rowOff>60960</xdr:rowOff>
              </from>
              <to>
                <xdr:col>24</xdr:col>
                <xdr:colOff>480060</xdr:colOff>
                <xdr:row>10</xdr:row>
                <xdr:rowOff>137160</xdr:rowOff>
              </to>
            </anchor>
          </controlPr>
        </control>
      </mc:Choice>
      <mc:Fallback>
        <control shapeId="7239" r:id="rId88" name="TextBox36"/>
      </mc:Fallback>
    </mc:AlternateContent>
    <mc:AlternateContent xmlns:mc="http://schemas.openxmlformats.org/markup-compatibility/2006">
      <mc:Choice Requires="x14">
        <control shapeId="7241" r:id="rId90" name="TextBox37">
          <controlPr defaultSize="0" autoLine="0" linkedCell="chosen_LA" r:id="rId91">
            <anchor>
              <from>
                <xdr:col>22</xdr:col>
                <xdr:colOff>30480</xdr:colOff>
                <xdr:row>9</xdr:row>
                <xdr:rowOff>60960</xdr:rowOff>
              </from>
              <to>
                <xdr:col>23</xdr:col>
                <xdr:colOff>487680</xdr:colOff>
                <xdr:row>10</xdr:row>
                <xdr:rowOff>137160</xdr:rowOff>
              </to>
            </anchor>
          </controlPr>
        </control>
      </mc:Choice>
      <mc:Fallback>
        <control shapeId="7241" r:id="rId90" name="TextBox37"/>
      </mc:Fallback>
    </mc:AlternateContent>
    <mc:AlternateContent xmlns:mc="http://schemas.openxmlformats.org/markup-compatibility/2006">
      <mc:Choice Requires="x14">
        <control shapeId="7242" r:id="rId92" name="TextBox38">
          <controlPr defaultSize="0" autoLine="0" linkedCell="Pref_eng" r:id="rId93">
            <anchor>
              <from>
                <xdr:col>23</xdr:col>
                <xdr:colOff>525780</xdr:colOff>
                <xdr:row>7</xdr:row>
                <xdr:rowOff>99060</xdr:rowOff>
              </from>
              <to>
                <xdr:col>24</xdr:col>
                <xdr:colOff>472440</xdr:colOff>
                <xdr:row>8</xdr:row>
                <xdr:rowOff>175260</xdr:rowOff>
              </to>
            </anchor>
          </controlPr>
        </control>
      </mc:Choice>
      <mc:Fallback>
        <control shapeId="7242" r:id="rId92" name="TextBox38"/>
      </mc:Fallback>
    </mc:AlternateContent>
    <mc:AlternateContent xmlns:mc="http://schemas.openxmlformats.org/markup-compatibility/2006">
      <mc:Choice Requires="x14">
        <control shapeId="7243" r:id="rId94" name="TextBox39">
          <controlPr defaultSize="0" autoLine="0" r:id="rId95">
            <anchor>
              <from>
                <xdr:col>22</xdr:col>
                <xdr:colOff>30480</xdr:colOff>
                <xdr:row>7</xdr:row>
                <xdr:rowOff>99060</xdr:rowOff>
              </from>
              <to>
                <xdr:col>23</xdr:col>
                <xdr:colOff>495300</xdr:colOff>
                <xdr:row>8</xdr:row>
                <xdr:rowOff>175260</xdr:rowOff>
              </to>
            </anchor>
          </controlPr>
        </control>
      </mc:Choice>
      <mc:Fallback>
        <control shapeId="7243" r:id="rId94" name="TextBox39"/>
      </mc:Fallback>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B153"/>
  <sheetViews>
    <sheetView topLeftCell="B1" workbookViewId="0">
      <selection activeCell="F9" sqref="F9"/>
    </sheetView>
  </sheetViews>
  <sheetFormatPr defaultRowHeight="14.4" x14ac:dyDescent="0.3"/>
  <cols>
    <col min="1" max="1" width="9.5546875" customWidth="1"/>
    <col min="2" max="2" width="25.88671875" customWidth="1"/>
    <col min="3" max="3" width="9.44140625" bestFit="1" customWidth="1"/>
    <col min="4" max="4" width="14.5546875" style="24" bestFit="1" customWidth="1"/>
    <col min="5" max="5" width="25.88671875" customWidth="1"/>
    <col min="6" max="6" width="12.6640625" bestFit="1" customWidth="1"/>
    <col min="7" max="7" width="12.6640625" style="24" customWidth="1"/>
    <col min="9" max="9" width="8.88671875" style="24"/>
    <col min="11" max="11" width="19.109375" bestFit="1" customWidth="1"/>
    <col min="12" max="12" width="21.6640625" customWidth="1"/>
    <col min="13" max="13" width="10.6640625" customWidth="1"/>
    <col min="14" max="15" width="11" bestFit="1" customWidth="1"/>
  </cols>
  <sheetData>
    <row r="1" spans="1:26" ht="15" x14ac:dyDescent="0.25">
      <c r="A1" s="17" t="s">
        <v>0</v>
      </c>
      <c r="B1" s="17" t="s">
        <v>165</v>
      </c>
      <c r="C1" s="72" t="s">
        <v>166</v>
      </c>
      <c r="D1" s="17" t="s">
        <v>241</v>
      </c>
      <c r="E1" s="11" t="s">
        <v>167</v>
      </c>
      <c r="F1" s="18" t="s">
        <v>168</v>
      </c>
      <c r="G1" s="18" t="s">
        <v>244</v>
      </c>
      <c r="H1" s="18" t="s">
        <v>169</v>
      </c>
      <c r="I1" s="18" t="s">
        <v>300</v>
      </c>
      <c r="K1" s="76" t="s">
        <v>170</v>
      </c>
      <c r="L1" s="77"/>
      <c r="M1" s="77"/>
      <c r="N1" s="77"/>
      <c r="O1" s="77"/>
      <c r="P1" s="77"/>
      <c r="Q1" s="77"/>
      <c r="R1" s="77"/>
      <c r="S1" s="77"/>
      <c r="T1" s="77"/>
      <c r="U1" s="77"/>
      <c r="V1" s="77"/>
      <c r="W1" s="77"/>
      <c r="X1" s="78"/>
    </row>
    <row r="2" spans="1:26" s="21" customFormat="1" ht="15.75" x14ac:dyDescent="0.3">
      <c r="A2" s="19">
        <v>301</v>
      </c>
      <c r="B2" s="19" t="s">
        <v>1</v>
      </c>
      <c r="C2" s="73" t="s">
        <v>12</v>
      </c>
      <c r="D2" s="19" t="s">
        <v>245</v>
      </c>
      <c r="E2" s="210" t="s">
        <v>1</v>
      </c>
      <c r="F2" s="210" t="s">
        <v>12</v>
      </c>
      <c r="G2" s="210" t="s">
        <v>245</v>
      </c>
      <c r="H2" s="20">
        <f>MATCH(INDEX(Auth_num,MATCH(chosen_LA,Authorities,0)),LA_data_list)</f>
        <v>14</v>
      </c>
      <c r="I2" s="120" t="str">
        <f>IF(Chosen_Qual&lt;&gt;"Ofsted Rating","=","")</f>
        <v/>
      </c>
      <c r="K2" s="105" t="s">
        <v>164</v>
      </c>
      <c r="L2" s="106"/>
      <c r="M2" s="106"/>
      <c r="N2" s="106"/>
      <c r="O2" s="106"/>
      <c r="P2" s="106"/>
      <c r="Q2" s="106"/>
      <c r="R2" s="106"/>
      <c r="S2" s="106"/>
      <c r="T2" s="106"/>
      <c r="U2" s="106"/>
      <c r="V2" s="106"/>
      <c r="W2" s="106"/>
      <c r="X2" s="107"/>
    </row>
    <row r="3" spans="1:26" ht="15" x14ac:dyDescent="0.25">
      <c r="A3" s="17">
        <v>302</v>
      </c>
      <c r="B3" s="17" t="s">
        <v>4</v>
      </c>
      <c r="C3" s="72" t="s">
        <v>3</v>
      </c>
      <c r="D3" s="17" t="s">
        <v>242</v>
      </c>
      <c r="E3">
        <f>INDEX(A:B,MATCH(chosen_LA,B:B,0),1)</f>
        <v>301</v>
      </c>
      <c r="K3" s="79"/>
      <c r="L3" s="80"/>
      <c r="M3" s="80"/>
      <c r="N3" s="80"/>
      <c r="O3" s="80"/>
      <c r="P3" s="80"/>
      <c r="Q3" s="80"/>
      <c r="R3" s="80"/>
      <c r="S3" s="80"/>
      <c r="T3" s="80"/>
      <c r="U3" s="80"/>
      <c r="V3" s="80"/>
      <c r="W3" s="80"/>
      <c r="X3" s="81"/>
    </row>
    <row r="4" spans="1:26" ht="15" x14ac:dyDescent="0.25">
      <c r="A4" s="17">
        <v>370</v>
      </c>
      <c r="B4" s="17" t="s">
        <v>5</v>
      </c>
      <c r="C4" s="9"/>
      <c r="D4" s="17" t="s">
        <v>243</v>
      </c>
      <c r="K4" s="79">
        <f>IF(chosen_phase="Primary",INDEX(Quan_P_15,URI),INDEX(Quan_S_15,URI))</f>
        <v>8084</v>
      </c>
      <c r="L4" s="108" t="str">
        <f>IF(chosen_LA&lt;&gt;"","Total places created between 2009/10 and 2014/15","")</f>
        <v>Total places created between 2009/10 and 2014/15</v>
      </c>
      <c r="M4" s="80"/>
      <c r="N4" s="80"/>
      <c r="O4" s="80"/>
      <c r="P4" s="80"/>
      <c r="Q4" s="80"/>
      <c r="R4" s="80"/>
      <c r="S4" s="106" t="str">
        <f>IF(chosen_LA&lt;&gt;"","Places created since 2009/10, places planned to 2017/18 and pupil number forecast accuracy in "&amp;chosen_LA,"")</f>
        <v>Places created since 2009/10, places planned to 2017/18 and pupil number forecast accuracy in Barking and Dagenham</v>
      </c>
      <c r="T4" s="80"/>
      <c r="U4" s="80"/>
      <c r="V4" s="80"/>
      <c r="W4" s="80"/>
      <c r="X4" s="81"/>
    </row>
    <row r="5" spans="1:26" ht="15" x14ac:dyDescent="0.25">
      <c r="A5" s="17">
        <v>800</v>
      </c>
      <c r="B5" s="17" t="s">
        <v>6</v>
      </c>
      <c r="C5" s="9"/>
      <c r="D5" s="9"/>
      <c r="K5" s="79">
        <f>IF(chosen_phase="Primary",INDEX(Quan_P_PP15,URI),INDEX(Quan_S_PP15,URI))</f>
        <v>4017</v>
      </c>
      <c r="L5" s="108" t="str">
        <f>IF(chosen_LA&lt;&gt;"","New places planned for delivery 2015/16 to 2017/18","")</f>
        <v>New places planned for delivery 2015/16 to 2017/18</v>
      </c>
      <c r="M5" s="80"/>
      <c r="N5" s="80"/>
      <c r="O5" s="80"/>
      <c r="P5" s="80"/>
      <c r="Q5" s="80"/>
      <c r="R5" s="80"/>
      <c r="S5" s="80"/>
      <c r="T5" s="80"/>
      <c r="U5" s="80"/>
      <c r="V5" s="80"/>
      <c r="W5" s="80"/>
      <c r="X5" s="81"/>
    </row>
    <row r="6" spans="1:26" ht="15" x14ac:dyDescent="0.25">
      <c r="A6" s="17">
        <v>822</v>
      </c>
      <c r="B6" s="17" t="s">
        <v>7</v>
      </c>
      <c r="C6" s="9"/>
      <c r="D6" s="9"/>
      <c r="K6" s="82">
        <f>IF(chosen_phase="Primary",INDEX(Quan_P_RP15,URI),INDEX(Quan_S_RP15,URI))</f>
        <v>210</v>
      </c>
      <c r="L6" s="109" t="str">
        <f>IF(chosen_LA&lt;&gt;"","Estimated number of additional places needed to meet demand in 2017/18","")</f>
        <v>Estimated number of additional places needed to meet demand in 2017/18</v>
      </c>
      <c r="M6" s="83"/>
      <c r="N6" s="83"/>
      <c r="O6" s="83"/>
      <c r="P6" s="83"/>
      <c r="Q6" s="83" t="str">
        <f>IF(chosen_LA&lt;&gt;"",TEXT(K6,"#,##0"),"")</f>
        <v>210</v>
      </c>
      <c r="R6" s="83"/>
      <c r="S6" s="83"/>
      <c r="T6" s="83"/>
      <c r="U6" s="83"/>
      <c r="V6" s="83"/>
      <c r="W6" s="83"/>
      <c r="X6" s="84"/>
    </row>
    <row r="7" spans="1:26" ht="15.75" x14ac:dyDescent="0.3">
      <c r="A7" s="17">
        <v>303</v>
      </c>
      <c r="B7" s="17" t="s">
        <v>8</v>
      </c>
      <c r="C7" s="9"/>
      <c r="D7" s="9"/>
      <c r="G7" s="119"/>
    </row>
    <row r="8" spans="1:26" ht="15" x14ac:dyDescent="0.25">
      <c r="A8" s="17">
        <v>330</v>
      </c>
      <c r="B8" s="17" t="s">
        <v>9</v>
      </c>
      <c r="C8" s="9"/>
      <c r="D8" s="9"/>
      <c r="K8" s="85" t="s">
        <v>171</v>
      </c>
      <c r="L8" s="86"/>
      <c r="M8" s="86"/>
      <c r="N8" s="86"/>
      <c r="O8" s="86"/>
      <c r="P8" s="86"/>
      <c r="Q8" s="86"/>
      <c r="R8" s="86"/>
      <c r="S8" s="86" t="s">
        <v>179</v>
      </c>
      <c r="T8" s="86"/>
      <c r="U8" s="86"/>
      <c r="V8" s="86" t="s">
        <v>272</v>
      </c>
      <c r="W8" s="86"/>
      <c r="X8" s="87"/>
    </row>
    <row r="9" spans="1:26" ht="15" x14ac:dyDescent="0.25">
      <c r="A9" s="17">
        <v>889</v>
      </c>
      <c r="B9" s="17" t="s">
        <v>10</v>
      </c>
      <c r="C9" s="9"/>
      <c r="D9" s="9"/>
      <c r="K9" s="88"/>
      <c r="L9" s="9" t="s">
        <v>182</v>
      </c>
      <c r="M9" s="89" t="s">
        <v>183</v>
      </c>
      <c r="N9" s="9" t="s">
        <v>181</v>
      </c>
      <c r="O9" s="9" t="s">
        <v>173</v>
      </c>
      <c r="P9" s="9" t="s">
        <v>174</v>
      </c>
      <c r="Q9" s="9" t="s">
        <v>175</v>
      </c>
      <c r="R9" s="9" t="s">
        <v>176</v>
      </c>
      <c r="S9" s="9" t="s">
        <v>177</v>
      </c>
      <c r="T9" s="9" t="s">
        <v>178</v>
      </c>
      <c r="U9" s="9" t="s">
        <v>180</v>
      </c>
      <c r="V9" s="9" t="s">
        <v>180</v>
      </c>
      <c r="W9" s="9" t="s">
        <v>178</v>
      </c>
      <c r="X9" s="90" t="s">
        <v>177</v>
      </c>
    </row>
    <row r="10" spans="1:26" ht="15" x14ac:dyDescent="0.25">
      <c r="A10" s="17">
        <v>890</v>
      </c>
      <c r="B10" s="17" t="s">
        <v>11</v>
      </c>
      <c r="C10" s="9"/>
      <c r="D10" s="9"/>
      <c r="K10" s="88" t="s">
        <v>172</v>
      </c>
      <c r="L10" s="9" t="str">
        <f>IF(OR(chosen_LA="City of London",chosen_LA="Isles of Scilly",chosen_LA=""),"",N10&amp;M10&amp;"%")</f>
        <v>+3%</v>
      </c>
      <c r="M10" s="123">
        <f>ROUND(O10,3)*100</f>
        <v>3</v>
      </c>
      <c r="N10" s="9" t="str">
        <f>IF(O10&gt;0,"+","")</f>
        <v>+</v>
      </c>
      <c r="O10" s="9">
        <f>IF(chosen_phase="primary",INDEX(For_1_P,URI),INDEX(For_1_S,URI))</f>
        <v>2.9706331690000001E-2</v>
      </c>
      <c r="P10" s="9">
        <f>IF(chosen_phase="Primary",IF(O10&gt;0,MAX(For_1_P)-O10,MIN(For_1_P)-O10),IF(O10&gt;0,MAX(For_1_S)-O10,MIN(For_1_S)-O10))</f>
        <v>2.367639635E-2</v>
      </c>
      <c r="Q10" s="9">
        <f>ABS(O10)/(ABS(O10)+ABS(P10))</f>
        <v>0.55647833635892241</v>
      </c>
      <c r="R10" s="9">
        <f>ABS(P10)/(ABS(O10)+ABS(P10))</f>
        <v>0.44352166364107759</v>
      </c>
      <c r="S10" s="9">
        <f>IF(O10&gt;0,Q10*0.25,0)</f>
        <v>0.1391195840897306</v>
      </c>
      <c r="T10" s="9">
        <f>IFERROR(IF(O10&gt;0,R10*0.25,0.25),0.25)</f>
        <v>0.1108804159102694</v>
      </c>
      <c r="U10" s="9">
        <v>0.75</v>
      </c>
      <c r="V10" s="9">
        <v>0.75</v>
      </c>
      <c r="W10" s="9">
        <f>IF(O10&gt;0,0.25,R10*0.25)</f>
        <v>0.25</v>
      </c>
      <c r="X10" s="90">
        <f>IF(O10&gt;0,0,Q10*0.25)</f>
        <v>0</v>
      </c>
    </row>
    <row r="11" spans="1:26" ht="15" x14ac:dyDescent="0.25">
      <c r="A11" s="17">
        <v>350</v>
      </c>
      <c r="B11" s="17" t="s">
        <v>13</v>
      </c>
      <c r="C11" s="9"/>
      <c r="D11" s="9"/>
      <c r="K11" s="91" t="s">
        <v>184</v>
      </c>
      <c r="L11" s="9" t="str">
        <f>IF(OR(chosen_LA="Isles of Scilly",chosen_LA="City of London",chosen_LA=""),"",N11&amp;M11&amp;"%")</f>
        <v>+3.8%</v>
      </c>
      <c r="M11" s="9">
        <f>IFERROR(ROUND(O11,3)*100,"N/A")</f>
        <v>3.8</v>
      </c>
      <c r="N11" s="9" t="str">
        <f>IF(O11&gt;0,"+","")</f>
        <v>+</v>
      </c>
      <c r="O11" s="9">
        <f>IF(chosen_phase="primary",INDEX(For_3_P,URI),INDEX(For_3_S,URI))</f>
        <v>3.7981666939999999E-2</v>
      </c>
      <c r="P11" s="9">
        <f>IF(chosen_phase="Primary",IF(O11&gt;0,MAX(For_3_P)-O11,MIN(For_3_P)-O11),IF(O11&gt;0,MAX(For_3_S)-O11,MIN(For_3_S)-O11))</f>
        <v>8.0934682859999996E-2</v>
      </c>
      <c r="Q11" s="9">
        <f>ABS(O11)/(ABS(O11)+ABS(P11))</f>
        <v>0.31939819044126094</v>
      </c>
      <c r="R11" s="9">
        <f>ABS(P11)/(ABS(O11)+ABS(P11))</f>
        <v>0.68060180955873917</v>
      </c>
      <c r="S11" s="9">
        <f>IF(O11&gt;0,Q11*0.25,0)</f>
        <v>7.9849547610315236E-2</v>
      </c>
      <c r="T11" s="9">
        <f>IFERROR(IF(O11&gt;0,R11*0.25,0.25),0.25)</f>
        <v>0.17015045238968479</v>
      </c>
      <c r="U11" s="9">
        <v>0.75</v>
      </c>
      <c r="V11" s="9">
        <v>0.75</v>
      </c>
      <c r="W11" s="9">
        <f>IF(O11&gt;0,0.25,R11*0.25)</f>
        <v>0.25</v>
      </c>
      <c r="X11" s="90">
        <f>IF(O11&gt;0,0,Q11*0.25)</f>
        <v>0</v>
      </c>
    </row>
    <row r="12" spans="1:26" ht="15" x14ac:dyDescent="0.25">
      <c r="A12" s="17">
        <v>837</v>
      </c>
      <c r="B12" s="17" t="s">
        <v>14</v>
      </c>
      <c r="C12" s="9"/>
      <c r="D12" s="9"/>
      <c r="K12" s="88" t="s">
        <v>185</v>
      </c>
      <c r="L12" s="9"/>
      <c r="M12" s="9"/>
      <c r="N12" s="9"/>
      <c r="O12" s="9"/>
      <c r="P12" s="9"/>
      <c r="Q12" s="9"/>
      <c r="R12" s="9"/>
      <c r="S12" s="9"/>
      <c r="T12" s="9"/>
      <c r="U12" s="9"/>
      <c r="V12" s="9"/>
      <c r="W12" s="9"/>
      <c r="X12" s="90"/>
    </row>
    <row r="13" spans="1:26" ht="15" x14ac:dyDescent="0.25">
      <c r="A13" s="17">
        <v>867</v>
      </c>
      <c r="B13" s="17" t="s">
        <v>15</v>
      </c>
      <c r="C13" s="9"/>
      <c r="D13" s="9"/>
      <c r="K13" s="88" t="s">
        <v>172</v>
      </c>
      <c r="L13" s="9"/>
      <c r="M13" s="9" t="s">
        <v>184</v>
      </c>
      <c r="N13" s="9"/>
      <c r="O13" s="9"/>
      <c r="P13" s="9"/>
      <c r="Q13" s="9"/>
      <c r="R13" s="9"/>
      <c r="S13" s="9"/>
      <c r="T13" s="9"/>
      <c r="U13" s="9"/>
      <c r="V13" s="9"/>
      <c r="W13" s="9"/>
      <c r="X13" s="90"/>
    </row>
    <row r="14" spans="1:26" ht="15" x14ac:dyDescent="0.25">
      <c r="A14" s="17">
        <v>380</v>
      </c>
      <c r="B14" s="17" t="s">
        <v>16</v>
      </c>
      <c r="C14" s="9"/>
      <c r="D14" s="9"/>
      <c r="K14" s="88" t="str">
        <f>"Largest overforecast - all LAs (+"&amp;K15&amp;")"</f>
        <v>Largest overforecast - all LAs (+5.3%)</v>
      </c>
      <c r="L14" s="9" t="str">
        <f>"Largest underforecast - all LAs ("&amp;L15&amp;")"</f>
        <v>Largest underforecast - all LAs (-3.6%)</v>
      </c>
      <c r="M14" s="9" t="str">
        <f>"Largest overforecast - all LAs (+"&amp;M15&amp;")"</f>
        <v>Largest overforecast - all LAs (+11.9%)</v>
      </c>
      <c r="N14" s="9" t="str">
        <f>"Largest underforecast - all LAs ("&amp;N15&amp;")"</f>
        <v>Largest underforecast - all LAs (-4.6%)</v>
      </c>
      <c r="O14" s="9"/>
      <c r="P14" s="9"/>
      <c r="Q14" s="9"/>
      <c r="R14" s="9"/>
      <c r="S14" s="9"/>
      <c r="T14" s="9"/>
      <c r="U14" s="9"/>
      <c r="V14" s="9"/>
      <c r="W14" s="9"/>
      <c r="X14" s="90"/>
    </row>
    <row r="15" spans="1:26" ht="15" x14ac:dyDescent="0.25">
      <c r="A15" s="17">
        <v>304</v>
      </c>
      <c r="B15" s="17" t="s">
        <v>17</v>
      </c>
      <c r="C15" s="9"/>
      <c r="D15" s="9"/>
      <c r="K15" s="92" t="str">
        <f>IF(chosen_phase="Primary",ROUND(MAX(For_1_P),3)*100&amp;"%",ROUND(MAX(For_1_S),3)*100&amp;"%")</f>
        <v>5.3%</v>
      </c>
      <c r="L15" s="93" t="str">
        <f>IF(chosen_phase="Primary",ROUND(MIN(For_1_P),3)*100&amp;"%",ROUND(MIN(For_1_S),3)*100&amp;"%")</f>
        <v>-3.6%</v>
      </c>
      <c r="M15" s="93" t="str">
        <f>IF(chosen_phase="Primary",ROUND(MAX(For_3_P),3)*100&amp;"%",ROUND(MAX(For_3_S),3)*100&amp;"%")</f>
        <v>11.9%</v>
      </c>
      <c r="N15" s="93" t="str">
        <f>IF(chosen_phase="Primary",ROUND(MIN(For_3_P),3)*100&amp;"%",ROUND(MIN(For_3_S),3)*100&amp;"%")</f>
        <v>-4.6%</v>
      </c>
      <c r="O15" s="93"/>
      <c r="P15" s="93"/>
      <c r="Q15" s="93"/>
      <c r="R15" s="93"/>
      <c r="S15" s="93"/>
      <c r="T15" s="93"/>
      <c r="U15" s="93"/>
      <c r="V15" s="93"/>
      <c r="W15" s="93"/>
      <c r="X15" s="94"/>
    </row>
    <row r="16" spans="1:26" ht="15" x14ac:dyDescent="0.25">
      <c r="A16" s="17">
        <v>846</v>
      </c>
      <c r="B16" s="17" t="s">
        <v>18</v>
      </c>
      <c r="C16" s="9"/>
      <c r="D16" s="9"/>
      <c r="Z16" t="s">
        <v>304</v>
      </c>
    </row>
    <row r="17" spans="1:28" ht="15" x14ac:dyDescent="0.25">
      <c r="A17" s="17">
        <v>801</v>
      </c>
      <c r="B17" s="17" t="s">
        <v>2</v>
      </c>
      <c r="C17" s="9"/>
      <c r="D17" s="9"/>
      <c r="K17" s="95" t="s">
        <v>155</v>
      </c>
      <c r="L17" s="96"/>
      <c r="M17" s="97"/>
      <c r="N17" s="97"/>
      <c r="O17" s="97"/>
      <c r="P17" s="97"/>
      <c r="Q17" s="97"/>
      <c r="R17" s="97" t="s">
        <v>246</v>
      </c>
      <c r="S17" s="97"/>
      <c r="T17" s="97"/>
      <c r="U17" s="97"/>
      <c r="V17" s="97"/>
      <c r="W17" s="97"/>
      <c r="X17" s="98"/>
      <c r="Z17" t="s">
        <v>303</v>
      </c>
    </row>
    <row r="18" spans="1:28" ht="15" x14ac:dyDescent="0.25">
      <c r="A18" s="17">
        <v>305</v>
      </c>
      <c r="B18" s="17" t="s">
        <v>19</v>
      </c>
      <c r="C18" s="9"/>
      <c r="D18" s="9"/>
      <c r="K18" s="99"/>
      <c r="L18" s="100"/>
      <c r="M18" s="100" t="str">
        <f>IF(Chosen_Qual="Ofsted rating","Outstanding","Above average")</f>
        <v>Outstanding</v>
      </c>
      <c r="N18" s="100" t="str">
        <f>IF(Chosen_Qual="Ofsted rating","Good","Average")</f>
        <v>Good</v>
      </c>
      <c r="O18" s="100" t="str">
        <f>IF(Chosen_Qual="Ofsted rating","Requires improvement","Below average")</f>
        <v>Requires improvement</v>
      </c>
      <c r="P18" s="100" t="str">
        <f>IF(Chosen_Qual="Ofsted rating","Inadequate","")</f>
        <v>Inadequate</v>
      </c>
      <c r="Q18" s="100" t="s">
        <v>256</v>
      </c>
      <c r="R18" s="4"/>
      <c r="S18" s="313" t="s">
        <v>247</v>
      </c>
      <c r="T18" s="313"/>
      <c r="U18" s="313" t="s">
        <v>248</v>
      </c>
      <c r="V18" s="313"/>
      <c r="W18" s="100"/>
      <c r="X18" s="101"/>
      <c r="Z18" t="s">
        <v>301</v>
      </c>
      <c r="AA18" t="s">
        <v>302</v>
      </c>
      <c r="AB18" t="s">
        <v>305</v>
      </c>
    </row>
    <row r="19" spans="1:28" ht="15" x14ac:dyDescent="0.25">
      <c r="A19" s="17">
        <v>825</v>
      </c>
      <c r="B19" s="17" t="s">
        <v>20</v>
      </c>
      <c r="C19" s="9"/>
      <c r="D19" s="9"/>
      <c r="K19" s="99" t="s">
        <v>200</v>
      </c>
      <c r="L19" s="100" t="str">
        <f>IF(chosen_LA&lt;&gt;"","Existing places","")</f>
        <v>Existing places</v>
      </c>
      <c r="M19" s="100">
        <f>IF(Chosen_Qual="Ofsted rating",IF(chosen_phase="Primary",SUM(Qual_P_E1),SUM(Qual_S_E1)),IF(AND(chosen_phase="Primary",Chosen_Qual="KS2 value added"),SUM(Qual_KS2_EAb),IF(AND(chosen_phase="Secondary",Chosen_Qual="KS4 value added"),SUM(Qual_KS4_EAb),"")))</f>
        <v>771320</v>
      </c>
      <c r="N19" s="100">
        <f>IF(Chosen_Qual="Ofsted rating",IF(chosen_phase="Primary",SUM(Qual_P_E2),SUM(Qual_S_E2)),IF(AND(chosen_phase="Primary",Chosen_Qual="KS2 value added"),SUM(Qual_KS2_EAv),IF(AND(chosen_phase="Secondary",Chosen_Qual="KS4 value added"),SUM(Qual_KS4_EAv),"")))</f>
        <v>2894673</v>
      </c>
      <c r="O19" s="100">
        <f>IF(Chosen_Qual="Ofsted rating",IF(chosen_phase="Primary",SUM(Qual_P_E3),SUM(Qual_S_E3)),IF(AND(chosen_phase="Primary",Chosen_Qual="KS2 value added"),SUM(Qual_KS2_EBe),IF(AND(chosen_phase="Secondary",Chosen_Qual="KS4 value added"),SUM(Qual_KS4_EBe),"")))</f>
        <v>685916</v>
      </c>
      <c r="P19" s="100">
        <f>IF(Chosen_Qual="Ofsted Rating",IF(chosen_phase="Primary",SUM(Qual_P_E4),SUM(Qual_S_E4)),"")</f>
        <v>69158</v>
      </c>
      <c r="Q19" s="100"/>
      <c r="R19" s="100" t="s">
        <v>200</v>
      </c>
      <c r="S19" s="100">
        <f>IF(chosen_phase="Primary",SUM(Qual_P_N1,Qual_P_N2),SUM(Qual_S_N1,Qual_S_N2))</f>
        <v>87749</v>
      </c>
      <c r="T19" s="100">
        <f>IF(chosen_phase="Primary",SUM(Qual_P_N1,Qual_P_N2,Qual_P_N3,Qual_P_N4),SUM(Qual_S_N1,Qual_S_N2,Qual_S_N3,Qual_S_N4))</f>
        <v>102969</v>
      </c>
      <c r="U19" s="100" t="str">
        <f>IF(AND(chosen_phase="Primary",Chosen_Qual="KS2 value added"),SUM(Qual_KS2_NAb),IF(AND(chosen_phase="Secondary",Chosen_Qual="KS4 value added"),SUM(Qual_KS4_NAb),""))</f>
        <v/>
      </c>
      <c r="V19" s="100">
        <f>IF(AND(chosen_phase="Primary",Chosen_Qual="KS2 value added"),SUM(Qual_KS2_NAb,Qual_KS2_NAv,Qual_KS2_NBe),IF(AND(chosen_phase="Secondary",Chosen_Qual="KS4 value added"),SUM(Qual_KS4_NAb,Qual_KS4_NAv,Qual_KS4_NBe),0))</f>
        <v>0</v>
      </c>
      <c r="W19" s="100">
        <f>IF(Chosen_Qual="Ofsted rating",ROUND(S19/T19,2),ROUND(U19/V19,2))</f>
        <v>0.85</v>
      </c>
      <c r="X19" s="101" t="str">
        <f>IF(chosen_LA&lt;&gt;"",IFERROR((W19*100)&amp;"%","-"),"")</f>
        <v>85%</v>
      </c>
      <c r="Z19" s="100">
        <f>SUM(Qual_P_E1,Qual_P_E2)</f>
        <v>3665993</v>
      </c>
      <c r="AA19" s="100">
        <f>SUM(Qual_P_E1,Qual_P_E2,Qual_P_E3,Qual_P_E4)</f>
        <v>4421067</v>
      </c>
      <c r="AB19" s="122">
        <f>Z19/AA19</f>
        <v>0.82921000744842821</v>
      </c>
    </row>
    <row r="20" spans="1:28" ht="15" x14ac:dyDescent="0.25">
      <c r="A20" s="17">
        <v>351</v>
      </c>
      <c r="B20" s="17" t="s">
        <v>21</v>
      </c>
      <c r="C20" s="9"/>
      <c r="D20" s="9"/>
      <c r="K20" s="99"/>
      <c r="L20" s="100" t="str">
        <f>IF(chosen_LA&lt;&gt;"","New places","")</f>
        <v>New places</v>
      </c>
      <c r="M20" s="100">
        <f>IF(Chosen_Qual="Ofsted rating",IF(chosen_phase="Primary",SUM(Qual_P_N1),SUM(Qual_S_N1)),IF(AND(chosen_phase="Primary",Chosen_Qual="KS2 value added"),SUM(Qual_KS2_NAb),IF(AND(chosen_phase="Secondary",Chosen_Qual="KS4 value added"),SUM(Qual_KS4_NAb),"")))</f>
        <v>18682</v>
      </c>
      <c r="N20" s="100">
        <f>IF(Chosen_Qual="Ofsted rating",IF(chosen_phase="Primary",SUM(Qual_P_N2),SUM(Qual_S_N2)),IF(AND(chosen_phase="Primary",Chosen_Qual="KS2 value added"),SUM(Qual_KS2_NAv),IF(AND(chosen_phase="Secondary",Chosen_Qual="KS4 value added"),SUM(Qual_KS4_NAv),"")))</f>
        <v>69067</v>
      </c>
      <c r="O20" s="100">
        <f>IF(Chosen_Qual="Ofsted rating",IF(chosen_phase="Primary",SUM(Qual_P_N3),SUM(Qual_S_N3)),IF(AND(chosen_phase="Primary",Chosen_Qual="KS2 value added"),SUM(Qual_KS2_NBe),IF(AND(chosen_phase="Secondary",Chosen_Qual="KS4 value added"),SUM(Qual_KS4_NBe),"")))</f>
        <v>13967</v>
      </c>
      <c r="P20" s="100">
        <f>IF(Chosen_Qual="Ofsted rating",IF(chosen_phase="Primary",SUM(Qual_P_N4),SUM(Qual_S_N4)),"")</f>
        <v>1253</v>
      </c>
      <c r="Q20" s="100"/>
      <c r="R20" s="100"/>
      <c r="S20" s="100"/>
      <c r="T20" s="100"/>
      <c r="U20" s="100"/>
      <c r="V20" s="100"/>
      <c r="W20" s="100"/>
      <c r="X20" s="101"/>
      <c r="Z20" s="100">
        <f>SUM(Qual_S_E1,Qual_S_E2)</f>
        <v>2550177</v>
      </c>
      <c r="AA20" s="100">
        <f>SUM(Qual_S_E1,Qual_S_E2,Qual_S_E3,Qual_S_E4)</f>
        <v>3425315</v>
      </c>
      <c r="AB20" s="122">
        <f>Z20/AA20</f>
        <v>0.74450875320955878</v>
      </c>
    </row>
    <row r="21" spans="1:28" ht="15" x14ac:dyDescent="0.25">
      <c r="A21" s="17">
        <v>381</v>
      </c>
      <c r="B21" s="17" t="s">
        <v>22</v>
      </c>
      <c r="C21" s="9"/>
      <c r="D21" s="9"/>
      <c r="K21" s="99" t="str">
        <f>chosen_LA</f>
        <v>Barking and Dagenham</v>
      </c>
      <c r="L21" s="100" t="s">
        <v>202</v>
      </c>
      <c r="M21" s="100">
        <f>IF(Chosen_Qual="Ofsted Rating",IF(chosen_phase="Primary",INDEX(Qual_P_E1,URI),INDEX(Qual_S_E1,URI)),IF(AND(chosen_phase="Primary",Chosen_Qual="KS2 value added"),INDEX(Qual_KS2_EAb,URI),IF(AND(chosen_phase="Secondary",Chosen_Qual="KS4 value added"),INDEX(Qual_KS4_EAb,URI),"")))</f>
        <v>1406</v>
      </c>
      <c r="N21" s="100">
        <f>IF(Chosen_Qual="Ofsted Rating",IF(chosen_phase="Primary",INDEX(Qual_P_E2,URI),INDEX(Qual_S_E2,URI)),IF(AND(chosen_phase="Primary",Chosen_Qual="KS2 value added"),INDEX(Qual_KS2_EAv,URI),IF(AND(chosen_phase="Secondary",Chosen_Qual="KS4 value added"),INDEX(Qual_KS4_EAv,URI),"")))</f>
        <v>17089</v>
      </c>
      <c r="O21" s="100">
        <f>IF(Chosen_Qual="Ofsted Rating",IF(chosen_phase="Primary",INDEX(Qual_P_E3,URI),INDEX(Qual_S_E3,URI)),IF(AND(chosen_phase="Primary",Chosen_Qual="KS2 value added"),INDEX(Qual_KS2_EBe,URI),IF(AND(chosen_phase="Secondary",Chosen_Qual="KS4 value added"),INDEX(Qual_KS4_EBe,URI),"")))</f>
        <v>6099</v>
      </c>
      <c r="P21" s="100">
        <f>IF(Chosen_Qual="Ofsted rating",IF(chosen_phase="Primary",INDEX(Qual_P_E4,URI),INDEX(Qual_S_E4,URI)),"")</f>
        <v>0</v>
      </c>
      <c r="Q21" s="100"/>
      <c r="R21" s="100" t="str">
        <f>chosen_LA</f>
        <v>Barking and Dagenham</v>
      </c>
      <c r="S21" s="100"/>
      <c r="T21" s="100">
        <f>IF(chosen_phase="Primary",INDEX(Qual_P_Prop,URI),INDEX(Qual_S_Prop,URI))</f>
        <v>1</v>
      </c>
      <c r="U21" s="100"/>
      <c r="V21" s="100" t="str">
        <f>IF(AND(chosen_phase="Primary",Chosen_Qual="KS2 value added"),INDEX(Qual_KS2_Prop,URI),IF(AND(chosen_phase="Secondary",Chosen_Qual="KS4 Value Added"),INDEX(Qual_KS4_Prop,URI),"-"))</f>
        <v>-</v>
      </c>
      <c r="W21" s="100">
        <f>IF(Chosen_Qual="Ofsted rating",ROUND(T21,2),ROUND(V21,2))</f>
        <v>1</v>
      </c>
      <c r="X21" s="101" t="str">
        <f>IF(chosen_LA&lt;&gt;"",IFERROR((W21*100)&amp;"%","-"),"")</f>
        <v>100%</v>
      </c>
    </row>
    <row r="22" spans="1:28" ht="15" x14ac:dyDescent="0.25">
      <c r="A22" s="17">
        <v>873</v>
      </c>
      <c r="B22" s="17" t="s">
        <v>23</v>
      </c>
      <c r="C22" s="9"/>
      <c r="D22" s="9"/>
      <c r="J22" s="24"/>
      <c r="K22" s="99"/>
      <c r="L22" s="100" t="s">
        <v>201</v>
      </c>
      <c r="M22" s="100">
        <f>IF(Chosen_Qual="Ofsted Rating",IF(chosen_phase="Primary",INDEX(Qual_P_N1,URI),INDEX(Qual_S_N1,URI)),IF(AND(chosen_phase="Primary",Chosen_Qual="KS2 value added"),INDEX(Qual_KS2_NAb,URI),IF(AND(chosen_phase="Secondary",Chosen_Qual="KS4 value added"),INDEX(Qual_KS4_NAb,URI),"")))</f>
        <v>0</v>
      </c>
      <c r="N22" s="100">
        <f>IF(Chosen_Qual="Ofsted Rating",IF(chosen_phase="Primary",INDEX(Qual_P_N2,URI),INDEX(Qual_S_N2,URI)),IF(AND(chosen_phase="Primary",Chosen_Qual="KS2 value added"),INDEX(Qual_KS2_NAv,URI),IF(AND(chosen_phase="Secondary",Chosen_Qual="KS4 value added"),INDEX(Qual_KS4_NAv,URI),"")))</f>
        <v>30</v>
      </c>
      <c r="O22" s="100">
        <f>IF(Chosen_Qual="Ofsted Rating",IF(chosen_phase="Primary",INDEX(Qual_P_N3,URI),INDEX(Qual_S_N3,URI)),IF(AND(chosen_phase="Primary",Chosen_Qual="KS2 value added"),INDEX(Qual_KS2_NBe,URI),IF(AND(chosen_phase="Secondary",Chosen_Qual="KS4 value added"),INDEX(Qual_KS4_NBe,URI),"")))</f>
        <v>0</v>
      </c>
      <c r="P22" s="100">
        <f>IF(Chosen_Qual="Ofsted rating",IF(chosen_phase="Primary",INDEX(Qual_P_N4,URI),INDEX(Qual_S_N4,URI)),"")</f>
        <v>0</v>
      </c>
      <c r="Q22" s="100">
        <f>IF(Chosen_Qual="Ofsted Rating",IF(chosen_phase="Primary",INDEX(Qual_P_N0,URI),INDEX(Qual_S_N0,URI)),IF(AND(chosen_phase="Primary",Chosen_Qual="KS2 value added"),INDEX(Qual_KS2_N0,URI),IF(AND(chosen_phase="Secondary",Chosen_Qual="KS4 value added"),INDEX(Qual_KS4_N0,URI),"")))</f>
        <v>0</v>
      </c>
      <c r="R22" s="4"/>
      <c r="S22" s="100"/>
      <c r="T22" s="100"/>
      <c r="U22" s="100"/>
      <c r="V22" s="100"/>
      <c r="W22" s="100"/>
      <c r="X22" s="101" t="str">
        <f>IF(chosen_LA&lt;&gt;"","LA Rank","")</f>
        <v>LA Rank</v>
      </c>
    </row>
    <row r="23" spans="1:28" ht="15" x14ac:dyDescent="0.25">
      <c r="A23" s="17">
        <v>202</v>
      </c>
      <c r="B23" s="17" t="s">
        <v>24</v>
      </c>
      <c r="C23" s="9"/>
      <c r="D23" s="9"/>
      <c r="K23" s="99"/>
      <c r="L23" s="100"/>
      <c r="M23" s="100"/>
      <c r="N23" s="100"/>
      <c r="O23" s="100"/>
      <c r="P23" s="100"/>
      <c r="Q23" s="100"/>
      <c r="R23" s="100" t="s">
        <v>249</v>
      </c>
      <c r="S23" s="100">
        <f>IF(chosen_phase="Primary",INDEX(Qual_P_PropRanks,URI),INDEX(Qual_S_PropRanks,URI))</f>
        <v>1</v>
      </c>
      <c r="T23" s="4">
        <f>IF(chosen_phase="Primary",COUNT(Qual_P_PropRanks),COUNT(Qual_S_PropRanks))</f>
        <v>141</v>
      </c>
      <c r="U23" s="100" t="str">
        <f>IF(AND(chosen_phase="Primary",Chosen_Qual="KS2 value added"),INDEX(Qual_KS2_PropRanks,URI),IF(AND(chosen_phase="Secondary",Chosen_Qual="KS4 value added"),INDEX(Qual_KS4_PropRanks,URI),"-"))</f>
        <v>-</v>
      </c>
      <c r="V23" s="100" t="str">
        <f>IF(AND(chosen_phase="Primary",Chosen_Qual="KS2 value added"),COUNT(Qual_KS2_PropRanks),IF(AND(chosen_phase="Secondary",Chosen_Qual="KS4 value added"),COUNT(Qual_KS4_PropRanks),"-"))</f>
        <v>-</v>
      </c>
      <c r="W23" s="100"/>
      <c r="X23" s="101" t="str">
        <f>IF(chosen_LA&lt;&gt;"",IF(OR(S23="N/A",U23="N/A"),"N/A",IF(Chosen_Qual="Ofsted rating",S24&amp;" "&amp;S23&amp;"/"&amp;T23,U24&amp;" "&amp;U23&amp;"/"&amp;V23)),"")</f>
        <v>= 1/141</v>
      </c>
    </row>
    <row r="24" spans="1:28" ht="15" x14ac:dyDescent="0.25">
      <c r="A24" s="17">
        <v>823</v>
      </c>
      <c r="B24" s="17" t="s">
        <v>25</v>
      </c>
      <c r="C24" s="9"/>
      <c r="D24" s="9"/>
      <c r="K24" s="102" t="str">
        <f>IF(chosen_LA&lt;&gt;"","Quality of places created between 2013/14 and 2014/15","")</f>
        <v>Quality of places created between 2013/14 and 2014/15</v>
      </c>
      <c r="L24" s="103" t="str">
        <f>IF(chosen_LA&lt;&gt;"",IF(Chosen_Qual="Ofsted Rating","Proportion of new places created in good and outstanding schools","Proportion of new places created in above average value added schools"),"")</f>
        <v>Proportion of new places created in good and outstanding schools</v>
      </c>
      <c r="M24" s="103"/>
      <c r="N24" s="103"/>
      <c r="O24" s="103"/>
      <c r="P24" s="103" t="str">
        <f>IF(chosen_LA&lt;&gt;"","LA","")</f>
        <v>LA</v>
      </c>
      <c r="Q24" s="103" t="str">
        <f>IF(chosen_LA&lt;&gt;"","England","")</f>
        <v>England</v>
      </c>
      <c r="R24" s="103"/>
      <c r="S24" s="103" t="str">
        <f>IF(chosen_phase="Primary",IF(COUNTIF(Qual_P_PropRanks,S23)&gt;1,"=",""),IF(COUNTIF(Qual_S_PropRanks,S23)&gt;1,"=",""))</f>
        <v>=</v>
      </c>
      <c r="T24" s="103"/>
      <c r="U24" s="103" t="str">
        <f>IF(AND(chosen_phase="Primary",Chosen_Qual="KS2 value added"),IF(COUNTIF(Qual_KS2_PropRanks,U23)&gt;1,"=",""),IF(AND(chosen_phase="Secondary",Chosen_Qual="KS4 value added"),IF(COUNTIF(Qual_KS4_PropRanks,U23)&gt;1,"=",""),"-"))</f>
        <v>-</v>
      </c>
      <c r="V24" s="103"/>
      <c r="W24" s="103"/>
      <c r="X24" s="104"/>
    </row>
    <row r="25" spans="1:28" ht="15" x14ac:dyDescent="0.25">
      <c r="A25" s="17">
        <v>895</v>
      </c>
      <c r="B25" s="17" t="s">
        <v>26</v>
      </c>
      <c r="C25" s="9"/>
      <c r="D25" s="9"/>
    </row>
    <row r="26" spans="1:28" ht="15" x14ac:dyDescent="0.25">
      <c r="A26" s="17">
        <v>896</v>
      </c>
      <c r="B26" s="17" t="s">
        <v>27</v>
      </c>
      <c r="C26" s="9"/>
      <c r="D26" s="9"/>
      <c r="K26" s="110" t="s">
        <v>156</v>
      </c>
      <c r="L26" s="111"/>
      <c r="M26" s="111"/>
      <c r="N26" s="111"/>
      <c r="O26" s="111"/>
      <c r="P26" s="111"/>
      <c r="Q26" s="111"/>
      <c r="R26" s="111"/>
      <c r="S26" s="111"/>
      <c r="T26" s="111"/>
      <c r="U26" s="111"/>
      <c r="V26" s="111"/>
      <c r="W26" s="111"/>
      <c r="X26" s="112"/>
    </row>
    <row r="27" spans="1:28" ht="15" x14ac:dyDescent="0.25">
      <c r="A27" s="17">
        <v>201</v>
      </c>
      <c r="B27" s="17" t="s">
        <v>28</v>
      </c>
      <c r="C27" s="9"/>
      <c r="D27" s="9"/>
      <c r="K27" s="113"/>
      <c r="L27" s="114"/>
      <c r="M27" s="114"/>
      <c r="N27" s="114"/>
      <c r="O27" s="114"/>
      <c r="P27" s="114"/>
      <c r="Q27" s="114"/>
      <c r="R27" s="114"/>
      <c r="S27" s="114"/>
      <c r="T27" s="114"/>
      <c r="U27" s="114"/>
      <c r="V27" s="114"/>
      <c r="W27" s="114"/>
      <c r="X27" s="115"/>
    </row>
    <row r="28" spans="1:28" ht="15" x14ac:dyDescent="0.25">
      <c r="A28" s="17">
        <v>908</v>
      </c>
      <c r="B28" s="17" t="s">
        <v>29</v>
      </c>
      <c r="C28" s="9"/>
      <c r="D28" s="9"/>
      <c r="K28" s="113" t="s">
        <v>186</v>
      </c>
      <c r="L28" s="114"/>
      <c r="M28" s="114"/>
      <c r="N28" s="114"/>
      <c r="O28" s="114" t="s">
        <v>299</v>
      </c>
      <c r="P28" s="114"/>
      <c r="Q28" s="114"/>
      <c r="R28" s="114"/>
      <c r="S28" s="114"/>
      <c r="T28" s="114"/>
      <c r="U28" s="114"/>
      <c r="V28" s="114"/>
      <c r="W28" s="114"/>
      <c r="X28" s="115"/>
    </row>
    <row r="29" spans="1:28" x14ac:dyDescent="0.3">
      <c r="A29" s="17">
        <v>331</v>
      </c>
      <c r="B29" s="17" t="s">
        <v>30</v>
      </c>
      <c r="C29" s="9"/>
      <c r="D29" s="9"/>
      <c r="K29" s="113" t="s">
        <v>161</v>
      </c>
      <c r="L29" s="114" t="str">
        <f>M29&amp;" Project(s)"</f>
        <v>26 Project(s)</v>
      </c>
      <c r="M29" s="114">
        <f>IFERROR(IF(chosen_phase="Primary",INDEX(Cost_P_EPn,URI),INDEX(Cost_S_EPn,URI)),0)</f>
        <v>26</v>
      </c>
      <c r="N29" s="114"/>
      <c r="O29" s="114">
        <f>IF(chosen_phase="Primary",INDEX(Cost_P_EPRanks,URI),INDEX(Cost_S_EPRanks,URI))</f>
        <v>88</v>
      </c>
      <c r="P29" s="114" t="str">
        <f>IF(chosen_LA&lt;&gt;"",IF(O29="N/A",O29,O29&amp;"/"&amp;O30),"")</f>
        <v>88/147</v>
      </c>
      <c r="Q29" s="121" t="str">
        <f>IF(chosen_LA&lt;&gt;"","Ranking amongst all LAs (permanent expansions) 1 = least expensive","")</f>
        <v>Ranking amongst all LAs (permanent expansions) 1 = least expensive</v>
      </c>
      <c r="R29" s="114"/>
      <c r="S29" s="114"/>
      <c r="T29" s="114"/>
      <c r="U29" s="114"/>
      <c r="V29" s="114"/>
      <c r="W29" s="114"/>
      <c r="X29" s="115"/>
    </row>
    <row r="30" spans="1:28" x14ac:dyDescent="0.3">
      <c r="A30" s="17">
        <v>306</v>
      </c>
      <c r="B30" s="17" t="s">
        <v>31</v>
      </c>
      <c r="C30" s="9"/>
      <c r="D30" s="9"/>
      <c r="K30" s="113" t="s">
        <v>162</v>
      </c>
      <c r="L30" s="114" t="str">
        <f>M30&amp;" Project(s)"</f>
        <v>0 Project(s)</v>
      </c>
      <c r="M30" s="114">
        <f>IFERROR(IF(chosen_phase="Primary",INDEX(Cost_P_ETn,URI),INDEX(Cost_S_ETn,URI)),0)</f>
        <v>0</v>
      </c>
      <c r="N30" s="114"/>
      <c r="O30" s="114">
        <f>IF(chosen_phase="Primary",MAX(Cost_P_EPRanks),MAX(Cost_S_EPRanks))</f>
        <v>147</v>
      </c>
      <c r="P30" s="114"/>
      <c r="Q30" s="114"/>
      <c r="R30" s="114"/>
      <c r="S30" s="114"/>
      <c r="T30" s="114"/>
      <c r="U30" s="114"/>
      <c r="V30" s="114"/>
      <c r="W30" s="114"/>
      <c r="X30" s="115"/>
    </row>
    <row r="31" spans="1:28" x14ac:dyDescent="0.3">
      <c r="A31" s="17">
        <v>909</v>
      </c>
      <c r="B31" s="17" t="s">
        <v>32</v>
      </c>
      <c r="C31" s="9"/>
      <c r="D31" s="9"/>
      <c r="K31" s="113" t="s">
        <v>163</v>
      </c>
      <c r="L31" s="114" t="str">
        <f>M31&amp;" Project(s)"</f>
        <v>0 Project(s)</v>
      </c>
      <c r="M31" s="114">
        <f>IFERROR(IF(chosen_phase="Primary",INDEX(Cost_P_NSn,URI),INDEX(Cost_S_NSn,URI)),0)</f>
        <v>0</v>
      </c>
      <c r="N31" s="114"/>
      <c r="O31" s="114"/>
      <c r="P31" s="114"/>
      <c r="Q31" s="114"/>
      <c r="R31" s="114"/>
      <c r="S31" s="114"/>
      <c r="T31" s="114"/>
      <c r="U31" s="114"/>
      <c r="V31" s="114"/>
      <c r="W31" s="114"/>
      <c r="X31" s="115"/>
    </row>
    <row r="32" spans="1:28" x14ac:dyDescent="0.3">
      <c r="A32" s="17">
        <v>841</v>
      </c>
      <c r="B32" s="17" t="s">
        <v>33</v>
      </c>
      <c r="C32" s="9"/>
      <c r="D32" s="9"/>
      <c r="K32" s="113"/>
      <c r="L32" s="114"/>
      <c r="M32" s="114"/>
      <c r="N32" s="114"/>
      <c r="O32" s="114"/>
      <c r="P32" s="114"/>
      <c r="Q32" s="114"/>
      <c r="R32" s="114"/>
      <c r="S32" s="114"/>
      <c r="T32" s="114"/>
      <c r="U32" s="114"/>
      <c r="V32" s="114"/>
      <c r="W32" s="114"/>
      <c r="X32" s="115"/>
    </row>
    <row r="33" spans="1:24" x14ac:dyDescent="0.3">
      <c r="A33" s="17">
        <v>831</v>
      </c>
      <c r="B33" s="17" t="s">
        <v>34</v>
      </c>
      <c r="C33" s="9"/>
      <c r="D33" s="9"/>
      <c r="K33" s="113" t="str">
        <f>IF(chosen_LA&lt;&gt;"","Average cost per additional mainstream place from LA reported projects between 2009/10 and 2014/15","")</f>
        <v>Average cost per additional mainstream place from LA reported projects between 2009/10 and 2014/15</v>
      </c>
      <c r="L33" s="114"/>
      <c r="M33" s="114"/>
      <c r="N33" s="114"/>
      <c r="O33" s="114"/>
      <c r="P33" s="114"/>
      <c r="Q33" s="114"/>
      <c r="R33" s="114"/>
      <c r="S33" s="114"/>
      <c r="T33" s="114"/>
      <c r="U33" s="114"/>
      <c r="V33" s="114"/>
      <c r="W33" s="114"/>
      <c r="X33" s="115"/>
    </row>
    <row r="34" spans="1:24" x14ac:dyDescent="0.3">
      <c r="A34" s="17">
        <v>830</v>
      </c>
      <c r="B34" s="17" t="s">
        <v>35</v>
      </c>
      <c r="C34" s="9"/>
      <c r="D34" s="9"/>
      <c r="K34" s="113"/>
      <c r="L34" s="114"/>
      <c r="M34" s="114"/>
      <c r="N34" s="114"/>
      <c r="O34" s="114"/>
      <c r="P34" s="114"/>
      <c r="Q34" s="114"/>
      <c r="R34" s="114"/>
      <c r="S34" s="114"/>
      <c r="T34" s="114"/>
      <c r="U34" s="114"/>
      <c r="V34" s="114"/>
      <c r="W34" s="114"/>
      <c r="X34" s="115"/>
    </row>
    <row r="35" spans="1:24" x14ac:dyDescent="0.3">
      <c r="A35" s="17">
        <v>878</v>
      </c>
      <c r="B35" s="17" t="s">
        <v>36</v>
      </c>
      <c r="C35" s="9"/>
      <c r="D35" s="9"/>
      <c r="K35" s="113" t="s">
        <v>187</v>
      </c>
      <c r="L35" s="114"/>
      <c r="M35" s="114"/>
      <c r="N35" s="114"/>
      <c r="O35" s="114" t="s">
        <v>188</v>
      </c>
      <c r="P35" s="114"/>
      <c r="Q35" s="114"/>
      <c r="R35" s="114" t="s">
        <v>309</v>
      </c>
      <c r="S35" s="114"/>
      <c r="T35" s="114"/>
      <c r="U35" s="114"/>
      <c r="V35" s="114"/>
      <c r="W35" s="114"/>
      <c r="X35" s="115"/>
    </row>
    <row r="36" spans="1:24" x14ac:dyDescent="0.3">
      <c r="A36" s="17">
        <v>371</v>
      </c>
      <c r="B36" s="17" t="s">
        <v>37</v>
      </c>
      <c r="C36" s="9"/>
      <c r="D36" s="9"/>
      <c r="K36" s="113" t="s">
        <v>158</v>
      </c>
      <c r="L36" s="114" t="s">
        <v>159</v>
      </c>
      <c r="M36" s="114" t="s">
        <v>194</v>
      </c>
      <c r="N36" s="114"/>
      <c r="O36" s="114" t="s">
        <v>161</v>
      </c>
      <c r="P36" s="114" t="s">
        <v>162</v>
      </c>
      <c r="Q36" s="114" t="s">
        <v>163</v>
      </c>
      <c r="R36" s="114" t="s">
        <v>161</v>
      </c>
      <c r="S36" s="114" t="s">
        <v>162</v>
      </c>
      <c r="T36" s="114" t="s">
        <v>163</v>
      </c>
      <c r="U36" s="114"/>
      <c r="V36" s="114"/>
      <c r="W36" s="114"/>
      <c r="X36" s="115"/>
    </row>
    <row r="37" spans="1:24" x14ac:dyDescent="0.3">
      <c r="A37" s="17">
        <v>835</v>
      </c>
      <c r="B37" s="17" t="s">
        <v>38</v>
      </c>
      <c r="C37" s="9"/>
      <c r="D37" s="9"/>
      <c r="K37" s="113">
        <v>1</v>
      </c>
      <c r="L37" s="114">
        <v>1</v>
      </c>
      <c r="M37" s="114">
        <v>2</v>
      </c>
      <c r="N37" s="114">
        <v>0.2</v>
      </c>
      <c r="O37" s="114">
        <f>IF(chosen_phase="Primary",_xlfn.PERCENTILE.INC(Cost_P_EP,N37),_xlfn.PERCENTILE.INC(Cost_S_EP,N37))</f>
        <v>6358.0094312000001</v>
      </c>
      <c r="P37" s="114">
        <f>IF(chosen_phase="Primary",_xlfn.PERCENTILE.INC(Cost_P_ET,N37),_xlfn.PERCENTILE.INC(Cost_S_ET,N37))</f>
        <v>2869.4804668000006</v>
      </c>
      <c r="Q37" s="114">
        <f>IF(chosen_phase="Primary",_xlfn.PERCENTILE.INC(Cost_P_NS,N37),_xlfn.PERCENTILE.INC(Cost_S_NS,N37))</f>
        <v>9904.7619046</v>
      </c>
      <c r="R37" s="114">
        <f>IF(chosen_phase="Primary",MIN(Cost_P_EP),MIN(Cost_S_EP))</f>
        <v>1210.7060369999999</v>
      </c>
      <c r="S37" s="114">
        <f>IF(chosen_phase="Primary",MIN(Cost_P_ET),MIN(Cost_S_ET))</f>
        <v>529.03225799999996</v>
      </c>
      <c r="T37" s="114">
        <f>IF(chosen_phase="Primary",MIN(Cost_P_NS),MIN(Cost_S_NS))</f>
        <v>732.25238000000002</v>
      </c>
      <c r="U37" s="114"/>
      <c r="V37" s="114"/>
      <c r="W37" s="114"/>
      <c r="X37" s="115"/>
    </row>
    <row r="38" spans="1:24" x14ac:dyDescent="0.3">
      <c r="A38" s="17">
        <v>332</v>
      </c>
      <c r="B38" s="17" t="s">
        <v>39</v>
      </c>
      <c r="C38" s="9"/>
      <c r="D38" s="9"/>
      <c r="K38" s="113">
        <v>1</v>
      </c>
      <c r="L38" s="114">
        <v>2</v>
      </c>
      <c r="M38" s="114"/>
      <c r="N38" s="114">
        <v>0.4</v>
      </c>
      <c r="O38" s="114">
        <f>IF(chosen_phase="Primary",_xlfn.PERCENTILE.INC(Cost_P_EP,N38),_xlfn.PERCENTILE.INC(Cost_S_EP,N38))</f>
        <v>8354.5225596</v>
      </c>
      <c r="P38" s="114">
        <f>IF(chosen_phase="Primary",_xlfn.PERCENTILE.INC(Cost_P_ET,N38),_xlfn.PERCENTILE.INC(Cost_S_ET,N38))</f>
        <v>3910.8504756000007</v>
      </c>
      <c r="Q38" s="114">
        <f>IF(chosen_phase="Primary",_xlfn.PERCENTILE.INC(Cost_P_NS,N38),_xlfn.PERCENTILE.INC(Cost_S_NS,N38))</f>
        <v>13639.047618800001</v>
      </c>
      <c r="R38" s="114"/>
      <c r="S38" s="114"/>
      <c r="T38" s="114"/>
      <c r="U38" s="114"/>
      <c r="V38" s="114"/>
      <c r="W38" s="114"/>
      <c r="X38" s="115"/>
    </row>
    <row r="39" spans="1:24" x14ac:dyDescent="0.3">
      <c r="A39" s="17">
        <v>840</v>
      </c>
      <c r="B39" s="17" t="s">
        <v>40</v>
      </c>
      <c r="C39" s="9"/>
      <c r="D39" s="9"/>
      <c r="K39" s="113">
        <v>1</v>
      </c>
      <c r="L39" s="114">
        <v>3</v>
      </c>
      <c r="M39" s="114"/>
      <c r="N39" s="114">
        <v>0.6</v>
      </c>
      <c r="O39" s="114">
        <f>IF(chosen_phase="Primary",_xlfn.PERCENTILE.INC(Cost_P_EP,N39),_xlfn.PERCENTILE.INC(Cost_S_EP,N39))</f>
        <v>10316.8098916</v>
      </c>
      <c r="P39" s="114">
        <f>IF(chosen_phase="Primary",_xlfn.PERCENTILE.INC(Cost_P_ET,N39),_xlfn.PERCENTILE.INC(Cost_S_ET,N39))</f>
        <v>5310.3691246000008</v>
      </c>
      <c r="Q39" s="114">
        <f>IF(chosen_phase="Primary",_xlfn.PERCENTILE.INC(Cost_P_NS,N39),_xlfn.PERCENTILE.INC(Cost_S_NS,N39))</f>
        <v>17118.015017400001</v>
      </c>
      <c r="R39" s="114"/>
      <c r="S39" s="114"/>
      <c r="T39" s="114"/>
      <c r="U39" s="114"/>
      <c r="V39" s="114"/>
      <c r="W39" s="114"/>
      <c r="X39" s="115"/>
    </row>
    <row r="40" spans="1:24" x14ac:dyDescent="0.3">
      <c r="A40" s="17">
        <v>307</v>
      </c>
      <c r="B40" s="17" t="s">
        <v>41</v>
      </c>
      <c r="C40" s="9"/>
      <c r="D40" s="9"/>
      <c r="K40" s="113">
        <v>1</v>
      </c>
      <c r="L40" s="114">
        <v>4</v>
      </c>
      <c r="M40" s="114"/>
      <c r="N40" s="114">
        <v>0.8</v>
      </c>
      <c r="O40" s="114">
        <f>IF(chosen_phase="Primary",_xlfn.PERCENTILE.INC(Cost_P_EP,N40),_xlfn.PERCENTILE.INC(Cost_S_EP,N40))</f>
        <v>13214.462323800002</v>
      </c>
      <c r="P40" s="114">
        <f>IF(chosen_phase="Primary",_xlfn.PERCENTILE.INC(Cost_P_ET,N40),_xlfn.PERCENTILE.INC(Cost_S_ET,N40))</f>
        <v>7079.7773912000002</v>
      </c>
      <c r="Q40" s="114">
        <f>IF(chosen_phase="Primary",_xlfn.PERCENTILE.INC(Cost_P_NS,N40),_xlfn.PERCENTILE.INC(Cost_S_NS,N40))</f>
        <v>21007.2359708</v>
      </c>
      <c r="R40" s="114"/>
      <c r="S40" s="114"/>
      <c r="T40" s="114"/>
      <c r="U40" s="114"/>
      <c r="V40" s="114"/>
      <c r="W40" s="114"/>
      <c r="X40" s="115"/>
    </row>
    <row r="41" spans="1:24" x14ac:dyDescent="0.3">
      <c r="A41" s="17">
        <v>811</v>
      </c>
      <c r="B41" s="17" t="s">
        <v>42</v>
      </c>
      <c r="C41" s="9"/>
      <c r="D41" s="9"/>
      <c r="K41" s="113">
        <v>1</v>
      </c>
      <c r="L41" s="114">
        <v>5</v>
      </c>
      <c r="M41" s="114"/>
      <c r="N41" s="114">
        <v>1</v>
      </c>
      <c r="O41" s="114">
        <f>IF(chosen_phase="Primary",_xlfn.PERCENTILE.INC(Cost_P_EP,N41),_xlfn.PERCENTILE.INC(Cost_S_EP,N41))</f>
        <v>52830.780018999998</v>
      </c>
      <c r="P41" s="114">
        <f>IF(chosen_phase="Primary",_xlfn.PERCENTILE.INC(Cost_P_ET,N41),_xlfn.PERCENTILE.INC(Cost_S_ET,N41))</f>
        <v>23313.043478</v>
      </c>
      <c r="Q41" s="114">
        <f>IF(chosen_phase="Primary",_xlfn.PERCENTILE.INC(Cost_P_NS,N41),_xlfn.PERCENTILE.INC(Cost_S_NS,N41))</f>
        <v>93333.333333000002</v>
      </c>
      <c r="R41" s="114"/>
      <c r="S41" s="114"/>
      <c r="T41" s="114"/>
      <c r="U41" s="114"/>
      <c r="V41" s="114"/>
      <c r="W41" s="114"/>
      <c r="X41" s="115"/>
    </row>
    <row r="42" spans="1:24" x14ac:dyDescent="0.3">
      <c r="A42" s="17">
        <v>845</v>
      </c>
      <c r="B42" s="17" t="s">
        <v>43</v>
      </c>
      <c r="C42" s="9"/>
      <c r="D42" s="9"/>
      <c r="K42" s="113"/>
      <c r="L42" s="114"/>
      <c r="M42" s="114"/>
      <c r="N42" s="114"/>
      <c r="O42" s="114"/>
      <c r="P42" s="114"/>
      <c r="Q42" s="114"/>
      <c r="R42" s="114"/>
      <c r="S42" s="114"/>
      <c r="T42" s="114"/>
      <c r="U42" s="114"/>
      <c r="V42" s="114"/>
      <c r="W42" s="114"/>
      <c r="X42" s="115"/>
    </row>
    <row r="43" spans="1:24" x14ac:dyDescent="0.3">
      <c r="A43" s="17">
        <v>308</v>
      </c>
      <c r="B43" s="17" t="s">
        <v>44</v>
      </c>
      <c r="C43" s="9"/>
      <c r="D43" s="9"/>
      <c r="K43" s="113" t="s">
        <v>189</v>
      </c>
      <c r="L43" s="114"/>
      <c r="M43" s="114"/>
      <c r="N43" s="114"/>
      <c r="O43" s="114" t="s">
        <v>191</v>
      </c>
      <c r="P43" s="114"/>
      <c r="Q43" s="114"/>
      <c r="R43" s="114"/>
      <c r="S43" s="114" t="s">
        <v>192</v>
      </c>
      <c r="T43" s="114"/>
      <c r="U43" s="114"/>
      <c r="V43" s="114"/>
      <c r="W43" s="114"/>
      <c r="X43" s="115"/>
    </row>
    <row r="44" spans="1:24" x14ac:dyDescent="0.3">
      <c r="A44" s="17">
        <v>881</v>
      </c>
      <c r="B44" s="17" t="s">
        <v>45</v>
      </c>
      <c r="C44" s="9"/>
      <c r="D44" s="9"/>
      <c r="K44" s="113">
        <f>IF(K46=0,-1,SUM(K47:K51)+1)</f>
        <v>3</v>
      </c>
      <c r="L44" s="114">
        <f>IF(L46=0,-1,SUM(L47:L51)+1)</f>
        <v>-1</v>
      </c>
      <c r="M44" s="114">
        <f>IF(M46=0,-1,SUM(M47:M51)+1)</f>
        <v>-1</v>
      </c>
      <c r="N44" s="114"/>
      <c r="O44" s="114">
        <f>IF(O46=0,-1,SUM(O47:O51)+1)</f>
        <v>3</v>
      </c>
      <c r="P44" s="114">
        <f>IF(P46=0,-1,SUM(P47:P51)+1)</f>
        <v>3</v>
      </c>
      <c r="Q44" s="114">
        <f>IF(Q46=0,-1,SUM(Q47:Q51)+1)</f>
        <v>2</v>
      </c>
      <c r="R44" s="114"/>
      <c r="S44" s="114">
        <f>IF(S46=0,-1,SUM(S47:S51)+1)</f>
        <v>5</v>
      </c>
      <c r="T44" s="114">
        <f>IF(T46=0,-1,SUM(T47:T51)+1)</f>
        <v>4</v>
      </c>
      <c r="U44" s="114">
        <f>IF(U46=0,-1,SUM(U47:U51)+1)</f>
        <v>3</v>
      </c>
      <c r="V44" s="114"/>
      <c r="W44" s="114"/>
      <c r="X44" s="115"/>
    </row>
    <row r="45" spans="1:24" x14ac:dyDescent="0.3">
      <c r="A45" s="17">
        <v>390</v>
      </c>
      <c r="B45" s="17" t="s">
        <v>46</v>
      </c>
      <c r="C45" s="9"/>
      <c r="D45" s="9"/>
      <c r="K45" s="113" t="s">
        <v>161</v>
      </c>
      <c r="L45" s="114" t="s">
        <v>162</v>
      </c>
      <c r="M45" s="114" t="s">
        <v>163</v>
      </c>
      <c r="N45" s="114"/>
      <c r="O45" s="114" t="s">
        <v>161</v>
      </c>
      <c r="P45" s="114" t="s">
        <v>162</v>
      </c>
      <c r="Q45" s="114" t="s">
        <v>163</v>
      </c>
      <c r="R45" s="114"/>
      <c r="S45" s="114" t="s">
        <v>161</v>
      </c>
      <c r="T45" s="114" t="s">
        <v>162</v>
      </c>
      <c r="U45" s="114" t="s">
        <v>163</v>
      </c>
      <c r="V45" s="114"/>
      <c r="W45" s="114"/>
      <c r="X45" s="115"/>
    </row>
    <row r="46" spans="1:24" x14ac:dyDescent="0.3">
      <c r="A46" s="17">
        <v>916</v>
      </c>
      <c r="B46" s="17" t="s">
        <v>47</v>
      </c>
      <c r="C46" s="9"/>
      <c r="D46" s="9"/>
      <c r="K46" s="113">
        <f>IFERROR(IF(chosen_phase="Primary",INDEX(Cost_P_EP,URI),INDEX(Cost_S_EP,URI)),0)</f>
        <v>10289.95981</v>
      </c>
      <c r="L46" s="114">
        <f>IFERROR(IF(chosen_phase="Primary",INDEX(Cost_P_ET,URI),INDEX(Cost_S_ET,URI)),0)</f>
        <v>0</v>
      </c>
      <c r="M46" s="114">
        <f>IFERROR(IF(chosen_phase="Primary",INDEX(Cost_P_NS,URI),INDEX(Cost_S_NS,URI)),0)</f>
        <v>0</v>
      </c>
      <c r="N46" s="114"/>
      <c r="O46" s="114">
        <f>IFERROR(IF(chosen_phase="Primary",INDEX(Cost_P_SN_EP,URI),INDEX(Cost_S_SN_EP,URI)),0)</f>
        <v>9275.6459460000005</v>
      </c>
      <c r="P46" s="114">
        <f>IFERROR(IF(chosen_phase="Primary",INDEX(Cost_P_SN_ET,URI),INDEX(Cost_S_SN_ET,URI)),0)</f>
        <v>4916.6666660000001</v>
      </c>
      <c r="Q46" s="114">
        <f>IFERROR(IF(chosen_phase="Primary",INDEX(Cost_P_SN_NS,URI),INDEX(Cost_S_SN_NS,URI)),0)</f>
        <v>13566.666665999999</v>
      </c>
      <c r="R46" s="114"/>
      <c r="S46" s="114">
        <f>IFERROR(IF(chosen_phase="Primary",INDEX(Cost_P_RN_EP,URI),INDEX(Cost_S_RN_EP,URI)),0)</f>
        <v>13828.17647</v>
      </c>
      <c r="T46" s="114">
        <f>IFERROR(IF(chosen_phase="Primary",INDEX(Cost_P_RN_ET,URI),INDEX(Cost_S_RN_ET,URI)),0)</f>
        <v>5507.9059440000001</v>
      </c>
      <c r="U46" s="114">
        <f>IFERROR(IF(chosen_phase="Primary",INDEX(Cost_P_RN_NS,URI),INDEX(Cost_S_RN_NS,URI)),0)</f>
        <v>14591.45873</v>
      </c>
      <c r="V46" s="114"/>
      <c r="W46" s="114"/>
      <c r="X46" s="115"/>
    </row>
    <row r="47" spans="1:24" x14ac:dyDescent="0.3">
      <c r="A47" s="17">
        <v>203</v>
      </c>
      <c r="B47" s="17" t="s">
        <v>48</v>
      </c>
      <c r="C47" s="9"/>
      <c r="D47" s="9"/>
      <c r="K47" s="113">
        <f>IF(K$46&lt;O37,0,1)</f>
        <v>1</v>
      </c>
      <c r="L47" s="114">
        <f>IF(L$46&lt;P37,0,1)</f>
        <v>0</v>
      </c>
      <c r="M47" s="114">
        <f>IF(M$46&lt;Q37,0,1)</f>
        <v>0</v>
      </c>
      <c r="N47" s="114"/>
      <c r="O47" s="114">
        <f>IF(O$46&lt;O37,0,1)</f>
        <v>1</v>
      </c>
      <c r="P47" s="114">
        <f>IF(P$46&lt;P37,0,1)</f>
        <v>1</v>
      </c>
      <c r="Q47" s="114">
        <f>IF(Q$46&lt;Q37,0,1)</f>
        <v>1</v>
      </c>
      <c r="R47" s="114"/>
      <c r="S47" s="114">
        <f>IF(S$46&lt;O37,0,1)</f>
        <v>1</v>
      </c>
      <c r="T47" s="114">
        <f t="shared" ref="T47:U50" si="0">IF(T$46&lt;P37,0,1)</f>
        <v>1</v>
      </c>
      <c r="U47" s="114">
        <f t="shared" si="0"/>
        <v>1</v>
      </c>
      <c r="V47" s="114"/>
      <c r="W47" s="114"/>
      <c r="X47" s="115"/>
    </row>
    <row r="48" spans="1:24" x14ac:dyDescent="0.3">
      <c r="A48" s="17">
        <v>204</v>
      </c>
      <c r="B48" s="17" t="s">
        <v>49</v>
      </c>
      <c r="C48" s="9"/>
      <c r="D48" s="9"/>
      <c r="K48" s="113">
        <f t="shared" ref="K48:L50" si="1">IF(K$46&lt;O38,0,1)</f>
        <v>1</v>
      </c>
      <c r="L48" s="114">
        <f t="shared" si="1"/>
        <v>0</v>
      </c>
      <c r="M48" s="114">
        <f>IF(M$46&lt;Q38,0,1)</f>
        <v>0</v>
      </c>
      <c r="N48" s="114"/>
      <c r="O48" s="114">
        <f t="shared" ref="O48:Q50" si="2">IF(O$46&lt;O38,0,1)</f>
        <v>1</v>
      </c>
      <c r="P48" s="114">
        <f t="shared" si="2"/>
        <v>1</v>
      </c>
      <c r="Q48" s="114">
        <f t="shared" si="2"/>
        <v>0</v>
      </c>
      <c r="R48" s="114"/>
      <c r="S48" s="114">
        <f>IF(S$46&lt;O38,0,1)</f>
        <v>1</v>
      </c>
      <c r="T48" s="114">
        <f t="shared" si="0"/>
        <v>1</v>
      </c>
      <c r="U48" s="114">
        <f t="shared" si="0"/>
        <v>1</v>
      </c>
      <c r="V48" s="114"/>
      <c r="W48" s="114"/>
      <c r="X48" s="115"/>
    </row>
    <row r="49" spans="1:24" x14ac:dyDescent="0.3">
      <c r="A49" s="17">
        <v>876</v>
      </c>
      <c r="B49" s="17" t="s">
        <v>50</v>
      </c>
      <c r="C49" s="9"/>
      <c r="D49" s="9"/>
      <c r="K49" s="113">
        <f t="shared" si="1"/>
        <v>0</v>
      </c>
      <c r="L49" s="114">
        <f t="shared" si="1"/>
        <v>0</v>
      </c>
      <c r="M49" s="114">
        <f>IF(M$46&lt;Q39,0,1)</f>
        <v>0</v>
      </c>
      <c r="N49" s="114"/>
      <c r="O49" s="114">
        <f t="shared" si="2"/>
        <v>0</v>
      </c>
      <c r="P49" s="114">
        <f t="shared" si="2"/>
        <v>0</v>
      </c>
      <c r="Q49" s="114">
        <f t="shared" si="2"/>
        <v>0</v>
      </c>
      <c r="R49" s="114"/>
      <c r="S49" s="114">
        <f>IF(S$46&lt;O39,0,1)</f>
        <v>1</v>
      </c>
      <c r="T49" s="114">
        <f t="shared" si="0"/>
        <v>1</v>
      </c>
      <c r="U49" s="114">
        <f t="shared" si="0"/>
        <v>0</v>
      </c>
      <c r="V49" s="114"/>
      <c r="W49" s="114"/>
      <c r="X49" s="115"/>
    </row>
    <row r="50" spans="1:24" x14ac:dyDescent="0.3">
      <c r="A50" s="17">
        <v>205</v>
      </c>
      <c r="B50" s="17" t="s">
        <v>51</v>
      </c>
      <c r="C50" s="9"/>
      <c r="D50" s="9"/>
      <c r="K50" s="113">
        <f t="shared" si="1"/>
        <v>0</v>
      </c>
      <c r="L50" s="114">
        <f t="shared" si="1"/>
        <v>0</v>
      </c>
      <c r="M50" s="114">
        <f>IF(M$46&lt;Q40,0,1)</f>
        <v>0</v>
      </c>
      <c r="N50" s="114"/>
      <c r="O50" s="114">
        <f t="shared" si="2"/>
        <v>0</v>
      </c>
      <c r="P50" s="114">
        <f t="shared" si="2"/>
        <v>0</v>
      </c>
      <c r="Q50" s="114">
        <f t="shared" si="2"/>
        <v>0</v>
      </c>
      <c r="R50" s="114"/>
      <c r="S50" s="114">
        <f>IF(S$46&lt;O40,0,1)</f>
        <v>1</v>
      </c>
      <c r="T50" s="114">
        <f t="shared" si="0"/>
        <v>0</v>
      </c>
      <c r="U50" s="114">
        <f t="shared" si="0"/>
        <v>0</v>
      </c>
      <c r="V50" s="114"/>
      <c r="W50" s="114"/>
      <c r="X50" s="115"/>
    </row>
    <row r="51" spans="1:24" x14ac:dyDescent="0.3">
      <c r="A51" s="17">
        <v>850</v>
      </c>
      <c r="B51" s="17" t="s">
        <v>52</v>
      </c>
      <c r="C51" s="9"/>
      <c r="D51" s="9"/>
      <c r="K51" s="113">
        <f>IF(K$46&lt;=O41,0,1)</f>
        <v>0</v>
      </c>
      <c r="L51" s="114">
        <f>IF(L$46&lt;=P41,0,1)</f>
        <v>0</v>
      </c>
      <c r="M51" s="114">
        <f>IF(M$46&lt;=Q41,0,1)</f>
        <v>0</v>
      </c>
      <c r="N51" s="114"/>
      <c r="O51" s="114">
        <f>IF(O$46&lt;=O41,0,1)</f>
        <v>0</v>
      </c>
      <c r="P51" s="114">
        <f>IF(P$46&lt;=P41,0,1)</f>
        <v>0</v>
      </c>
      <c r="Q51" s="114">
        <f>IF(Q$46&lt;=Q41,0,1)</f>
        <v>0</v>
      </c>
      <c r="R51" s="114"/>
      <c r="S51" s="114">
        <f>IF(S$46&lt;=O41,0,1)</f>
        <v>0</v>
      </c>
      <c r="T51" s="114">
        <f>IF(T$46&lt;=P41,0,1)</f>
        <v>0</v>
      </c>
      <c r="U51" s="114">
        <f>IF(U$46&lt;=Q41,0,1)</f>
        <v>0</v>
      </c>
      <c r="V51" s="114"/>
      <c r="W51" s="114"/>
      <c r="X51" s="115"/>
    </row>
    <row r="52" spans="1:24" x14ac:dyDescent="0.3">
      <c r="A52" s="17">
        <v>309</v>
      </c>
      <c r="B52" s="17" t="s">
        <v>53</v>
      </c>
      <c r="C52" s="9"/>
      <c r="D52" s="9"/>
      <c r="K52" s="113"/>
      <c r="L52" s="114"/>
      <c r="M52" s="114"/>
      <c r="N52" s="114"/>
      <c r="O52" s="114"/>
      <c r="P52" s="114"/>
      <c r="Q52" s="114"/>
      <c r="R52" s="114"/>
      <c r="S52" s="114"/>
      <c r="T52" s="114"/>
      <c r="U52" s="114"/>
      <c r="V52" s="114"/>
      <c r="W52" s="114"/>
      <c r="X52" s="115"/>
    </row>
    <row r="53" spans="1:24" x14ac:dyDescent="0.3">
      <c r="A53" s="17">
        <v>310</v>
      </c>
      <c r="B53" s="17" t="s">
        <v>54</v>
      </c>
      <c r="C53" s="9"/>
      <c r="D53" s="9"/>
      <c r="K53" s="113" t="s">
        <v>190</v>
      </c>
      <c r="L53" s="114"/>
      <c r="M53" s="114"/>
      <c r="N53" s="114"/>
      <c r="O53" s="114" t="s">
        <v>190</v>
      </c>
      <c r="P53" s="114"/>
      <c r="Q53" s="114"/>
      <c r="R53" s="114"/>
      <c r="S53" s="114" t="s">
        <v>190</v>
      </c>
      <c r="T53" s="114"/>
      <c r="U53" s="114"/>
      <c r="V53" s="114"/>
      <c r="W53" s="114"/>
      <c r="X53" s="115"/>
    </row>
    <row r="54" spans="1:24" x14ac:dyDescent="0.3">
      <c r="A54" s="17">
        <v>805</v>
      </c>
      <c r="B54" s="17" t="s">
        <v>55</v>
      </c>
      <c r="C54" s="9"/>
      <c r="D54" s="9"/>
      <c r="K54" s="113">
        <f>(K46-R37)/(O37-R37)</f>
        <v>1.763885490649441</v>
      </c>
      <c r="L54" s="114">
        <f>(L46-S37)/(P37-S37)</f>
        <v>-0.22603886555184508</v>
      </c>
      <c r="M54" s="114">
        <f>(M46-T37)/(Q37-T37)</f>
        <v>-7.9831193201397352E-2</v>
      </c>
      <c r="N54" s="114"/>
      <c r="O54" s="114">
        <f>(O46-R37)/(O37-R37)</f>
        <v>1.5668281605641516</v>
      </c>
      <c r="P54" s="114">
        <f>(P46-S37)/(P37-S37)</f>
        <v>1.8746983554272441</v>
      </c>
      <c r="Q54" s="114">
        <f>(Q46-T37)/(Q37-T37)</f>
        <v>1.3992260516687431</v>
      </c>
      <c r="R54" s="114"/>
      <c r="S54" s="114">
        <f>(S46-R37)/(O37-R37)</f>
        <v>2.4512777791993785</v>
      </c>
      <c r="T54" s="114">
        <f>(T46-S37)/(P37-S37)</f>
        <v>2.1273163265393422</v>
      </c>
      <c r="U54" s="114">
        <f>(U46-T37)/(Q37-T37)</f>
        <v>1.5109503362008643</v>
      </c>
      <c r="V54" s="114"/>
      <c r="W54" s="114"/>
      <c r="X54" s="115"/>
    </row>
    <row r="55" spans="1:24" x14ac:dyDescent="0.3">
      <c r="A55" s="17">
        <v>311</v>
      </c>
      <c r="B55" s="17" t="s">
        <v>56</v>
      </c>
      <c r="C55" s="9"/>
      <c r="D55" s="9"/>
      <c r="K55" s="113">
        <f t="shared" ref="K55:M58" si="3">(K$46-O37)/(O38-O37)</f>
        <v>1.9694087270796232</v>
      </c>
      <c r="L55" s="114">
        <f t="shared" si="3"/>
        <v>-2.755485987258826</v>
      </c>
      <c r="M55" s="114">
        <f t="shared" si="3"/>
        <v>-2.6523845957839103</v>
      </c>
      <c r="N55" s="114"/>
      <c r="O55" s="114">
        <f>(O$46-O37)/(O38-O37)</f>
        <v>1.461366055297711</v>
      </c>
      <c r="P55" s="114">
        <f>(P$46-P37)/(P38-P37)</f>
        <v>1.9658586111568834</v>
      </c>
      <c r="Q55" s="114">
        <f>(Q$46-Q37)/(Q38-Q37)</f>
        <v>0.98061718937981468</v>
      </c>
      <c r="R55" s="114"/>
      <c r="S55" s="114">
        <f>(S$46-O37)/(O38-O37)</f>
        <v>3.7416067705933753</v>
      </c>
      <c r="T55" s="114">
        <f t="shared" ref="T55:U58" si="4">(T$46-P37)/(P38-P37)</f>
        <v>2.5336100088385791</v>
      </c>
      <c r="U55" s="114">
        <f t="shared" si="4"/>
        <v>1.2550450565628546</v>
      </c>
      <c r="V55" s="114"/>
      <c r="W55" s="114"/>
      <c r="X55" s="115"/>
    </row>
    <row r="56" spans="1:24" x14ac:dyDescent="0.3">
      <c r="A56" s="17">
        <v>884</v>
      </c>
      <c r="B56" s="17" t="s">
        <v>57</v>
      </c>
      <c r="C56" s="9"/>
      <c r="D56" s="9"/>
      <c r="K56" s="113">
        <f t="shared" si="3"/>
        <v>0.986316946982156</v>
      </c>
      <c r="L56" s="114">
        <f t="shared" si="3"/>
        <v>-2.7944254107613542</v>
      </c>
      <c r="M56" s="114">
        <f t="shared" si="3"/>
        <v>-3.92042984486966</v>
      </c>
      <c r="N56" s="114"/>
      <c r="O56" s="114">
        <f t="shared" ref="O56:Q58" si="5">(O$46-O38)/(O39-O38)</f>
        <v>0.46941310346287279</v>
      </c>
      <c r="P56" s="114">
        <f t="shared" si="5"/>
        <v>0.71868723658572653</v>
      </c>
      <c r="Q56" s="114">
        <f t="shared" si="5"/>
        <v>-2.0805297810243751E-2</v>
      </c>
      <c r="R56" s="114"/>
      <c r="S56" s="114">
        <f>(S$46-O38)/(O39-O38)</f>
        <v>2.7894252901389063</v>
      </c>
      <c r="T56" s="114">
        <f t="shared" si="4"/>
        <v>1.1411462573515154</v>
      </c>
      <c r="U56" s="114">
        <f t="shared" si="4"/>
        <v>0.27376258587052782</v>
      </c>
      <c r="V56" s="114"/>
      <c r="W56" s="114"/>
      <c r="X56" s="115"/>
    </row>
    <row r="57" spans="1:24" x14ac:dyDescent="0.3">
      <c r="A57" s="17">
        <v>919</v>
      </c>
      <c r="B57" s="17" t="s">
        <v>58</v>
      </c>
      <c r="C57" s="9"/>
      <c r="D57" s="9"/>
      <c r="K57" s="113">
        <f t="shared" si="3"/>
        <v>-9.2661498327506666E-3</v>
      </c>
      <c r="L57" s="114">
        <f t="shared" si="3"/>
        <v>-3.0012118880873788</v>
      </c>
      <c r="M57" s="114">
        <f t="shared" si="3"/>
        <v>-4.4013994634157374</v>
      </c>
      <c r="N57" s="114"/>
      <c r="O57" s="114">
        <f t="shared" si="5"/>
        <v>-0.35931291621801242</v>
      </c>
      <c r="P57" s="114">
        <f t="shared" si="5"/>
        <v>-0.22250515385944156</v>
      </c>
      <c r="Q57" s="114">
        <f t="shared" si="5"/>
        <v>-0.91312589177927117</v>
      </c>
      <c r="R57" s="114"/>
      <c r="S57" s="114">
        <f>(S$46-O39)/(O40-O39)</f>
        <v>1.2117970186417577</v>
      </c>
      <c r="T57" s="114">
        <f t="shared" si="4"/>
        <v>0.11164004550491648</v>
      </c>
      <c r="U57" s="114">
        <f t="shared" si="4"/>
        <v>-0.64963043181983726</v>
      </c>
      <c r="V57" s="114"/>
      <c r="W57" s="114"/>
      <c r="X57" s="115"/>
    </row>
    <row r="58" spans="1:24" x14ac:dyDescent="0.3">
      <c r="A58" s="17">
        <v>312</v>
      </c>
      <c r="B58" s="17" t="s">
        <v>59</v>
      </c>
      <c r="C58" s="9"/>
      <c r="D58" s="9"/>
      <c r="K58" s="113">
        <f t="shared" si="3"/>
        <v>-7.382065481957556E-2</v>
      </c>
      <c r="L58" s="114">
        <f t="shared" si="3"/>
        <v>-0.43612772398013527</v>
      </c>
      <c r="M58" s="114">
        <f t="shared" si="3"/>
        <v>-0.29045167286710361</v>
      </c>
      <c r="N58" s="114"/>
      <c r="O58" s="114">
        <f t="shared" si="5"/>
        <v>-9.9424091055217836E-2</v>
      </c>
      <c r="P58" s="114">
        <f t="shared" si="5"/>
        <v>-0.13325172603182567</v>
      </c>
      <c r="Q58" s="114">
        <f t="shared" si="5"/>
        <v>-0.10287530471246867</v>
      </c>
      <c r="R58" s="114"/>
      <c r="S58" s="114">
        <f>(S$46-O40)/(O41-O40)</f>
        <v>1.5491448521838697E-2</v>
      </c>
      <c r="T58" s="114">
        <f t="shared" si="4"/>
        <v>-9.6830264396279425E-2</v>
      </c>
      <c r="U58" s="114">
        <f t="shared" si="4"/>
        <v>-8.8706255069599491E-2</v>
      </c>
      <c r="V58" s="114"/>
      <c r="W58" s="114"/>
      <c r="X58" s="115"/>
    </row>
    <row r="59" spans="1:24" x14ac:dyDescent="0.3">
      <c r="A59" s="17">
        <v>313</v>
      </c>
      <c r="B59" s="17" t="s">
        <v>60</v>
      </c>
      <c r="C59" s="9"/>
      <c r="D59" s="9"/>
      <c r="K59" s="113"/>
      <c r="L59" s="114"/>
      <c r="M59" s="114"/>
      <c r="N59" s="114"/>
      <c r="O59" s="114"/>
      <c r="P59" s="114"/>
      <c r="Q59" s="114"/>
      <c r="R59" s="114"/>
      <c r="S59" s="114"/>
      <c r="T59" s="114"/>
      <c r="U59" s="114"/>
      <c r="V59" s="114"/>
      <c r="W59" s="114"/>
      <c r="X59" s="115"/>
    </row>
    <row r="60" spans="1:24" x14ac:dyDescent="0.3">
      <c r="A60" s="17">
        <v>921</v>
      </c>
      <c r="B60" s="17" t="s">
        <v>61</v>
      </c>
      <c r="C60" s="9"/>
      <c r="D60" s="9"/>
      <c r="K60" s="113"/>
      <c r="L60" s="114"/>
      <c r="M60" s="114"/>
      <c r="N60" s="114"/>
      <c r="O60" s="114"/>
      <c r="P60" s="114"/>
      <c r="Q60" s="114"/>
      <c r="R60" s="114"/>
      <c r="S60" s="114"/>
      <c r="T60" s="114"/>
      <c r="U60" s="114"/>
      <c r="V60" s="114"/>
      <c r="W60" s="114"/>
      <c r="X60" s="115"/>
    </row>
    <row r="61" spans="1:24" x14ac:dyDescent="0.3">
      <c r="A61" s="17">
        <v>420</v>
      </c>
      <c r="B61" s="17" t="s">
        <v>62</v>
      </c>
      <c r="C61" s="9"/>
      <c r="D61" s="9"/>
      <c r="K61" s="113" t="s">
        <v>193</v>
      </c>
      <c r="L61" s="114"/>
      <c r="M61" s="114"/>
      <c r="N61" s="114"/>
      <c r="O61" s="114" t="s">
        <v>193</v>
      </c>
      <c r="P61" s="114"/>
      <c r="Q61" s="114"/>
      <c r="R61" s="114"/>
      <c r="S61" s="114" t="s">
        <v>193</v>
      </c>
      <c r="T61" s="114"/>
      <c r="U61" s="114"/>
      <c r="V61" s="114"/>
      <c r="W61" s="114"/>
      <c r="X61" s="115"/>
    </row>
    <row r="62" spans="1:24" x14ac:dyDescent="0.3">
      <c r="A62" s="17">
        <v>206</v>
      </c>
      <c r="B62" s="17" t="s">
        <v>63</v>
      </c>
      <c r="C62" s="9"/>
      <c r="D62" s="9"/>
      <c r="K62" s="113">
        <f>INDEX(K54:K58,K44)</f>
        <v>0.986316946982156</v>
      </c>
      <c r="L62" s="114" t="e">
        <f>INDEX(L54:L58,L44)</f>
        <v>#VALUE!</v>
      </c>
      <c r="M62" s="114" t="e">
        <f>INDEX(M54:M58,M44)</f>
        <v>#VALUE!</v>
      </c>
      <c r="N62" s="114"/>
      <c r="O62" s="114">
        <f>INDEX(O54:O58,O44)</f>
        <v>0.46941310346287279</v>
      </c>
      <c r="P62" s="114">
        <f>INDEX(P54:P58,P44)</f>
        <v>0.71868723658572653</v>
      </c>
      <c r="Q62" s="114">
        <f>INDEX(Q54:Q58,Q44)</f>
        <v>0.98061718937981468</v>
      </c>
      <c r="R62" s="114"/>
      <c r="S62" s="114">
        <f>INDEX(S54:S58,S44)</f>
        <v>1.5491448521838697E-2</v>
      </c>
      <c r="T62" s="114">
        <f>INDEX(T54:T58,T44)</f>
        <v>0.11164004550491648</v>
      </c>
      <c r="U62" s="114">
        <f>INDEX(U54:U58,U44)</f>
        <v>0.27376258587052782</v>
      </c>
      <c r="V62" s="114"/>
      <c r="W62" s="114"/>
      <c r="X62" s="115"/>
    </row>
    <row r="63" spans="1:24" x14ac:dyDescent="0.3">
      <c r="A63" s="17">
        <v>207</v>
      </c>
      <c r="B63" s="17" t="s">
        <v>64</v>
      </c>
      <c r="C63" s="9"/>
      <c r="D63" s="9"/>
      <c r="K63" s="113">
        <f>IFERROR(K44+K62-0.5,-1)</f>
        <v>3.4863169469821562</v>
      </c>
      <c r="L63" s="114">
        <f>IFERROR(L44+L62-0.5,-1)</f>
        <v>-1</v>
      </c>
      <c r="M63" s="114">
        <f>IFERROR(M44+M62-0.5,-1)</f>
        <v>-1</v>
      </c>
      <c r="N63" s="114"/>
      <c r="O63" s="114">
        <f>IFERROR(O44+O62-0.5,-1)</f>
        <v>2.9694131034628728</v>
      </c>
      <c r="P63" s="114">
        <f>IFERROR(P44+P62-0.5,-1)</f>
        <v>3.2186872365857266</v>
      </c>
      <c r="Q63" s="114">
        <f>IFERROR(Q44+Q62-0.5,-1)</f>
        <v>2.4806171893798146</v>
      </c>
      <c r="R63" s="114"/>
      <c r="S63" s="114">
        <f>IFERROR(S44+S62-0.5,-1)</f>
        <v>4.5154914485218383</v>
      </c>
      <c r="T63" s="114">
        <f>IFERROR(T44+T62-0.5,-1)</f>
        <v>3.6116400455049167</v>
      </c>
      <c r="U63" s="114">
        <f>IFERROR(U44+U62-0.5,-1)</f>
        <v>2.7737625858705277</v>
      </c>
      <c r="V63" s="114"/>
      <c r="W63" s="114"/>
      <c r="X63" s="115"/>
    </row>
    <row r="64" spans="1:24" x14ac:dyDescent="0.3">
      <c r="A64" s="17">
        <v>886</v>
      </c>
      <c r="B64" s="17" t="s">
        <v>65</v>
      </c>
      <c r="C64" s="9"/>
      <c r="D64" s="9"/>
      <c r="K64" s="116"/>
      <c r="L64" s="117"/>
      <c r="M64" s="117"/>
      <c r="N64" s="117"/>
      <c r="O64" s="117"/>
      <c r="P64" s="117"/>
      <c r="Q64" s="117"/>
      <c r="R64" s="117"/>
      <c r="S64" s="117"/>
      <c r="T64" s="117"/>
      <c r="U64" s="117"/>
      <c r="V64" s="117"/>
      <c r="W64" s="117"/>
      <c r="X64" s="118"/>
    </row>
    <row r="65" spans="1:24" x14ac:dyDescent="0.3">
      <c r="A65" s="17">
        <v>810</v>
      </c>
      <c r="B65" s="17" t="s">
        <v>66</v>
      </c>
      <c r="C65" s="9"/>
      <c r="D65" s="9"/>
      <c r="K65" s="24"/>
      <c r="L65" s="24"/>
      <c r="M65" s="24"/>
      <c r="N65" s="24"/>
      <c r="O65" s="24"/>
      <c r="P65" s="24"/>
      <c r="Q65" s="24"/>
      <c r="R65" s="24"/>
      <c r="S65" s="24"/>
      <c r="T65" s="24"/>
      <c r="U65" s="24"/>
    </row>
    <row r="66" spans="1:24" x14ac:dyDescent="0.3">
      <c r="A66" s="17">
        <v>314</v>
      </c>
      <c r="B66" s="17" t="s">
        <v>67</v>
      </c>
      <c r="C66" s="9"/>
      <c r="D66" s="9"/>
      <c r="K66" s="134" t="s">
        <v>306</v>
      </c>
      <c r="L66" s="135"/>
      <c r="M66" s="135"/>
      <c r="N66" s="135"/>
      <c r="O66" s="135"/>
      <c r="P66" s="135"/>
      <c r="Q66" s="135"/>
      <c r="R66" s="135"/>
      <c r="S66" s="135"/>
      <c r="T66" s="135"/>
      <c r="U66" s="135"/>
      <c r="V66" s="135"/>
      <c r="W66" s="135"/>
      <c r="X66" s="136"/>
    </row>
    <row r="67" spans="1:24" x14ac:dyDescent="0.3">
      <c r="A67" s="17">
        <v>382</v>
      </c>
      <c r="B67" s="17" t="s">
        <v>68</v>
      </c>
      <c r="C67" s="9"/>
      <c r="D67" s="9"/>
      <c r="K67" s="137"/>
      <c r="L67" s="138"/>
      <c r="M67" s="138"/>
      <c r="N67" s="138"/>
      <c r="O67" s="138"/>
      <c r="P67" s="138"/>
      <c r="Q67" s="138"/>
      <c r="R67" s="138"/>
      <c r="S67" s="138"/>
      <c r="T67" s="138"/>
      <c r="U67" s="138"/>
      <c r="V67" s="138"/>
      <c r="W67" s="138"/>
      <c r="X67" s="139"/>
    </row>
    <row r="68" spans="1:24" x14ac:dyDescent="0.3">
      <c r="A68" s="17">
        <v>340</v>
      </c>
      <c r="B68" s="17" t="s">
        <v>69</v>
      </c>
      <c r="C68" s="9"/>
      <c r="D68" s="9"/>
      <c r="K68" s="137" t="s">
        <v>307</v>
      </c>
      <c r="L68" s="138"/>
      <c r="M68" s="138"/>
      <c r="N68" s="138"/>
      <c r="O68" s="138"/>
      <c r="P68" s="138"/>
      <c r="Q68" s="138"/>
      <c r="R68" s="138"/>
      <c r="S68" s="138"/>
      <c r="T68" s="138"/>
      <c r="U68" s="138"/>
      <c r="V68" s="138"/>
      <c r="W68" s="138"/>
      <c r="X68" s="139"/>
    </row>
    <row r="69" spans="1:24" x14ac:dyDescent="0.3">
      <c r="A69" s="17">
        <v>208</v>
      </c>
      <c r="B69" s="17" t="s">
        <v>70</v>
      </c>
      <c r="C69" s="9"/>
      <c r="D69" s="9"/>
      <c r="K69" s="137" t="str">
        <f>IF(chosen_LA&lt;&gt;"","Total primary and secondary basic need funding 2011-19","")</f>
        <v>Total primary and secondary basic need funding 2011-19</v>
      </c>
      <c r="L69" s="138"/>
      <c r="M69" s="138"/>
      <c r="N69" s="138"/>
      <c r="O69" s="138"/>
      <c r="P69" s="138"/>
      <c r="Q69" s="138"/>
      <c r="R69" s="138"/>
      <c r="S69" s="138"/>
      <c r="T69" s="138"/>
      <c r="U69" s="138"/>
      <c r="V69" s="138"/>
      <c r="W69" s="138"/>
      <c r="X69" s="139"/>
    </row>
    <row r="70" spans="1:24" x14ac:dyDescent="0.3">
      <c r="A70" s="17">
        <v>888</v>
      </c>
      <c r="B70" s="17" t="s">
        <v>71</v>
      </c>
      <c r="C70" s="9"/>
      <c r="D70" s="9"/>
      <c r="K70" s="137">
        <f>INDEX(Funding,URI)</f>
        <v>166955585.40000001</v>
      </c>
      <c r="L70" s="138" t="str">
        <f>TEXT(K70,"£###,,")</f>
        <v>£167</v>
      </c>
      <c r="M70" s="138" t="str">
        <f>IF(chosen_LA&lt;&gt;"",L70&amp;"m","")</f>
        <v>£167m</v>
      </c>
      <c r="N70" s="138"/>
      <c r="O70" s="138"/>
      <c r="P70" s="138"/>
      <c r="Q70" s="138"/>
      <c r="R70" s="138"/>
      <c r="S70" s="138"/>
      <c r="T70" s="138"/>
      <c r="U70" s="138"/>
      <c r="V70" s="138"/>
      <c r="W70" s="138"/>
      <c r="X70" s="139"/>
    </row>
    <row r="71" spans="1:24" x14ac:dyDescent="0.3">
      <c r="A71" s="17">
        <v>383</v>
      </c>
      <c r="B71" s="17" t="s">
        <v>72</v>
      </c>
      <c r="C71" s="9"/>
      <c r="D71" s="9"/>
      <c r="K71" s="137" t="s">
        <v>308</v>
      </c>
      <c r="L71" s="138"/>
      <c r="M71" s="138"/>
      <c r="N71" s="138"/>
      <c r="O71" s="138"/>
      <c r="P71" s="138"/>
      <c r="Q71" s="138"/>
      <c r="R71" s="138"/>
      <c r="S71" s="138"/>
      <c r="T71" s="138"/>
      <c r="U71" s="138"/>
      <c r="V71" s="138"/>
      <c r="W71" s="138"/>
      <c r="X71" s="139"/>
    </row>
    <row r="72" spans="1:24" x14ac:dyDescent="0.3">
      <c r="A72" s="17">
        <v>856</v>
      </c>
      <c r="B72" s="17" t="s">
        <v>73</v>
      </c>
      <c r="C72" s="9"/>
      <c r="D72" s="9"/>
      <c r="K72" s="137" t="str">
        <f>IF(chosen_LA&lt;&gt;"","Growth in "&amp;K73&amp;" pupil numbers 2009/10 to 2017/18","")</f>
        <v>Growth in primary pupil numbers 2009/10 to 2017/18</v>
      </c>
      <c r="L72" s="138"/>
      <c r="M72" s="138"/>
      <c r="N72" s="138"/>
      <c r="O72" s="138"/>
      <c r="P72" s="138"/>
      <c r="Q72" s="138"/>
      <c r="R72" s="138"/>
      <c r="S72" s="138"/>
      <c r="T72" s="138"/>
      <c r="U72" s="138"/>
      <c r="V72" s="138"/>
      <c r="W72" s="138"/>
      <c r="X72" s="139"/>
    </row>
    <row r="73" spans="1:24" x14ac:dyDescent="0.3">
      <c r="A73" s="17">
        <v>855</v>
      </c>
      <c r="B73" s="17" t="s">
        <v>74</v>
      </c>
      <c r="C73" s="9"/>
      <c r="D73" s="9"/>
      <c r="K73" s="137" t="str">
        <f>IF(chosen_phase="Primary","primary","secondary")</f>
        <v>primary</v>
      </c>
      <c r="L73" s="138"/>
      <c r="M73" s="138"/>
      <c r="N73" s="138"/>
      <c r="O73" s="138"/>
      <c r="P73" s="138"/>
      <c r="Q73" s="138"/>
      <c r="R73" s="138"/>
      <c r="S73" s="138"/>
      <c r="T73" s="138"/>
      <c r="U73" s="138"/>
      <c r="V73" s="138"/>
      <c r="W73" s="138"/>
      <c r="X73" s="139"/>
    </row>
    <row r="74" spans="1:24" x14ac:dyDescent="0.3">
      <c r="A74" s="17">
        <v>209</v>
      </c>
      <c r="B74" s="17" t="s">
        <v>75</v>
      </c>
      <c r="C74" s="9"/>
      <c r="D74" s="9"/>
      <c r="K74" s="137"/>
      <c r="L74" s="138"/>
      <c r="M74" s="138"/>
      <c r="N74" s="138"/>
      <c r="O74" s="138"/>
      <c r="P74" s="138"/>
      <c r="Q74" s="138"/>
      <c r="R74" s="138"/>
      <c r="S74" s="138"/>
      <c r="T74" s="138"/>
      <c r="U74" s="138"/>
      <c r="V74" s="138"/>
      <c r="W74" s="138"/>
      <c r="X74" s="139"/>
    </row>
    <row r="75" spans="1:24" x14ac:dyDescent="0.3">
      <c r="A75" s="17">
        <v>925</v>
      </c>
      <c r="B75" s="17" t="s">
        <v>76</v>
      </c>
      <c r="C75" s="9"/>
      <c r="D75" s="9"/>
      <c r="K75" s="137">
        <f>IF(chosen_phase="Primary",INDEX(Ban_P_gro,URI),INDEX(Ban_S_gro,URI))</f>
        <v>0.49403556155750628</v>
      </c>
      <c r="L75" s="138" t="str">
        <f>IF(chosen_LA&lt;&gt;"",IF(K75="N/A",K75,ROUND(K75,2)*100&amp;"%"),"")</f>
        <v>49%</v>
      </c>
      <c r="M75" s="138"/>
      <c r="N75" s="138"/>
      <c r="O75" s="138"/>
      <c r="P75" s="138"/>
      <c r="Q75" s="138"/>
      <c r="R75" s="138"/>
      <c r="S75" s="138"/>
      <c r="T75" s="138"/>
      <c r="U75" s="138"/>
      <c r="V75" s="138"/>
      <c r="W75" s="138"/>
      <c r="X75" s="139"/>
    </row>
    <row r="76" spans="1:24" x14ac:dyDescent="0.3">
      <c r="A76" s="17">
        <v>341</v>
      </c>
      <c r="B76" s="17" t="s">
        <v>77</v>
      </c>
      <c r="C76" s="9"/>
      <c r="D76" s="9"/>
      <c r="K76" s="140"/>
      <c r="L76" s="141"/>
      <c r="M76" s="141"/>
      <c r="N76" s="141"/>
      <c r="O76" s="141"/>
      <c r="P76" s="141"/>
      <c r="Q76" s="141"/>
      <c r="R76" s="141"/>
      <c r="S76" s="141"/>
      <c r="T76" s="141"/>
      <c r="U76" s="141"/>
      <c r="V76" s="141"/>
      <c r="W76" s="141"/>
      <c r="X76" s="142"/>
    </row>
    <row r="77" spans="1:24" x14ac:dyDescent="0.3">
      <c r="A77" s="17">
        <v>821</v>
      </c>
      <c r="B77" s="17" t="s">
        <v>78</v>
      </c>
      <c r="C77" s="9"/>
      <c r="D77" s="9"/>
    </row>
    <row r="78" spans="1:24" x14ac:dyDescent="0.3">
      <c r="A78" s="17">
        <v>352</v>
      </c>
      <c r="B78" s="17" t="s">
        <v>79</v>
      </c>
      <c r="C78" s="9"/>
      <c r="D78" s="9"/>
      <c r="K78" s="145" t="s">
        <v>323</v>
      </c>
      <c r="L78" s="146"/>
      <c r="M78" s="146"/>
      <c r="N78" s="146"/>
      <c r="O78" s="146"/>
      <c r="P78" s="146"/>
      <c r="Q78" s="146"/>
      <c r="R78" s="146"/>
      <c r="S78" s="146"/>
      <c r="T78" s="146"/>
      <c r="U78" s="146"/>
      <c r="V78" s="146"/>
      <c r="W78" s="146"/>
      <c r="X78" s="147"/>
    </row>
    <row r="79" spans="1:24" x14ac:dyDescent="0.3">
      <c r="A79" s="17">
        <v>887</v>
      </c>
      <c r="B79" s="17" t="s">
        <v>80</v>
      </c>
      <c r="C79" s="9"/>
      <c r="D79" s="9"/>
      <c r="K79" s="148" t="str">
        <f>IF(chosen_LA&lt;&gt;"","Proportion of applicants who received an offer of one of their top three preferences for Sept 2015 entry","")</f>
        <v>Proportion of applicants who received an offer of one of their top three preferences for Sept 2015 entry</v>
      </c>
      <c r="L79" s="149"/>
      <c r="M79" s="149"/>
      <c r="N79" s="149"/>
      <c r="O79" s="149"/>
      <c r="P79" s="149"/>
      <c r="Q79" s="149"/>
      <c r="R79" s="149"/>
      <c r="S79" s="149"/>
      <c r="T79" s="149"/>
      <c r="U79" s="149"/>
      <c r="V79" s="149"/>
      <c r="W79" s="149"/>
      <c r="X79" s="150"/>
    </row>
    <row r="80" spans="1:24" x14ac:dyDescent="0.3">
      <c r="A80" s="17">
        <v>315</v>
      </c>
      <c r="B80" s="17" t="s">
        <v>81</v>
      </c>
      <c r="C80" s="9"/>
      <c r="D80" s="9"/>
      <c r="K80" s="148"/>
      <c r="L80" s="149"/>
      <c r="M80" s="149"/>
      <c r="N80" s="149"/>
      <c r="O80" s="149"/>
      <c r="P80" s="149"/>
      <c r="Q80" s="149"/>
      <c r="R80" s="149"/>
      <c r="S80" s="149"/>
      <c r="T80" s="149"/>
      <c r="U80" s="149"/>
      <c r="V80" s="149"/>
      <c r="W80" s="149"/>
      <c r="X80" s="150"/>
    </row>
    <row r="81" spans="1:24" x14ac:dyDescent="0.3">
      <c r="A81" s="17">
        <v>806</v>
      </c>
      <c r="B81" s="17" t="s">
        <v>82</v>
      </c>
      <c r="C81" s="9"/>
      <c r="D81" s="9"/>
      <c r="K81" s="148"/>
      <c r="L81" s="149"/>
      <c r="M81" s="149"/>
      <c r="N81" s="149"/>
      <c r="O81" s="149"/>
      <c r="P81" s="149"/>
      <c r="Q81" s="149"/>
      <c r="R81" s="149"/>
      <c r="S81" s="149"/>
      <c r="T81" s="149"/>
      <c r="U81" s="149"/>
      <c r="V81" s="149"/>
      <c r="W81" s="149"/>
      <c r="X81" s="150"/>
    </row>
    <row r="82" spans="1:24" ht="16.2" x14ac:dyDescent="0.3">
      <c r="A82" s="17">
        <v>826</v>
      </c>
      <c r="B82" s="17" t="s">
        <v>83</v>
      </c>
      <c r="C82" s="9"/>
      <c r="D82" s="9"/>
      <c r="K82" s="148" t="s">
        <v>333</v>
      </c>
      <c r="L82" s="149" t="s">
        <v>334</v>
      </c>
      <c r="M82" s="149" t="s">
        <v>335</v>
      </c>
      <c r="N82" s="149"/>
      <c r="O82" s="149" t="s">
        <v>332</v>
      </c>
      <c r="P82" s="149" t="s">
        <v>200</v>
      </c>
      <c r="Q82" s="149"/>
      <c r="R82" s="149"/>
      <c r="S82" s="149"/>
      <c r="T82" s="149"/>
      <c r="U82" s="149"/>
      <c r="V82" s="149"/>
      <c r="W82" s="149"/>
      <c r="X82" s="150"/>
    </row>
    <row r="83" spans="1:24" x14ac:dyDescent="0.3">
      <c r="A83" s="17">
        <v>391</v>
      </c>
      <c r="B83" s="17" t="s">
        <v>84</v>
      </c>
      <c r="C83" s="9"/>
      <c r="D83" s="9"/>
      <c r="K83" s="148">
        <f>IF(chosen_phase="Primary",INDEX(Pref_P_1,URI),INDEX(Pref_S_1,URI))</f>
        <v>90.7</v>
      </c>
      <c r="L83" s="149">
        <f>IF(chosen_phase="Primary",INDEX(Pref_P_2,URI),INDEX(Pref_S_2,URI))</f>
        <v>4.8</v>
      </c>
      <c r="M83" s="149">
        <f>IF(chosen_phase="Primary",INDEX(Pref_P_3,URI),INDEX(Pref_S_3,URI))</f>
        <v>2.1</v>
      </c>
      <c r="N83" s="149">
        <f>100-K83-L83-M83</f>
        <v>2.3999999999999972</v>
      </c>
      <c r="O83" s="149" t="str">
        <f>IF(OR(chosen_LA="Isles of Scilly",chosen_LA=""),"-",IF(chosen_phase="Primary",INDEX(Pref_P_T3,URI)&amp;"%",INDEX(Pref_S_T3,URI)&amp;"%"))</f>
        <v>97.6%</v>
      </c>
      <c r="P83" s="149" t="str">
        <f>IF(chosen_phase="Primary","95.9%","95.0%")</f>
        <v>95.9%</v>
      </c>
      <c r="Q83" s="149"/>
      <c r="R83" s="149"/>
      <c r="S83" s="149"/>
      <c r="T83" s="149"/>
      <c r="U83" s="149"/>
      <c r="V83" s="149"/>
      <c r="W83" s="149"/>
      <c r="X83" s="150"/>
    </row>
    <row r="84" spans="1:24" x14ac:dyDescent="0.3">
      <c r="A84" s="17">
        <v>316</v>
      </c>
      <c r="B84" s="17" t="s">
        <v>85</v>
      </c>
      <c r="C84" s="9"/>
      <c r="D84" s="9"/>
      <c r="K84" s="148"/>
      <c r="L84" s="149"/>
      <c r="M84" s="149"/>
      <c r="N84" s="149"/>
      <c r="O84" s="149"/>
      <c r="P84" s="149"/>
      <c r="Q84" s="149"/>
      <c r="R84" s="149"/>
      <c r="S84" s="149"/>
      <c r="T84" s="149"/>
      <c r="U84" s="149"/>
      <c r="V84" s="149"/>
      <c r="W84" s="149"/>
      <c r="X84" s="150"/>
    </row>
    <row r="85" spans="1:24" x14ac:dyDescent="0.3">
      <c r="A85" s="17">
        <v>926</v>
      </c>
      <c r="B85" s="17" t="s">
        <v>86</v>
      </c>
      <c r="C85" s="9"/>
      <c r="D85" s="9"/>
      <c r="K85" s="148"/>
      <c r="L85" s="149"/>
      <c r="M85" s="149"/>
      <c r="N85" s="149"/>
      <c r="O85" s="149"/>
      <c r="P85" s="149"/>
      <c r="Q85" s="149"/>
      <c r="R85" s="149"/>
      <c r="S85" s="149"/>
      <c r="T85" s="149"/>
      <c r="U85" s="149"/>
      <c r="V85" s="149"/>
      <c r="W85" s="149"/>
      <c r="X85" s="150"/>
    </row>
    <row r="86" spans="1:24" x14ac:dyDescent="0.3">
      <c r="A86" s="17">
        <v>812</v>
      </c>
      <c r="B86" s="17" t="s">
        <v>87</v>
      </c>
      <c r="C86" s="9"/>
      <c r="D86" s="9"/>
      <c r="K86" s="151"/>
      <c r="L86" s="152"/>
      <c r="M86" s="152"/>
      <c r="N86" s="152"/>
      <c r="O86" s="152"/>
      <c r="P86" s="152"/>
      <c r="Q86" s="152"/>
      <c r="R86" s="152"/>
      <c r="S86" s="152"/>
      <c r="T86" s="152"/>
      <c r="U86" s="152"/>
      <c r="V86" s="152"/>
      <c r="W86" s="152"/>
      <c r="X86" s="153"/>
    </row>
    <row r="87" spans="1:24" x14ac:dyDescent="0.3">
      <c r="A87" s="17">
        <v>813</v>
      </c>
      <c r="B87" s="17" t="s">
        <v>88</v>
      </c>
      <c r="C87" s="9"/>
      <c r="D87" s="9"/>
    </row>
    <row r="88" spans="1:24" x14ac:dyDescent="0.3">
      <c r="A88" s="17">
        <v>802</v>
      </c>
      <c r="B88" s="17" t="s">
        <v>89</v>
      </c>
      <c r="C88" s="9"/>
      <c r="D88" s="9"/>
    </row>
    <row r="89" spans="1:24" x14ac:dyDescent="0.3">
      <c r="A89" s="17">
        <v>392</v>
      </c>
      <c r="B89" s="17" t="s">
        <v>90</v>
      </c>
      <c r="C89" s="9"/>
      <c r="D89" s="9"/>
    </row>
    <row r="90" spans="1:24" x14ac:dyDescent="0.3">
      <c r="A90" s="17">
        <v>815</v>
      </c>
      <c r="B90" s="17" t="s">
        <v>91</v>
      </c>
      <c r="C90" s="9"/>
      <c r="D90" s="9"/>
    </row>
    <row r="91" spans="1:24" x14ac:dyDescent="0.3">
      <c r="A91" s="17">
        <v>928</v>
      </c>
      <c r="B91" s="17" t="s">
        <v>92</v>
      </c>
      <c r="C91" s="9"/>
      <c r="D91" s="9"/>
    </row>
    <row r="92" spans="1:24" x14ac:dyDescent="0.3">
      <c r="A92" s="17">
        <v>929</v>
      </c>
      <c r="B92" s="17" t="s">
        <v>93</v>
      </c>
      <c r="C92" s="9"/>
      <c r="D92" s="9"/>
    </row>
    <row r="93" spans="1:24" x14ac:dyDescent="0.3">
      <c r="A93" s="17">
        <v>892</v>
      </c>
      <c r="B93" s="17" t="s">
        <v>94</v>
      </c>
      <c r="C93" s="9"/>
      <c r="D93" s="9"/>
    </row>
    <row r="94" spans="1:24" x14ac:dyDescent="0.3">
      <c r="A94" s="17">
        <v>891</v>
      </c>
      <c r="B94" s="17" t="s">
        <v>95</v>
      </c>
      <c r="C94" s="9"/>
      <c r="D94" s="9"/>
    </row>
    <row r="95" spans="1:24" x14ac:dyDescent="0.3">
      <c r="A95" s="17">
        <v>353</v>
      </c>
      <c r="B95" s="17" t="s">
        <v>96</v>
      </c>
      <c r="C95" s="9"/>
      <c r="D95" s="9"/>
    </row>
    <row r="96" spans="1:24" x14ac:dyDescent="0.3">
      <c r="A96" s="17">
        <v>931</v>
      </c>
      <c r="B96" s="17" t="s">
        <v>97</v>
      </c>
      <c r="C96" s="9"/>
      <c r="D96" s="9"/>
    </row>
    <row r="97" spans="1:4" x14ac:dyDescent="0.3">
      <c r="A97" s="17">
        <v>874</v>
      </c>
      <c r="B97" s="17" t="s">
        <v>98</v>
      </c>
      <c r="C97" s="9"/>
      <c r="D97" s="9"/>
    </row>
    <row r="98" spans="1:4" x14ac:dyDescent="0.3">
      <c r="A98" s="17">
        <v>879</v>
      </c>
      <c r="B98" s="17" t="s">
        <v>99</v>
      </c>
      <c r="C98" s="9"/>
      <c r="D98" s="9"/>
    </row>
    <row r="99" spans="1:4" x14ac:dyDescent="0.3">
      <c r="A99" s="17">
        <v>836</v>
      </c>
      <c r="B99" s="17" t="s">
        <v>100</v>
      </c>
      <c r="C99" s="9"/>
      <c r="D99" s="9"/>
    </row>
    <row r="100" spans="1:4" x14ac:dyDescent="0.3">
      <c r="A100" s="17">
        <v>851</v>
      </c>
      <c r="B100" s="17" t="s">
        <v>101</v>
      </c>
      <c r="C100" s="9"/>
      <c r="D100" s="9"/>
    </row>
    <row r="101" spans="1:4" x14ac:dyDescent="0.3">
      <c r="A101" s="17">
        <v>870</v>
      </c>
      <c r="B101" s="17" t="s">
        <v>102</v>
      </c>
      <c r="C101" s="9"/>
      <c r="D101" s="9"/>
    </row>
    <row r="102" spans="1:4" x14ac:dyDescent="0.3">
      <c r="A102" s="17">
        <v>317</v>
      </c>
      <c r="B102" s="17" t="s">
        <v>103</v>
      </c>
      <c r="C102" s="9"/>
      <c r="D102" s="9"/>
    </row>
    <row r="103" spans="1:4" x14ac:dyDescent="0.3">
      <c r="A103" s="17">
        <v>807</v>
      </c>
      <c r="B103" s="17" t="s">
        <v>104</v>
      </c>
      <c r="C103" s="9"/>
      <c r="D103" s="9"/>
    </row>
    <row r="104" spans="1:4" x14ac:dyDescent="0.3">
      <c r="A104" s="17">
        <v>318</v>
      </c>
      <c r="B104" s="17" t="s">
        <v>105</v>
      </c>
      <c r="C104" s="9"/>
      <c r="D104" s="9"/>
    </row>
    <row r="105" spans="1:4" x14ac:dyDescent="0.3">
      <c r="A105" s="17">
        <v>354</v>
      </c>
      <c r="B105" s="17" t="s">
        <v>106</v>
      </c>
      <c r="C105" s="9"/>
      <c r="D105" s="9"/>
    </row>
    <row r="106" spans="1:4" x14ac:dyDescent="0.3">
      <c r="A106" s="17">
        <v>372</v>
      </c>
      <c r="B106" s="17" t="s">
        <v>107</v>
      </c>
      <c r="C106" s="9"/>
      <c r="D106" s="9"/>
    </row>
    <row r="107" spans="1:4" x14ac:dyDescent="0.3">
      <c r="A107" s="17">
        <v>857</v>
      </c>
      <c r="B107" s="17" t="s">
        <v>108</v>
      </c>
      <c r="C107" s="9"/>
      <c r="D107" s="9"/>
    </row>
    <row r="108" spans="1:4" x14ac:dyDescent="0.3">
      <c r="A108" s="17">
        <v>355</v>
      </c>
      <c r="B108" s="17" t="s">
        <v>109</v>
      </c>
      <c r="C108" s="9"/>
      <c r="D108" s="9"/>
    </row>
    <row r="109" spans="1:4" x14ac:dyDescent="0.3">
      <c r="A109" s="17">
        <v>333</v>
      </c>
      <c r="B109" s="17" t="s">
        <v>110</v>
      </c>
      <c r="C109" s="9"/>
      <c r="D109" s="9"/>
    </row>
    <row r="110" spans="1:4" x14ac:dyDescent="0.3">
      <c r="A110" s="17">
        <v>343</v>
      </c>
      <c r="B110" s="17" t="s">
        <v>111</v>
      </c>
      <c r="C110" s="9"/>
      <c r="D110" s="9"/>
    </row>
    <row r="111" spans="1:4" x14ac:dyDescent="0.3">
      <c r="A111" s="17">
        <v>373</v>
      </c>
      <c r="B111" s="17" t="s">
        <v>112</v>
      </c>
      <c r="C111" s="9"/>
      <c r="D111" s="9"/>
    </row>
    <row r="112" spans="1:4" x14ac:dyDescent="0.3">
      <c r="A112" s="17">
        <v>893</v>
      </c>
      <c r="B112" s="17" t="s">
        <v>113</v>
      </c>
      <c r="C112" s="9"/>
      <c r="D112" s="9"/>
    </row>
    <row r="113" spans="1:4" x14ac:dyDescent="0.3">
      <c r="A113" s="17">
        <v>871</v>
      </c>
      <c r="B113" s="17" t="s">
        <v>114</v>
      </c>
      <c r="C113" s="9"/>
      <c r="D113" s="9"/>
    </row>
    <row r="114" spans="1:4" x14ac:dyDescent="0.3">
      <c r="A114" s="17">
        <v>334</v>
      </c>
      <c r="B114" s="17" t="s">
        <v>115</v>
      </c>
      <c r="C114" s="9"/>
      <c r="D114" s="9"/>
    </row>
    <row r="115" spans="1:4" x14ac:dyDescent="0.3">
      <c r="A115" s="17">
        <v>933</v>
      </c>
      <c r="B115" s="17" t="s">
        <v>116</v>
      </c>
      <c r="C115" s="9"/>
      <c r="D115" s="9"/>
    </row>
    <row r="116" spans="1:4" x14ac:dyDescent="0.3">
      <c r="A116" s="17">
        <v>803</v>
      </c>
      <c r="B116" s="17" t="s">
        <v>117</v>
      </c>
      <c r="C116" s="9"/>
      <c r="D116" s="9"/>
    </row>
    <row r="117" spans="1:4" x14ac:dyDescent="0.3">
      <c r="A117" s="17">
        <v>393</v>
      </c>
      <c r="B117" s="17" t="s">
        <v>118</v>
      </c>
      <c r="C117" s="9"/>
      <c r="D117" s="9"/>
    </row>
    <row r="118" spans="1:4" x14ac:dyDescent="0.3">
      <c r="A118" s="17">
        <v>852</v>
      </c>
      <c r="B118" s="17" t="s">
        <v>119</v>
      </c>
      <c r="C118" s="9"/>
      <c r="D118" s="9"/>
    </row>
    <row r="119" spans="1:4" x14ac:dyDescent="0.3">
      <c r="A119" s="17">
        <v>882</v>
      </c>
      <c r="B119" s="17" t="s">
        <v>120</v>
      </c>
      <c r="C119" s="9"/>
      <c r="D119" s="9"/>
    </row>
    <row r="120" spans="1:4" x14ac:dyDescent="0.3">
      <c r="A120" s="17">
        <v>210</v>
      </c>
      <c r="B120" s="17" t="s">
        <v>121</v>
      </c>
      <c r="C120" s="9"/>
      <c r="D120" s="9"/>
    </row>
    <row r="121" spans="1:4" x14ac:dyDescent="0.3">
      <c r="A121" s="17">
        <v>342</v>
      </c>
      <c r="B121" s="17" t="s">
        <v>122</v>
      </c>
      <c r="C121" s="9"/>
      <c r="D121" s="9"/>
    </row>
    <row r="122" spans="1:4" x14ac:dyDescent="0.3">
      <c r="A122" s="17">
        <v>860</v>
      </c>
      <c r="B122" s="17" t="s">
        <v>123</v>
      </c>
      <c r="C122" s="9"/>
      <c r="D122" s="9"/>
    </row>
    <row r="123" spans="1:4" x14ac:dyDescent="0.3">
      <c r="A123" s="17">
        <v>356</v>
      </c>
      <c r="B123" s="17" t="s">
        <v>124</v>
      </c>
      <c r="C123" s="9"/>
      <c r="D123" s="9"/>
    </row>
    <row r="124" spans="1:4" x14ac:dyDescent="0.3">
      <c r="A124" s="17">
        <v>808</v>
      </c>
      <c r="B124" s="17" t="s">
        <v>125</v>
      </c>
      <c r="C124" s="9"/>
      <c r="D124" s="9"/>
    </row>
    <row r="125" spans="1:4" x14ac:dyDescent="0.3">
      <c r="A125" s="17">
        <v>861</v>
      </c>
      <c r="B125" s="17" t="s">
        <v>126</v>
      </c>
      <c r="C125" s="9"/>
      <c r="D125" s="9"/>
    </row>
    <row r="126" spans="1:4" x14ac:dyDescent="0.3">
      <c r="A126" s="17">
        <v>935</v>
      </c>
      <c r="B126" s="17" t="s">
        <v>127</v>
      </c>
      <c r="C126" s="9"/>
      <c r="D126" s="9"/>
    </row>
    <row r="127" spans="1:4" x14ac:dyDescent="0.3">
      <c r="A127" s="17">
        <v>394</v>
      </c>
      <c r="B127" s="17" t="s">
        <v>128</v>
      </c>
      <c r="C127" s="9"/>
      <c r="D127" s="9"/>
    </row>
    <row r="128" spans="1:4" x14ac:dyDescent="0.3">
      <c r="A128" s="17">
        <v>936</v>
      </c>
      <c r="B128" s="17" t="s">
        <v>129</v>
      </c>
      <c r="C128" s="9"/>
      <c r="D128" s="9"/>
    </row>
    <row r="129" spans="1:4" x14ac:dyDescent="0.3">
      <c r="A129" s="17">
        <v>319</v>
      </c>
      <c r="B129" s="17" t="s">
        <v>130</v>
      </c>
      <c r="C129" s="9"/>
      <c r="D129" s="9"/>
    </row>
    <row r="130" spans="1:4" x14ac:dyDescent="0.3">
      <c r="A130" s="17">
        <v>866</v>
      </c>
      <c r="B130" s="17" t="s">
        <v>131</v>
      </c>
      <c r="C130" s="9"/>
      <c r="D130" s="9"/>
    </row>
    <row r="131" spans="1:4" x14ac:dyDescent="0.3">
      <c r="A131" s="17">
        <v>357</v>
      </c>
      <c r="B131" s="17" t="s">
        <v>132</v>
      </c>
      <c r="C131" s="9"/>
      <c r="D131" s="9"/>
    </row>
    <row r="132" spans="1:4" x14ac:dyDescent="0.3">
      <c r="A132" s="17">
        <v>894</v>
      </c>
      <c r="B132" s="17" t="s">
        <v>133</v>
      </c>
      <c r="C132" s="9"/>
      <c r="D132" s="9"/>
    </row>
    <row r="133" spans="1:4" x14ac:dyDescent="0.3">
      <c r="A133" s="17">
        <v>883</v>
      </c>
      <c r="B133" s="17" t="s">
        <v>134</v>
      </c>
      <c r="C133" s="9"/>
      <c r="D133" s="9"/>
    </row>
    <row r="134" spans="1:4" x14ac:dyDescent="0.3">
      <c r="A134" s="17">
        <v>880</v>
      </c>
      <c r="B134" s="17" t="s">
        <v>135</v>
      </c>
      <c r="C134" s="9"/>
      <c r="D134" s="9"/>
    </row>
    <row r="135" spans="1:4" x14ac:dyDescent="0.3">
      <c r="A135" s="17">
        <v>211</v>
      </c>
      <c r="B135" s="17" t="s">
        <v>136</v>
      </c>
      <c r="C135" s="9"/>
      <c r="D135" s="9"/>
    </row>
    <row r="136" spans="1:4" x14ac:dyDescent="0.3">
      <c r="A136" s="17">
        <v>358</v>
      </c>
      <c r="B136" s="17" t="s">
        <v>137</v>
      </c>
      <c r="C136" s="9"/>
      <c r="D136" s="9"/>
    </row>
    <row r="137" spans="1:4" x14ac:dyDescent="0.3">
      <c r="A137" s="17">
        <v>384</v>
      </c>
      <c r="B137" s="17" t="s">
        <v>138</v>
      </c>
      <c r="C137" s="9"/>
      <c r="D137" s="9"/>
    </row>
    <row r="138" spans="1:4" x14ac:dyDescent="0.3">
      <c r="A138" s="17">
        <v>335</v>
      </c>
      <c r="B138" s="17" t="s">
        <v>139</v>
      </c>
      <c r="C138" s="9"/>
      <c r="D138" s="9"/>
    </row>
    <row r="139" spans="1:4" x14ac:dyDescent="0.3">
      <c r="A139" s="17">
        <v>320</v>
      </c>
      <c r="B139" s="17" t="s">
        <v>140</v>
      </c>
      <c r="C139" s="9"/>
      <c r="D139" s="9"/>
    </row>
    <row r="140" spans="1:4" x14ac:dyDescent="0.3">
      <c r="A140" s="17">
        <v>212</v>
      </c>
      <c r="B140" s="17" t="s">
        <v>141</v>
      </c>
      <c r="C140" s="9"/>
      <c r="D140" s="9"/>
    </row>
    <row r="141" spans="1:4" x14ac:dyDescent="0.3">
      <c r="A141" s="17">
        <v>877</v>
      </c>
      <c r="B141" s="17" t="s">
        <v>142</v>
      </c>
      <c r="C141" s="9"/>
      <c r="D141" s="9"/>
    </row>
    <row r="142" spans="1:4" x14ac:dyDescent="0.3">
      <c r="A142" s="17">
        <v>937</v>
      </c>
      <c r="B142" s="17" t="s">
        <v>143</v>
      </c>
      <c r="C142" s="9"/>
      <c r="D142" s="9"/>
    </row>
    <row r="143" spans="1:4" x14ac:dyDescent="0.3">
      <c r="A143" s="17">
        <v>869</v>
      </c>
      <c r="B143" s="17" t="s">
        <v>144</v>
      </c>
      <c r="C143" s="9"/>
      <c r="D143" s="9"/>
    </row>
    <row r="144" spans="1:4" x14ac:dyDescent="0.3">
      <c r="A144" s="17">
        <v>938</v>
      </c>
      <c r="B144" s="17" t="s">
        <v>145</v>
      </c>
      <c r="C144" s="9"/>
      <c r="D144" s="9"/>
    </row>
    <row r="145" spans="1:4" x14ac:dyDescent="0.3">
      <c r="A145" s="17">
        <v>213</v>
      </c>
      <c r="B145" s="17" t="s">
        <v>146</v>
      </c>
      <c r="C145" s="9"/>
      <c r="D145" s="9"/>
    </row>
    <row r="146" spans="1:4" x14ac:dyDescent="0.3">
      <c r="A146" s="17">
        <v>359</v>
      </c>
      <c r="B146" s="17" t="s">
        <v>147</v>
      </c>
      <c r="C146" s="9"/>
      <c r="D146" s="9"/>
    </row>
    <row r="147" spans="1:4" x14ac:dyDescent="0.3">
      <c r="A147" s="17">
        <v>865</v>
      </c>
      <c r="B147" s="17" t="s">
        <v>148</v>
      </c>
      <c r="C147" s="9"/>
      <c r="D147" s="9"/>
    </row>
    <row r="148" spans="1:4" x14ac:dyDescent="0.3">
      <c r="A148" s="17">
        <v>868</v>
      </c>
      <c r="B148" s="17" t="s">
        <v>149</v>
      </c>
      <c r="C148" s="9"/>
      <c r="D148" s="9"/>
    </row>
    <row r="149" spans="1:4" x14ac:dyDescent="0.3">
      <c r="A149" s="17">
        <v>344</v>
      </c>
      <c r="B149" s="17" t="s">
        <v>150</v>
      </c>
      <c r="C149" s="9"/>
      <c r="D149" s="9"/>
    </row>
    <row r="150" spans="1:4" x14ac:dyDescent="0.3">
      <c r="A150" s="17">
        <v>872</v>
      </c>
      <c r="B150" s="17" t="s">
        <v>151</v>
      </c>
      <c r="C150" s="9"/>
      <c r="D150" s="9"/>
    </row>
    <row r="151" spans="1:4" x14ac:dyDescent="0.3">
      <c r="A151" s="17">
        <v>336</v>
      </c>
      <c r="B151" s="17" t="s">
        <v>152</v>
      </c>
      <c r="C151" s="9"/>
      <c r="D151" s="9"/>
    </row>
    <row r="152" spans="1:4" x14ac:dyDescent="0.3">
      <c r="A152" s="17">
        <v>885</v>
      </c>
      <c r="B152" s="17" t="s">
        <v>153</v>
      </c>
      <c r="C152" s="9"/>
      <c r="D152" s="9"/>
    </row>
    <row r="153" spans="1:4" x14ac:dyDescent="0.3">
      <c r="A153" s="17">
        <v>816</v>
      </c>
      <c r="B153" s="17" t="s">
        <v>154</v>
      </c>
      <c r="C153" s="9"/>
      <c r="D153" s="9"/>
    </row>
  </sheetData>
  <sheetProtection sheet="1" objects="1" scenarios="1"/>
  <mergeCells count="2">
    <mergeCell ref="S18:T18"/>
    <mergeCell ref="U18:V18"/>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2:B8"/>
  <sheetViews>
    <sheetView workbookViewId="0">
      <selection activeCell="F12" sqref="F12"/>
    </sheetView>
  </sheetViews>
  <sheetFormatPr defaultRowHeight="14.4" x14ac:dyDescent="0.3"/>
  <sheetData>
    <row r="2" spans="1:2" x14ac:dyDescent="0.25">
      <c r="A2" t="s">
        <v>271</v>
      </c>
    </row>
    <row r="3" spans="1:2" x14ac:dyDescent="0.25">
      <c r="A3" s="1"/>
      <c r="B3" t="s">
        <v>269</v>
      </c>
    </row>
    <row r="4" spans="1:2" x14ac:dyDescent="0.25">
      <c r="A4" s="2"/>
      <c r="B4" t="s">
        <v>268</v>
      </c>
    </row>
    <row r="5" spans="1:2" x14ac:dyDescent="0.25">
      <c r="A5" s="4"/>
      <c r="B5" t="s">
        <v>341</v>
      </c>
    </row>
    <row r="6" spans="1:2" x14ac:dyDescent="0.25">
      <c r="A6" s="5"/>
      <c r="B6" t="s">
        <v>270</v>
      </c>
    </row>
    <row r="7" spans="1:2" x14ac:dyDescent="0.25">
      <c r="A7" s="143"/>
      <c r="B7" t="s">
        <v>318</v>
      </c>
    </row>
    <row r="8" spans="1:2" x14ac:dyDescent="0.25">
      <c r="A8" s="144"/>
      <c r="B8" t="s">
        <v>340</v>
      </c>
    </row>
  </sheetData>
  <sortState ref="A2:A152">
    <sortCondition ref="A2:A152"/>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CN155"/>
  <sheetViews>
    <sheetView workbookViewId="0">
      <pane xSplit="1" ySplit="1" topLeftCell="BZ2" activePane="bottomRight" state="frozen"/>
      <selection pane="topRight" activeCell="C1" sqref="C1"/>
      <selection pane="bottomLeft" activeCell="A2" sqref="A2"/>
      <selection pane="bottomRight" activeCell="CM8" sqref="CM1:CM1048576"/>
    </sheetView>
  </sheetViews>
  <sheetFormatPr defaultRowHeight="14.4" x14ac:dyDescent="0.3"/>
  <cols>
    <col min="1" max="1" width="13" customWidth="1"/>
    <col min="2" max="3" width="21.6640625" style="1" bestFit="1" customWidth="1"/>
    <col min="4" max="5" width="22.33203125" style="1" bestFit="1" customWidth="1"/>
    <col min="6" max="6" width="22.5546875" style="2" bestFit="1" customWidth="1"/>
    <col min="7" max="7" width="22.88671875" style="2" bestFit="1" customWidth="1"/>
    <col min="8" max="8" width="14.6640625" style="2" bestFit="1" customWidth="1"/>
    <col min="9" max="9" width="14.5546875" style="2" bestFit="1" customWidth="1"/>
    <col min="10" max="10" width="23.33203125" style="2" bestFit="1" customWidth="1"/>
    <col min="11" max="11" width="24" style="2" bestFit="1" customWidth="1"/>
    <col min="12" max="16" width="12.33203125" style="4" bestFit="1" customWidth="1"/>
    <col min="17" max="21" width="12" style="4" bestFit="1" customWidth="1"/>
    <col min="22" max="22" width="13.6640625" style="4" bestFit="1" customWidth="1"/>
    <col min="23" max="23" width="18.6640625" style="4" bestFit="1" customWidth="1"/>
    <col min="24" max="28" width="12.33203125" style="4" bestFit="1" customWidth="1"/>
    <col min="29" max="33" width="11.88671875" style="4" bestFit="1" customWidth="1"/>
    <col min="34" max="34" width="13.6640625" style="4" bestFit="1" customWidth="1"/>
    <col min="35" max="35" width="18.5546875" style="4" bestFit="1" customWidth="1"/>
    <col min="36" max="36" width="15.44140625" style="4" bestFit="1" customWidth="1"/>
    <col min="37" max="37" width="15.33203125" style="4" bestFit="1" customWidth="1"/>
    <col min="38" max="38" width="15.44140625" style="4" bestFit="1" customWidth="1"/>
    <col min="39" max="40" width="15.44140625" style="4" customWidth="1"/>
    <col min="41" max="41" width="20.6640625" style="4" bestFit="1" customWidth="1"/>
    <col min="42" max="45" width="15.44140625" style="4" customWidth="1"/>
    <col min="46" max="46" width="15.44140625" style="4" bestFit="1" customWidth="1"/>
    <col min="47" max="47" width="15.33203125" style="4" bestFit="1" customWidth="1"/>
    <col min="48" max="48" width="15.44140625" style="4" bestFit="1" customWidth="1"/>
    <col min="49" max="49" width="14" style="4" customWidth="1"/>
    <col min="50" max="50" width="15.6640625" style="4" bestFit="1" customWidth="1"/>
    <col min="51" max="51" width="20.6640625" style="4" bestFit="1" customWidth="1"/>
    <col min="52" max="52" width="15" style="4" bestFit="1" customWidth="1"/>
    <col min="53" max="53" width="14.88671875" style="4" bestFit="1" customWidth="1"/>
    <col min="54" max="54" width="15" style="4" bestFit="1" customWidth="1"/>
    <col min="55" max="55" width="13.88671875" style="4" bestFit="1" customWidth="1"/>
    <col min="56" max="57" width="12" style="5" bestFit="1" customWidth="1"/>
    <col min="58" max="58" width="12.109375" style="5" bestFit="1" customWidth="1"/>
    <col min="59" max="59" width="16.6640625" style="5" bestFit="1" customWidth="1"/>
    <col min="60" max="62" width="12" style="5" bestFit="1" customWidth="1"/>
    <col min="63" max="63" width="16.6640625" style="5" bestFit="1" customWidth="1"/>
    <col min="64" max="65" width="15.109375" style="5" bestFit="1" customWidth="1"/>
    <col min="66" max="66" width="15.44140625" style="5" bestFit="1" customWidth="1"/>
    <col min="67" max="68" width="15" style="5" bestFit="1" customWidth="1"/>
    <col min="69" max="69" width="15.33203125" style="5" bestFit="1" customWidth="1"/>
    <col min="70" max="71" width="15.44140625" style="5" bestFit="1" customWidth="1"/>
    <col min="72" max="72" width="15.6640625" style="5" bestFit="1" customWidth="1"/>
    <col min="73" max="74" width="15.33203125" style="5" bestFit="1" customWidth="1"/>
    <col min="75" max="75" width="15.5546875" style="5" bestFit="1" customWidth="1"/>
    <col min="76" max="77" width="12.88671875" style="5" bestFit="1" customWidth="1"/>
    <col min="78" max="78" width="13.109375" style="5" bestFit="1" customWidth="1"/>
    <col min="79" max="80" width="12.6640625" style="5" bestFit="1" customWidth="1"/>
    <col min="81" max="81" width="13" style="5" bestFit="1" customWidth="1"/>
    <col min="82" max="83" width="9.6640625" style="143" bestFit="1" customWidth="1"/>
    <col min="84" max="84" width="13.33203125" style="143" customWidth="1"/>
    <col min="85" max="86" width="8.88671875" style="144"/>
    <col min="87" max="87" width="10" style="144" bestFit="1" customWidth="1"/>
    <col min="88" max="92" width="8.88671875" style="144"/>
  </cols>
  <sheetData>
    <row r="1" spans="1:92" ht="15" x14ac:dyDescent="0.25">
      <c r="A1" t="s">
        <v>0</v>
      </c>
      <c r="B1" s="1" t="s">
        <v>264</v>
      </c>
      <c r="C1" s="1" t="s">
        <v>265</v>
      </c>
      <c r="D1" s="1" t="s">
        <v>266</v>
      </c>
      <c r="E1" s="1" t="s">
        <v>267</v>
      </c>
      <c r="F1" s="2" t="s">
        <v>258</v>
      </c>
      <c r="G1" s="2" t="s">
        <v>259</v>
      </c>
      <c r="H1" s="2" t="s">
        <v>260</v>
      </c>
      <c r="I1" s="2" t="s">
        <v>261</v>
      </c>
      <c r="J1" s="2" t="s">
        <v>262</v>
      </c>
      <c r="K1" s="2" t="s">
        <v>263</v>
      </c>
      <c r="L1" s="4" t="s">
        <v>203</v>
      </c>
      <c r="M1" s="4" t="s">
        <v>206</v>
      </c>
      <c r="N1" s="4" t="s">
        <v>208</v>
      </c>
      <c r="O1" s="4" t="s">
        <v>210</v>
      </c>
      <c r="P1" s="4" t="s">
        <v>212</v>
      </c>
      <c r="Q1" s="4" t="s">
        <v>204</v>
      </c>
      <c r="R1" s="4" t="s">
        <v>205</v>
      </c>
      <c r="S1" s="4" t="s">
        <v>207</v>
      </c>
      <c r="T1" s="4" t="s">
        <v>209</v>
      </c>
      <c r="U1" s="4" t="s">
        <v>211</v>
      </c>
      <c r="V1" s="4" t="s">
        <v>213</v>
      </c>
      <c r="W1" s="4" t="s">
        <v>250</v>
      </c>
      <c r="X1" s="4" t="s">
        <v>215</v>
      </c>
      <c r="Y1" s="4" t="s">
        <v>216</v>
      </c>
      <c r="Z1" s="4" t="s">
        <v>219</v>
      </c>
      <c r="AA1" s="4" t="s">
        <v>220</v>
      </c>
      <c r="AB1" s="4" t="s">
        <v>222</v>
      </c>
      <c r="AC1" s="4" t="s">
        <v>214</v>
      </c>
      <c r="AD1" s="4" t="s">
        <v>217</v>
      </c>
      <c r="AE1" s="4" t="s">
        <v>218</v>
      </c>
      <c r="AF1" s="4" t="s">
        <v>221</v>
      </c>
      <c r="AG1" s="4" t="s">
        <v>223</v>
      </c>
      <c r="AH1" s="4" t="s">
        <v>224</v>
      </c>
      <c r="AI1" s="4" t="s">
        <v>253</v>
      </c>
      <c r="AJ1" s="4" t="s">
        <v>225</v>
      </c>
      <c r="AK1" s="4" t="s">
        <v>226</v>
      </c>
      <c r="AL1" s="4" t="s">
        <v>227</v>
      </c>
      <c r="AM1" s="4" t="s">
        <v>231</v>
      </c>
      <c r="AN1" s="4" t="s">
        <v>251</v>
      </c>
      <c r="AO1" s="4" t="s">
        <v>252</v>
      </c>
      <c r="AP1" s="4" t="s">
        <v>228</v>
      </c>
      <c r="AQ1" s="4" t="s">
        <v>229</v>
      </c>
      <c r="AR1" s="4" t="s">
        <v>230</v>
      </c>
      <c r="AS1" s="4" t="s">
        <v>232</v>
      </c>
      <c r="AT1" s="4" t="s">
        <v>233</v>
      </c>
      <c r="AU1" s="4" t="s">
        <v>234</v>
      </c>
      <c r="AV1" s="4" t="s">
        <v>235</v>
      </c>
      <c r="AW1" s="4" t="s">
        <v>236</v>
      </c>
      <c r="AX1" s="4" t="s">
        <v>254</v>
      </c>
      <c r="AY1" s="4" t="s">
        <v>255</v>
      </c>
      <c r="AZ1" s="4" t="s">
        <v>237</v>
      </c>
      <c r="BA1" s="4" t="s">
        <v>238</v>
      </c>
      <c r="BB1" s="4" t="s">
        <v>239</v>
      </c>
      <c r="BC1" s="4" t="s">
        <v>240</v>
      </c>
      <c r="BD1" s="5" t="s">
        <v>276</v>
      </c>
      <c r="BE1" s="5" t="s">
        <v>277</v>
      </c>
      <c r="BF1" s="5" t="s">
        <v>278</v>
      </c>
      <c r="BG1" s="5" t="s">
        <v>285</v>
      </c>
      <c r="BH1" s="5" t="s">
        <v>279</v>
      </c>
      <c r="BI1" s="5" t="s">
        <v>280</v>
      </c>
      <c r="BJ1" s="5" t="s">
        <v>281</v>
      </c>
      <c r="BK1" s="5" t="s">
        <v>286</v>
      </c>
      <c r="BL1" s="5" t="s">
        <v>273</v>
      </c>
      <c r="BM1" s="5" t="s">
        <v>274</v>
      </c>
      <c r="BN1" s="5" t="s">
        <v>275</v>
      </c>
      <c r="BO1" s="5" t="s">
        <v>283</v>
      </c>
      <c r="BP1" s="5" t="s">
        <v>282</v>
      </c>
      <c r="BQ1" s="5" t="s">
        <v>284</v>
      </c>
      <c r="BR1" s="5" t="s">
        <v>287</v>
      </c>
      <c r="BS1" s="5" t="s">
        <v>288</v>
      </c>
      <c r="BT1" s="5" t="s">
        <v>289</v>
      </c>
      <c r="BU1" s="5" t="s">
        <v>290</v>
      </c>
      <c r="BV1" s="5" t="s">
        <v>291</v>
      </c>
      <c r="BW1" s="5" t="s">
        <v>292</v>
      </c>
      <c r="BX1" s="5" t="s">
        <v>293</v>
      </c>
      <c r="BY1" s="5" t="s">
        <v>294</v>
      </c>
      <c r="BZ1" s="5" t="s">
        <v>295</v>
      </c>
      <c r="CA1" s="5" t="s">
        <v>296</v>
      </c>
      <c r="CB1" s="5" t="s">
        <v>297</v>
      </c>
      <c r="CC1" s="5" t="s">
        <v>298</v>
      </c>
      <c r="CD1" s="143" t="s">
        <v>319</v>
      </c>
      <c r="CE1" s="143" t="s">
        <v>320</v>
      </c>
      <c r="CF1" s="143" t="s">
        <v>307</v>
      </c>
      <c r="CG1" s="144" t="s">
        <v>324</v>
      </c>
      <c r="CH1" s="144" t="s">
        <v>325</v>
      </c>
      <c r="CI1" s="144" t="s">
        <v>326</v>
      </c>
      <c r="CJ1" s="144" t="s">
        <v>327</v>
      </c>
      <c r="CK1" s="144" t="s">
        <v>328</v>
      </c>
      <c r="CL1" s="144" t="s">
        <v>329</v>
      </c>
      <c r="CM1" s="144" t="s">
        <v>330</v>
      </c>
      <c r="CN1" s="144" t="s">
        <v>331</v>
      </c>
    </row>
    <row r="2" spans="1:92" ht="15" x14ac:dyDescent="0.25">
      <c r="A2">
        <v>201</v>
      </c>
      <c r="B2" s="1" t="s">
        <v>157</v>
      </c>
      <c r="C2" s="1" t="s">
        <v>157</v>
      </c>
      <c r="D2" s="1" t="s">
        <v>157</v>
      </c>
      <c r="E2" s="1" t="s">
        <v>157</v>
      </c>
      <c r="F2" s="2">
        <v>0</v>
      </c>
      <c r="G2" s="2">
        <v>0</v>
      </c>
      <c r="H2" s="2">
        <v>10</v>
      </c>
      <c r="I2" s="2" t="s">
        <v>157</v>
      </c>
      <c r="J2" s="2">
        <v>210</v>
      </c>
      <c r="K2" s="2">
        <v>0</v>
      </c>
      <c r="L2" s="4">
        <v>0</v>
      </c>
      <c r="Q2" s="4">
        <v>210</v>
      </c>
      <c r="V2" s="4" t="str">
        <f t="shared" ref="V2:V33" si="0">IFERROR(SUM(L2:M2)/SUM(L2:O2),"N/A")</f>
        <v>N/A</v>
      </c>
      <c r="W2" s="4" t="str">
        <f t="shared" ref="W2:W33" si="1">IFERROR(_xlfn.RANK.EQ(V2,Qual_P_Prop,0),V2)</f>
        <v>N/A</v>
      </c>
      <c r="X2" s="4">
        <v>0</v>
      </c>
      <c r="AC2" s="4">
        <v>0</v>
      </c>
      <c r="AH2" s="4" t="str">
        <f t="shared" ref="AH2:AH33" si="2">IFERROR(SUM(X2:Y2)/SUM(X2:AA2),"N/A")</f>
        <v>N/A</v>
      </c>
      <c r="AI2" s="4" t="str">
        <f t="shared" ref="AI2:AI33" si="3">IFERROR(_xlfn.RANK.EQ(AH2,Qual_S_Prop,0),AH2)</f>
        <v>N/A</v>
      </c>
      <c r="AJ2" s="4">
        <v>0</v>
      </c>
      <c r="AN2" s="4" t="str">
        <f t="shared" ref="AN2:AN33" si="4">IFERROR(AJ2/SUM(AJ2:AL2),"N/A")</f>
        <v>N/A</v>
      </c>
      <c r="AO2" s="4" t="str">
        <f t="shared" ref="AO2:AO33" si="5">IFERROR(_xlfn.RANK.EQ(AN2,Qual_KS2_Prop,0),AN2)</f>
        <v>N/A</v>
      </c>
      <c r="AP2" s="4">
        <v>210</v>
      </c>
      <c r="AW2" s="4">
        <v>0</v>
      </c>
      <c r="AX2" s="4" t="str">
        <f t="shared" ref="AX2:AX33" si="6">IFERROR(AT2/SUM(AT2:AV2),"N/A")</f>
        <v>N/A</v>
      </c>
      <c r="AY2" s="4" t="str">
        <f t="shared" ref="AY2:AY33" si="7">IFERROR(_xlfn.RANK.EQ(AX2,Qual_KS4_Prop,0),AX2)</f>
        <v>N/A</v>
      </c>
      <c r="BC2" s="4">
        <v>0</v>
      </c>
      <c r="BG2" s="5" t="str">
        <f t="shared" ref="BG2:BG33" si="8">IFERROR(_xlfn.RANK.EQ(BD2,Cost_P_EP,1),"N/A")</f>
        <v>N/A</v>
      </c>
      <c r="BK2" s="5" t="str">
        <f t="shared" ref="BK2:BK33" si="9">IFERROR(_xlfn.RANK.EQ(BH2,Cost_S_EP,1),"N/A")</f>
        <v>N/A</v>
      </c>
      <c r="BL2" s="5">
        <v>16797.107115999999</v>
      </c>
      <c r="BM2" s="5">
        <v>5507.9059440000001</v>
      </c>
      <c r="BN2" s="5">
        <v>12154.574046500002</v>
      </c>
      <c r="BO2" s="5">
        <v>19201.501110500001</v>
      </c>
      <c r="BP2" s="5">
        <v>10000</v>
      </c>
      <c r="BQ2" s="5">
        <v>27261.777192000001</v>
      </c>
      <c r="BR2" s="5">
        <v>13828.17647</v>
      </c>
      <c r="BS2" s="5">
        <v>5507.9059440000001</v>
      </c>
      <c r="BT2" s="5">
        <v>14591.45873</v>
      </c>
      <c r="BU2" s="5">
        <v>18827.834444</v>
      </c>
      <c r="BV2" s="5">
        <v>5500</v>
      </c>
      <c r="BW2" s="5">
        <v>18983.362186999999</v>
      </c>
      <c r="CD2" s="143">
        <v>0.73658536585365852</v>
      </c>
      <c r="CE2" s="143" t="s">
        <v>157</v>
      </c>
      <c r="CF2" s="143">
        <v>3270832.07</v>
      </c>
      <c r="CG2" s="144">
        <v>78.099999999999994</v>
      </c>
      <c r="CH2" s="144">
        <v>15.6</v>
      </c>
      <c r="CI2" s="144">
        <v>3.1</v>
      </c>
      <c r="CJ2" s="144">
        <v>61.9</v>
      </c>
      <c r="CK2" s="144">
        <v>14.3</v>
      </c>
      <c r="CL2" s="144">
        <v>9.5</v>
      </c>
      <c r="CM2" s="144">
        <v>96.9</v>
      </c>
      <c r="CN2" s="144">
        <v>85.7</v>
      </c>
    </row>
    <row r="3" spans="1:92" ht="15" x14ac:dyDescent="0.25">
      <c r="A3">
        <v>202</v>
      </c>
      <c r="B3" s="1">
        <v>0</v>
      </c>
      <c r="C3" s="1">
        <v>2.7598895999999999E-3</v>
      </c>
      <c r="D3" s="1">
        <v>3.347112948E-2</v>
      </c>
      <c r="E3" s="1">
        <v>2.8003733799999999E-3</v>
      </c>
      <c r="F3" s="2">
        <v>435</v>
      </c>
      <c r="G3" s="2">
        <v>1455</v>
      </c>
      <c r="H3" s="2">
        <v>50</v>
      </c>
      <c r="I3" s="2">
        <v>0</v>
      </c>
      <c r="J3" s="2">
        <v>1023</v>
      </c>
      <c r="K3" s="2">
        <v>75</v>
      </c>
      <c r="L3" s="4">
        <v>0</v>
      </c>
      <c r="M3" s="4">
        <v>33</v>
      </c>
      <c r="N3" s="4">
        <v>0</v>
      </c>
      <c r="Q3" s="4">
        <v>3549</v>
      </c>
      <c r="R3" s="4">
        <v>7142</v>
      </c>
      <c r="S3" s="4">
        <v>400</v>
      </c>
      <c r="V3" s="4">
        <f t="shared" si="0"/>
        <v>1</v>
      </c>
      <c r="W3" s="4">
        <f t="shared" si="1"/>
        <v>1</v>
      </c>
      <c r="X3" s="4">
        <v>0</v>
      </c>
      <c r="Y3" s="4">
        <v>0</v>
      </c>
      <c r="Z3" s="4">
        <v>0</v>
      </c>
      <c r="AC3" s="4">
        <v>1063</v>
      </c>
      <c r="AD3" s="4">
        <v>8012</v>
      </c>
      <c r="AE3" s="4">
        <v>2517</v>
      </c>
      <c r="AH3" s="4" t="str">
        <f t="shared" si="2"/>
        <v>N/A</v>
      </c>
      <c r="AI3" s="4" t="str">
        <f t="shared" si="3"/>
        <v>N/A</v>
      </c>
      <c r="AJ3" s="4">
        <v>0</v>
      </c>
      <c r="AK3" s="4">
        <v>0</v>
      </c>
      <c r="AL3" s="4">
        <v>33</v>
      </c>
      <c r="AM3" s="4">
        <v>0</v>
      </c>
      <c r="AN3" s="4">
        <f t="shared" si="4"/>
        <v>0</v>
      </c>
      <c r="AO3" s="4">
        <f t="shared" si="5"/>
        <v>100</v>
      </c>
      <c r="AP3" s="4">
        <v>7018</v>
      </c>
      <c r="AQ3" s="4">
        <v>3182</v>
      </c>
      <c r="AR3" s="4">
        <v>447</v>
      </c>
      <c r="AS3" s="4">
        <v>444</v>
      </c>
      <c r="AT3" s="4">
        <v>0</v>
      </c>
      <c r="AU3" s="4">
        <v>0</v>
      </c>
      <c r="AW3" s="4">
        <v>0</v>
      </c>
      <c r="AX3" s="4" t="str">
        <f t="shared" si="6"/>
        <v>N/A</v>
      </c>
      <c r="AY3" s="4" t="str">
        <f t="shared" si="7"/>
        <v>N/A</v>
      </c>
      <c r="AZ3" s="4">
        <v>5807</v>
      </c>
      <c r="BA3" s="4">
        <v>4635</v>
      </c>
      <c r="BC3" s="4">
        <v>1150</v>
      </c>
      <c r="BD3" s="5">
        <v>33605.128205000001</v>
      </c>
      <c r="BG3" s="5">
        <f t="shared" si="8"/>
        <v>146</v>
      </c>
      <c r="BK3" s="5" t="str">
        <f t="shared" si="9"/>
        <v>N/A</v>
      </c>
      <c r="BL3" s="5">
        <v>9043.6781599999995</v>
      </c>
      <c r="BM3" s="5">
        <v>8913.3333330000005</v>
      </c>
      <c r="BN3" s="5">
        <v>19099.561904000002</v>
      </c>
      <c r="BO3" s="5">
        <v>19469.668888</v>
      </c>
      <c r="BP3" s="5">
        <v>10000</v>
      </c>
      <c r="BQ3" s="5">
        <v>27261.777192000001</v>
      </c>
      <c r="BR3" s="5">
        <v>13828.17647</v>
      </c>
      <c r="BS3" s="5">
        <v>5507.9059440000001</v>
      </c>
      <c r="BT3" s="5">
        <v>14591.45873</v>
      </c>
      <c r="BU3" s="5">
        <v>18827.834444</v>
      </c>
      <c r="BV3" s="5">
        <v>5500</v>
      </c>
      <c r="BW3" s="5">
        <v>18983.362186999999</v>
      </c>
      <c r="BX3" s="5">
        <v>4</v>
      </c>
      <c r="CD3" s="143">
        <v>8.8592935726693689E-2</v>
      </c>
      <c r="CE3" s="143">
        <v>7.7690855138926374E-2</v>
      </c>
      <c r="CF3" s="143">
        <v>17722852.52</v>
      </c>
      <c r="CG3" s="144">
        <v>75.599999999999994</v>
      </c>
      <c r="CH3" s="144">
        <v>7.6</v>
      </c>
      <c r="CI3" s="144">
        <v>4</v>
      </c>
      <c r="CJ3" s="144">
        <v>71.400000000000006</v>
      </c>
      <c r="CK3" s="144">
        <v>13.7</v>
      </c>
      <c r="CL3" s="144">
        <v>6.4</v>
      </c>
      <c r="CM3" s="144">
        <v>87.2</v>
      </c>
      <c r="CN3" s="144">
        <v>91.4</v>
      </c>
    </row>
    <row r="4" spans="1:92" ht="15" x14ac:dyDescent="0.25">
      <c r="A4">
        <v>203</v>
      </c>
      <c r="B4" s="1">
        <v>-2.72707279E-3</v>
      </c>
      <c r="C4" s="1">
        <v>2.0233120730000002E-2</v>
      </c>
      <c r="D4" s="1">
        <v>-2.0926489E-2</v>
      </c>
      <c r="E4" s="1">
        <v>6.2600608099999998E-3</v>
      </c>
      <c r="F4" s="2">
        <v>4563</v>
      </c>
      <c r="G4" s="2">
        <v>140</v>
      </c>
      <c r="H4" s="2">
        <v>530</v>
      </c>
      <c r="I4" s="2">
        <v>0</v>
      </c>
      <c r="J4" s="2">
        <v>2359</v>
      </c>
      <c r="K4" s="2">
        <v>1140</v>
      </c>
      <c r="L4" s="4">
        <v>610</v>
      </c>
      <c r="M4" s="4">
        <v>540</v>
      </c>
      <c r="N4" s="4">
        <v>120</v>
      </c>
      <c r="O4" s="4">
        <v>0</v>
      </c>
      <c r="Q4" s="4">
        <v>6694</v>
      </c>
      <c r="R4" s="4">
        <v>15228</v>
      </c>
      <c r="S4" s="4">
        <v>1372</v>
      </c>
      <c r="T4" s="4">
        <v>630</v>
      </c>
      <c r="V4" s="4">
        <f t="shared" si="0"/>
        <v>0.90551181102362199</v>
      </c>
      <c r="W4" s="4">
        <f t="shared" si="1"/>
        <v>69</v>
      </c>
      <c r="X4" s="4">
        <v>132</v>
      </c>
      <c r="Y4" s="4">
        <v>0</v>
      </c>
      <c r="Z4" s="4">
        <v>129</v>
      </c>
      <c r="AA4" s="4">
        <v>0</v>
      </c>
      <c r="AC4" s="4">
        <v>4871</v>
      </c>
      <c r="AD4" s="4">
        <v>8150</v>
      </c>
      <c r="AE4" s="4">
        <v>1350</v>
      </c>
      <c r="AF4" s="4">
        <v>0</v>
      </c>
      <c r="AH4" s="4">
        <f t="shared" si="2"/>
        <v>0.50574712643678166</v>
      </c>
      <c r="AI4" s="4">
        <f t="shared" si="3"/>
        <v>82</v>
      </c>
      <c r="AJ4" s="4">
        <v>1120</v>
      </c>
      <c r="AK4" s="4">
        <v>150</v>
      </c>
      <c r="AL4" s="4">
        <v>0</v>
      </c>
      <c r="AM4" s="4">
        <v>0</v>
      </c>
      <c r="AN4" s="4">
        <f t="shared" si="4"/>
        <v>0.88188976377952755</v>
      </c>
      <c r="AO4" s="4">
        <f t="shared" si="5"/>
        <v>3</v>
      </c>
      <c r="AP4" s="4">
        <v>16005</v>
      </c>
      <c r="AQ4" s="4">
        <v>7229</v>
      </c>
      <c r="AR4" s="4">
        <v>690</v>
      </c>
      <c r="AS4" s="4">
        <v>0</v>
      </c>
      <c r="AT4" s="4">
        <v>132</v>
      </c>
      <c r="AU4" s="4">
        <v>129</v>
      </c>
      <c r="AW4" s="4">
        <v>0</v>
      </c>
      <c r="AX4" s="4">
        <f t="shared" si="6"/>
        <v>0.50574712643678166</v>
      </c>
      <c r="AY4" s="4">
        <f t="shared" si="7"/>
        <v>51</v>
      </c>
      <c r="AZ4" s="4">
        <v>6671</v>
      </c>
      <c r="BA4" s="4">
        <v>7700</v>
      </c>
      <c r="BC4" s="4">
        <v>0</v>
      </c>
      <c r="BD4" s="5">
        <v>9043.6781599999995</v>
      </c>
      <c r="BE4" s="5">
        <v>9324.6555549999994</v>
      </c>
      <c r="BF4" s="5">
        <v>18280.952379999999</v>
      </c>
      <c r="BG4" s="5">
        <f t="shared" si="8"/>
        <v>72</v>
      </c>
      <c r="BK4" s="5" t="str">
        <f t="shared" si="9"/>
        <v>N/A</v>
      </c>
      <c r="BL4" s="5">
        <v>13912.1666675</v>
      </c>
      <c r="BM4" s="5">
        <v>8143.0303025000003</v>
      </c>
      <c r="BN4" s="5">
        <v>19511.605683499998</v>
      </c>
      <c r="BO4" s="5">
        <v>12619.048333000001</v>
      </c>
      <c r="BP4" s="5">
        <v>10000</v>
      </c>
      <c r="BQ4" s="5">
        <v>15131.578947</v>
      </c>
      <c r="BR4" s="5">
        <v>13828.17647</v>
      </c>
      <c r="BS4" s="5">
        <v>5507.9059440000001</v>
      </c>
      <c r="BT4" s="5">
        <v>14591.45873</v>
      </c>
      <c r="BU4" s="5">
        <v>18827.834444</v>
      </c>
      <c r="BV4" s="5">
        <v>5500</v>
      </c>
      <c r="BW4" s="5">
        <v>18983.362186999999</v>
      </c>
      <c r="BX4" s="5">
        <v>11</v>
      </c>
      <c r="BY4" s="5">
        <v>9</v>
      </c>
      <c r="BZ4" s="5">
        <v>1</v>
      </c>
      <c r="CD4" s="143">
        <v>0.36444515476000205</v>
      </c>
      <c r="CE4" s="143">
        <v>0.22437118902439024</v>
      </c>
      <c r="CF4" s="143">
        <v>131870396.11</v>
      </c>
      <c r="CG4" s="144">
        <v>80.3</v>
      </c>
      <c r="CH4" s="144">
        <v>8</v>
      </c>
      <c r="CI4" s="144">
        <v>3.4</v>
      </c>
      <c r="CJ4" s="144">
        <v>67</v>
      </c>
      <c r="CK4" s="144">
        <v>13.9</v>
      </c>
      <c r="CL4" s="144">
        <v>5.7</v>
      </c>
      <c r="CM4" s="144">
        <v>91.7</v>
      </c>
      <c r="CN4" s="144">
        <v>86.6</v>
      </c>
    </row>
    <row r="5" spans="1:92" ht="15" x14ac:dyDescent="0.25">
      <c r="A5">
        <v>204</v>
      </c>
      <c r="B5" s="1">
        <v>1.246665577E-2</v>
      </c>
      <c r="C5" s="1">
        <v>1.252109532E-2</v>
      </c>
      <c r="D5" s="1">
        <v>-1.7997537170000001E-2</v>
      </c>
      <c r="E5" s="1">
        <v>9.7565596200000007E-3</v>
      </c>
      <c r="F5" s="2">
        <v>2126</v>
      </c>
      <c r="G5" s="2">
        <v>6118</v>
      </c>
      <c r="H5" s="2">
        <v>620</v>
      </c>
      <c r="I5" s="2">
        <v>0</v>
      </c>
      <c r="J5" s="2">
        <v>1650</v>
      </c>
      <c r="K5" s="2">
        <v>330</v>
      </c>
      <c r="L5" s="4">
        <v>60</v>
      </c>
      <c r="M5" s="4">
        <v>265</v>
      </c>
      <c r="N5" s="4">
        <v>0</v>
      </c>
      <c r="Q5" s="4">
        <v>4670</v>
      </c>
      <c r="R5" s="4">
        <v>12158</v>
      </c>
      <c r="S5" s="4">
        <v>1991</v>
      </c>
      <c r="V5" s="4">
        <f t="shared" si="0"/>
        <v>1</v>
      </c>
      <c r="W5" s="4">
        <f t="shared" si="1"/>
        <v>1</v>
      </c>
      <c r="X5" s="4">
        <v>0</v>
      </c>
      <c r="Y5" s="4">
        <v>198</v>
      </c>
      <c r="Z5" s="4">
        <v>0</v>
      </c>
      <c r="AC5" s="4">
        <v>3755</v>
      </c>
      <c r="AD5" s="4">
        <v>9299</v>
      </c>
      <c r="AE5" s="4">
        <v>150</v>
      </c>
      <c r="AH5" s="4">
        <f t="shared" si="2"/>
        <v>1</v>
      </c>
      <c r="AI5" s="4">
        <f t="shared" si="3"/>
        <v>1</v>
      </c>
      <c r="AJ5" s="4">
        <v>141</v>
      </c>
      <c r="AK5" s="4">
        <v>184</v>
      </c>
      <c r="AL5" s="4">
        <v>0</v>
      </c>
      <c r="AM5" s="4">
        <v>0</v>
      </c>
      <c r="AN5" s="4">
        <f t="shared" si="4"/>
        <v>0.43384615384615383</v>
      </c>
      <c r="AO5" s="4">
        <f t="shared" si="5"/>
        <v>30</v>
      </c>
      <c r="AP5" s="4">
        <v>7373</v>
      </c>
      <c r="AQ5" s="4">
        <v>10479</v>
      </c>
      <c r="AR5" s="4">
        <v>840</v>
      </c>
      <c r="AS5" s="4">
        <v>127</v>
      </c>
      <c r="AT5" s="4">
        <v>198</v>
      </c>
      <c r="AU5" s="4">
        <v>0</v>
      </c>
      <c r="AW5" s="4">
        <v>0</v>
      </c>
      <c r="AX5" s="4">
        <f t="shared" si="6"/>
        <v>1</v>
      </c>
      <c r="AY5" s="4">
        <f t="shared" si="7"/>
        <v>1</v>
      </c>
      <c r="AZ5" s="4">
        <v>9694</v>
      </c>
      <c r="BA5" s="4">
        <v>3510</v>
      </c>
      <c r="BC5" s="4">
        <v>0</v>
      </c>
      <c r="BD5" s="5">
        <v>9832.0657250000004</v>
      </c>
      <c r="BE5" s="5">
        <v>1117.333333</v>
      </c>
      <c r="BF5" s="5">
        <v>23835.028570999999</v>
      </c>
      <c r="BG5" s="5">
        <f t="shared" si="8"/>
        <v>83</v>
      </c>
      <c r="BJ5" s="5">
        <v>17337.657500000001</v>
      </c>
      <c r="BK5" s="5" t="str">
        <f t="shared" si="9"/>
        <v>N/A</v>
      </c>
      <c r="BL5" s="5">
        <v>15353.168231</v>
      </c>
      <c r="BM5" s="5">
        <v>7372.7272720000001</v>
      </c>
      <c r="BN5" s="5">
        <v>15123.484125999999</v>
      </c>
      <c r="BO5" s="5">
        <v>33032.673332999999</v>
      </c>
      <c r="BP5" s="5">
        <v>10000</v>
      </c>
      <c r="BQ5" s="5">
        <v>20252.865514999998</v>
      </c>
      <c r="BR5" s="5">
        <v>13828.17647</v>
      </c>
      <c r="BS5" s="5">
        <v>5507.9059440000001</v>
      </c>
      <c r="BT5" s="5">
        <v>14591.45873</v>
      </c>
      <c r="BU5" s="5">
        <v>18827.834444</v>
      </c>
      <c r="BV5" s="5">
        <v>5500</v>
      </c>
      <c r="BW5" s="5">
        <v>18983.362186999999</v>
      </c>
      <c r="BX5" s="5">
        <v>7</v>
      </c>
      <c r="BY5" s="5">
        <v>2</v>
      </c>
      <c r="BZ5" s="5">
        <v>2</v>
      </c>
      <c r="CC5" s="5">
        <v>1</v>
      </c>
      <c r="CD5" s="143">
        <v>0.23049287785201056</v>
      </c>
      <c r="CE5" s="143">
        <v>1.1856343283582089</v>
      </c>
      <c r="CF5" s="143">
        <v>47590725.32</v>
      </c>
      <c r="CG5" s="144">
        <v>80.7</v>
      </c>
      <c r="CH5" s="144">
        <v>8.6</v>
      </c>
      <c r="CI5" s="144">
        <v>3.5</v>
      </c>
      <c r="CJ5" s="144">
        <v>65</v>
      </c>
      <c r="CK5" s="144">
        <v>14.8</v>
      </c>
      <c r="CL5" s="144">
        <v>7.6</v>
      </c>
      <c r="CM5" s="144">
        <v>92.8</v>
      </c>
      <c r="CN5" s="144">
        <v>87.5</v>
      </c>
    </row>
    <row r="6" spans="1:92" ht="15" x14ac:dyDescent="0.25">
      <c r="A6">
        <v>205</v>
      </c>
      <c r="B6" s="1">
        <v>8.2705980760000006E-2</v>
      </c>
      <c r="C6" s="1">
        <v>4.0568799660000002E-2</v>
      </c>
      <c r="D6" s="1">
        <v>0.15530602562000001</v>
      </c>
      <c r="E6" s="1">
        <v>2.7202277390000001E-2</v>
      </c>
      <c r="F6" s="2">
        <v>2513</v>
      </c>
      <c r="G6" s="2">
        <v>2750</v>
      </c>
      <c r="H6" s="2">
        <v>20</v>
      </c>
      <c r="I6" s="2">
        <v>0</v>
      </c>
      <c r="J6" s="2">
        <v>810</v>
      </c>
      <c r="K6" s="2">
        <v>150</v>
      </c>
      <c r="L6" s="4">
        <v>87</v>
      </c>
      <c r="M6" s="4">
        <v>0</v>
      </c>
      <c r="N6" s="4">
        <v>0</v>
      </c>
      <c r="Q6" s="4">
        <v>3056</v>
      </c>
      <c r="R6" s="4">
        <v>5555</v>
      </c>
      <c r="S6" s="4">
        <v>1789</v>
      </c>
      <c r="V6" s="4">
        <f t="shared" si="0"/>
        <v>1</v>
      </c>
      <c r="W6" s="4">
        <f t="shared" si="1"/>
        <v>1</v>
      </c>
      <c r="X6" s="4">
        <v>0</v>
      </c>
      <c r="Y6" s="4">
        <v>0</v>
      </c>
      <c r="Z6" s="4">
        <v>0</v>
      </c>
      <c r="AC6" s="4">
        <v>4433</v>
      </c>
      <c r="AD6" s="4">
        <v>1635</v>
      </c>
      <c r="AE6" s="4">
        <v>1490</v>
      </c>
      <c r="AH6" s="4" t="str">
        <f t="shared" si="2"/>
        <v>N/A</v>
      </c>
      <c r="AI6" s="4" t="str">
        <f t="shared" si="3"/>
        <v>N/A</v>
      </c>
      <c r="AJ6" s="4">
        <v>0</v>
      </c>
      <c r="AK6" s="4">
        <v>87</v>
      </c>
      <c r="AL6" s="4">
        <v>0</v>
      </c>
      <c r="AM6" s="4">
        <v>0</v>
      </c>
      <c r="AN6" s="4">
        <f t="shared" si="4"/>
        <v>0</v>
      </c>
      <c r="AO6" s="4">
        <f t="shared" si="5"/>
        <v>100</v>
      </c>
      <c r="AP6" s="4">
        <v>3870</v>
      </c>
      <c r="AQ6" s="4">
        <v>5630</v>
      </c>
      <c r="AR6" s="4">
        <v>900</v>
      </c>
      <c r="AS6" s="4">
        <v>0</v>
      </c>
      <c r="AT6" s="4">
        <v>0</v>
      </c>
      <c r="AU6" s="4">
        <v>0</v>
      </c>
      <c r="AV6" s="4">
        <v>0</v>
      </c>
      <c r="AW6" s="4">
        <v>0</v>
      </c>
      <c r="AX6" s="4" t="str">
        <f t="shared" si="6"/>
        <v>N/A</v>
      </c>
      <c r="AY6" s="4" t="str">
        <f t="shared" si="7"/>
        <v>N/A</v>
      </c>
      <c r="AZ6" s="4">
        <v>3766</v>
      </c>
      <c r="BA6" s="4">
        <v>855</v>
      </c>
      <c r="BB6" s="4">
        <v>2157</v>
      </c>
      <c r="BC6" s="4">
        <v>780</v>
      </c>
      <c r="BD6" s="5">
        <v>23876.190476</v>
      </c>
      <c r="BE6" s="5">
        <v>12860</v>
      </c>
      <c r="BG6" s="5">
        <f t="shared" si="8"/>
        <v>144</v>
      </c>
      <c r="BH6" s="5">
        <v>44666.666665999997</v>
      </c>
      <c r="BI6" s="5">
        <v>10000</v>
      </c>
      <c r="BJ6" s="5">
        <v>1736.9849999999999</v>
      </c>
      <c r="BK6" s="5">
        <f t="shared" si="9"/>
        <v>48</v>
      </c>
      <c r="BL6" s="5">
        <v>11816.863475</v>
      </c>
      <c r="BM6" s="5">
        <v>6322.3807690000003</v>
      </c>
      <c r="BN6" s="5">
        <v>19819.823809000001</v>
      </c>
      <c r="BO6" s="5">
        <v>0</v>
      </c>
      <c r="BP6" s="5">
        <v>0</v>
      </c>
      <c r="BQ6" s="5">
        <v>36449.221928999999</v>
      </c>
      <c r="BR6" s="5">
        <v>13828.17647</v>
      </c>
      <c r="BS6" s="5">
        <v>5507.9059440000001</v>
      </c>
      <c r="BT6" s="5">
        <v>14591.45873</v>
      </c>
      <c r="BU6" s="5">
        <v>18827.834444</v>
      </c>
      <c r="BV6" s="5">
        <v>5500</v>
      </c>
      <c r="BW6" s="5">
        <v>18983.362186999999</v>
      </c>
      <c r="BX6" s="5">
        <v>3</v>
      </c>
      <c r="BY6" s="5">
        <v>5</v>
      </c>
      <c r="CA6" s="5">
        <v>1</v>
      </c>
      <c r="CB6" s="5">
        <v>1</v>
      </c>
      <c r="CC6" s="5">
        <v>1</v>
      </c>
      <c r="CD6" s="143">
        <v>0.17731465664502899</v>
      </c>
      <c r="CE6" s="143">
        <v>0.48751311647429163</v>
      </c>
      <c r="CF6" s="143">
        <v>63395297.469999999</v>
      </c>
      <c r="CG6" s="144">
        <v>73.900000000000006</v>
      </c>
      <c r="CH6" s="144">
        <v>12.2</v>
      </c>
      <c r="CI6" s="144">
        <v>4.0999999999999996</v>
      </c>
      <c r="CJ6" s="144">
        <v>55.3</v>
      </c>
      <c r="CK6" s="144">
        <v>14.5</v>
      </c>
      <c r="CL6" s="144">
        <v>9.1999999999999993</v>
      </c>
      <c r="CM6" s="144">
        <v>90.2</v>
      </c>
      <c r="CN6" s="144">
        <v>79.099999999999994</v>
      </c>
    </row>
    <row r="7" spans="1:92" ht="15" x14ac:dyDescent="0.25">
      <c r="A7">
        <v>206</v>
      </c>
      <c r="B7" s="1">
        <v>-7.4548978000000003E-4</v>
      </c>
      <c r="C7" s="1">
        <v>1.7891754879999999E-2</v>
      </c>
      <c r="D7" s="1">
        <v>5.4807825720000002E-2</v>
      </c>
      <c r="E7" s="1">
        <v>1.7760510609999999E-2</v>
      </c>
      <c r="F7" s="2">
        <v>924</v>
      </c>
      <c r="G7" s="2">
        <v>0</v>
      </c>
      <c r="H7" s="2">
        <v>260</v>
      </c>
      <c r="I7" s="2">
        <v>0</v>
      </c>
      <c r="J7" s="2">
        <v>470</v>
      </c>
      <c r="K7" s="2">
        <v>0</v>
      </c>
      <c r="L7" s="4">
        <v>0</v>
      </c>
      <c r="M7" s="4">
        <v>60</v>
      </c>
      <c r="N7" s="4">
        <v>30</v>
      </c>
      <c r="Q7" s="4">
        <v>2130</v>
      </c>
      <c r="R7" s="4">
        <v>10149</v>
      </c>
      <c r="S7" s="4">
        <v>2415</v>
      </c>
      <c r="V7" s="4">
        <f t="shared" si="0"/>
        <v>0.66666666666666663</v>
      </c>
      <c r="W7" s="4">
        <f t="shared" si="1"/>
        <v>118</v>
      </c>
      <c r="X7" s="4">
        <v>261</v>
      </c>
      <c r="Y7" s="4">
        <v>47</v>
      </c>
      <c r="Z7" s="4">
        <v>0</v>
      </c>
      <c r="AC7" s="4">
        <v>3866</v>
      </c>
      <c r="AD7" s="4">
        <v>4801</v>
      </c>
      <c r="AE7" s="4">
        <v>0</v>
      </c>
      <c r="AH7" s="4">
        <f t="shared" si="2"/>
        <v>1</v>
      </c>
      <c r="AI7" s="4">
        <f t="shared" si="3"/>
        <v>1</v>
      </c>
      <c r="AJ7" s="4">
        <v>0</v>
      </c>
      <c r="AK7" s="4">
        <v>90</v>
      </c>
      <c r="AL7" s="4">
        <v>0</v>
      </c>
      <c r="AM7" s="4">
        <v>0</v>
      </c>
      <c r="AN7" s="4">
        <f t="shared" si="4"/>
        <v>0</v>
      </c>
      <c r="AO7" s="4">
        <f t="shared" si="5"/>
        <v>100</v>
      </c>
      <c r="AP7" s="4">
        <v>6763</v>
      </c>
      <c r="AQ7" s="4">
        <v>7541</v>
      </c>
      <c r="AR7" s="4">
        <v>390</v>
      </c>
      <c r="AS7" s="4">
        <v>0</v>
      </c>
      <c r="AT7" s="4">
        <v>271</v>
      </c>
      <c r="AU7" s="4">
        <v>37</v>
      </c>
      <c r="AW7" s="4">
        <v>0</v>
      </c>
      <c r="AX7" s="4">
        <f t="shared" si="6"/>
        <v>0.87987012987012991</v>
      </c>
      <c r="AY7" s="4">
        <f t="shared" si="7"/>
        <v>31</v>
      </c>
      <c r="AZ7" s="4">
        <v>6583</v>
      </c>
      <c r="BA7" s="4">
        <v>2084</v>
      </c>
      <c r="BC7" s="4">
        <v>0</v>
      </c>
      <c r="BD7" s="5">
        <v>4265.5494060000001</v>
      </c>
      <c r="BE7" s="5">
        <v>2371.333333</v>
      </c>
      <c r="BF7" s="5">
        <v>2340.9908650000002</v>
      </c>
      <c r="BG7" s="5">
        <f t="shared" si="8"/>
        <v>7</v>
      </c>
      <c r="BK7" s="5" t="str">
        <f t="shared" si="9"/>
        <v>N/A</v>
      </c>
      <c r="BL7" s="5">
        <v>11816.863475</v>
      </c>
      <c r="BM7" s="5">
        <v>7082.6</v>
      </c>
      <c r="BN7" s="5">
        <v>21358.695238</v>
      </c>
      <c r="BO7" s="5">
        <v>33032.673332999999</v>
      </c>
      <c r="BP7" s="5">
        <v>10000</v>
      </c>
      <c r="BQ7" s="5">
        <v>17099.3178405</v>
      </c>
      <c r="BR7" s="5">
        <v>13828.17647</v>
      </c>
      <c r="BS7" s="5">
        <v>5507.9059440000001</v>
      </c>
      <c r="BT7" s="5">
        <v>14591.45873</v>
      </c>
      <c r="BU7" s="5">
        <v>18827.834444</v>
      </c>
      <c r="BV7" s="5">
        <v>5500</v>
      </c>
      <c r="BW7" s="5">
        <v>18983.362186999999</v>
      </c>
      <c r="BX7" s="5">
        <v>6</v>
      </c>
      <c r="BY7" s="5">
        <v>2</v>
      </c>
      <c r="BZ7" s="5">
        <v>2</v>
      </c>
      <c r="CD7" s="143">
        <v>0.19375101974220921</v>
      </c>
      <c r="CE7" s="143">
        <v>0.21839630161007495</v>
      </c>
      <c r="CF7" s="143">
        <v>24255096.18</v>
      </c>
      <c r="CG7" s="144">
        <v>76.400000000000006</v>
      </c>
      <c r="CH7" s="144">
        <v>10.199999999999999</v>
      </c>
      <c r="CI7" s="144">
        <v>4</v>
      </c>
      <c r="CJ7" s="144">
        <v>70.5</v>
      </c>
      <c r="CK7" s="144">
        <v>16.2</v>
      </c>
      <c r="CL7" s="144">
        <v>6.4</v>
      </c>
      <c r="CM7" s="144">
        <v>90.7</v>
      </c>
      <c r="CN7" s="144">
        <v>93.1</v>
      </c>
    </row>
    <row r="8" spans="1:92" ht="15" x14ac:dyDescent="0.25">
      <c r="A8">
        <v>207</v>
      </c>
      <c r="B8" s="1">
        <v>1.2327560899999999E-2</v>
      </c>
      <c r="C8" s="1">
        <v>-1.9078368E-3</v>
      </c>
      <c r="D8" s="1">
        <v>-3.9806072970000002E-2</v>
      </c>
      <c r="E8" s="1">
        <v>-4.1337075780000003E-2</v>
      </c>
      <c r="F8" s="2">
        <v>482</v>
      </c>
      <c r="G8" s="2">
        <v>1032</v>
      </c>
      <c r="H8" s="2">
        <v>0</v>
      </c>
      <c r="I8" s="2">
        <v>0</v>
      </c>
      <c r="J8" s="2">
        <v>510</v>
      </c>
      <c r="K8" s="2">
        <v>0</v>
      </c>
      <c r="L8" s="4">
        <v>0</v>
      </c>
      <c r="M8" s="4">
        <v>0</v>
      </c>
      <c r="N8" s="4">
        <v>0</v>
      </c>
      <c r="Q8" s="4">
        <v>3578</v>
      </c>
      <c r="R8" s="4">
        <v>2775</v>
      </c>
      <c r="S8" s="4">
        <v>607</v>
      </c>
      <c r="V8" s="4" t="str">
        <f t="shared" si="0"/>
        <v>N/A</v>
      </c>
      <c r="W8" s="4" t="str">
        <f t="shared" si="1"/>
        <v>N/A</v>
      </c>
      <c r="X8" s="4">
        <v>0</v>
      </c>
      <c r="Y8" s="4">
        <v>0</v>
      </c>
      <c r="Z8" s="4">
        <v>0</v>
      </c>
      <c r="AC8" s="4">
        <v>3995</v>
      </c>
      <c r="AD8" s="4">
        <v>628</v>
      </c>
      <c r="AE8" s="4">
        <v>0</v>
      </c>
      <c r="AH8" s="4" t="str">
        <f t="shared" si="2"/>
        <v>N/A</v>
      </c>
      <c r="AI8" s="4" t="str">
        <f t="shared" si="3"/>
        <v>N/A</v>
      </c>
      <c r="AJ8" s="4">
        <v>0</v>
      </c>
      <c r="AK8" s="4">
        <v>0</v>
      </c>
      <c r="AL8" s="4">
        <v>0</v>
      </c>
      <c r="AM8" s="4">
        <v>0</v>
      </c>
      <c r="AN8" s="4" t="str">
        <f t="shared" si="4"/>
        <v>N/A</v>
      </c>
      <c r="AO8" s="4" t="str">
        <f t="shared" si="5"/>
        <v>N/A</v>
      </c>
      <c r="AP8" s="4">
        <v>4692</v>
      </c>
      <c r="AQ8" s="4">
        <v>1638</v>
      </c>
      <c r="AR8" s="4">
        <v>630</v>
      </c>
      <c r="AS8" s="4">
        <v>0</v>
      </c>
      <c r="AT8" s="4">
        <v>0</v>
      </c>
      <c r="AU8" s="4">
        <v>0</v>
      </c>
      <c r="AV8" s="4">
        <v>0</v>
      </c>
      <c r="AW8" s="4">
        <v>0</v>
      </c>
      <c r="AX8" s="4" t="str">
        <f t="shared" si="6"/>
        <v>N/A</v>
      </c>
      <c r="AY8" s="4" t="str">
        <f t="shared" si="7"/>
        <v>N/A</v>
      </c>
      <c r="AZ8" s="4">
        <v>2490</v>
      </c>
      <c r="BA8" s="4">
        <v>1505</v>
      </c>
      <c r="BB8" s="4">
        <v>628</v>
      </c>
      <c r="BC8" s="4">
        <v>0</v>
      </c>
      <c r="BD8" s="5">
        <v>28428.571427999999</v>
      </c>
      <c r="BG8" s="5">
        <f t="shared" si="8"/>
        <v>145</v>
      </c>
      <c r="BJ8" s="5">
        <v>27261.777192000001</v>
      </c>
      <c r="BK8" s="5" t="str">
        <f t="shared" si="9"/>
        <v>N/A</v>
      </c>
      <c r="BL8" s="5">
        <v>15013.1212065</v>
      </c>
      <c r="BM8" s="5">
        <v>5562.1615380000003</v>
      </c>
      <c r="BN8" s="5">
        <v>10319.4047615</v>
      </c>
      <c r="BO8" s="5">
        <v>18827.834444</v>
      </c>
      <c r="BP8" s="5">
        <v>10000</v>
      </c>
      <c r="BQ8" s="5">
        <v>23686.825832999999</v>
      </c>
      <c r="BR8" s="5">
        <v>13828.17647</v>
      </c>
      <c r="BS8" s="5">
        <v>5507.9059440000001</v>
      </c>
      <c r="BT8" s="5">
        <v>14591.45873</v>
      </c>
      <c r="BU8" s="5">
        <v>18827.834444</v>
      </c>
      <c r="BV8" s="5">
        <v>5500</v>
      </c>
      <c r="BW8" s="5">
        <v>18983.362186999999</v>
      </c>
      <c r="BX8" s="5">
        <v>1</v>
      </c>
      <c r="CC8" s="5">
        <v>1</v>
      </c>
      <c r="CD8" s="143">
        <v>7.7272727272727382E-2</v>
      </c>
      <c r="CE8" s="143">
        <v>0.45173351461590761</v>
      </c>
      <c r="CF8" s="143">
        <v>4728215.59</v>
      </c>
      <c r="CG8" s="144">
        <v>59</v>
      </c>
      <c r="CH8" s="144">
        <v>11.8</v>
      </c>
      <c r="CI8" s="144">
        <v>5.2</v>
      </c>
      <c r="CJ8" s="144">
        <v>65.3</v>
      </c>
      <c r="CK8" s="144">
        <v>14</v>
      </c>
      <c r="CL8" s="144">
        <v>6.6</v>
      </c>
      <c r="CM8" s="144">
        <v>75.900000000000006</v>
      </c>
      <c r="CN8" s="144">
        <v>85.9</v>
      </c>
    </row>
    <row r="9" spans="1:92" ht="15" x14ac:dyDescent="0.25">
      <c r="A9">
        <v>208</v>
      </c>
      <c r="B9" s="1">
        <v>3.3996605050000003E-2</v>
      </c>
      <c r="C9" s="1">
        <v>7.5914749099999998E-3</v>
      </c>
      <c r="D9" s="1">
        <v>-1.1227102609999999E-2</v>
      </c>
      <c r="E9" s="1">
        <v>9.7006105960000005E-2</v>
      </c>
      <c r="F9" s="2">
        <v>4651</v>
      </c>
      <c r="G9" s="2">
        <v>3457</v>
      </c>
      <c r="H9" s="2">
        <v>1020</v>
      </c>
      <c r="I9" s="2">
        <v>180</v>
      </c>
      <c r="J9" s="2">
        <v>2240</v>
      </c>
      <c r="K9" s="2">
        <v>150</v>
      </c>
      <c r="L9" s="4">
        <v>210</v>
      </c>
      <c r="M9" s="4">
        <v>888</v>
      </c>
      <c r="N9" s="4">
        <v>0</v>
      </c>
      <c r="Q9" s="4">
        <v>8529</v>
      </c>
      <c r="R9" s="4">
        <v>12208</v>
      </c>
      <c r="S9" s="4">
        <v>2386</v>
      </c>
      <c r="V9" s="4">
        <f t="shared" si="0"/>
        <v>1</v>
      </c>
      <c r="W9" s="4">
        <f t="shared" si="1"/>
        <v>1</v>
      </c>
      <c r="X9" s="4">
        <v>260</v>
      </c>
      <c r="Y9" s="4">
        <v>395</v>
      </c>
      <c r="Z9" s="4">
        <v>0</v>
      </c>
      <c r="AC9" s="4">
        <v>5170</v>
      </c>
      <c r="AD9" s="4">
        <v>7990</v>
      </c>
      <c r="AE9" s="4">
        <v>0</v>
      </c>
      <c r="AH9" s="4">
        <f t="shared" si="2"/>
        <v>1</v>
      </c>
      <c r="AI9" s="4">
        <f t="shared" si="3"/>
        <v>1</v>
      </c>
      <c r="AJ9" s="4">
        <v>917</v>
      </c>
      <c r="AK9" s="4">
        <v>181</v>
      </c>
      <c r="AL9" s="4">
        <v>0</v>
      </c>
      <c r="AM9" s="4">
        <v>0</v>
      </c>
      <c r="AN9" s="4">
        <f t="shared" si="4"/>
        <v>0.83515482695810561</v>
      </c>
      <c r="AO9" s="4">
        <f t="shared" si="5"/>
        <v>4</v>
      </c>
      <c r="AP9" s="4">
        <v>12592</v>
      </c>
      <c r="AQ9" s="4">
        <v>9721</v>
      </c>
      <c r="AR9" s="4">
        <v>210</v>
      </c>
      <c r="AS9" s="4">
        <v>600</v>
      </c>
      <c r="AT9" s="4">
        <v>410</v>
      </c>
      <c r="AU9" s="4">
        <v>120</v>
      </c>
      <c r="AV9" s="4">
        <v>0</v>
      </c>
      <c r="AW9" s="4">
        <v>125</v>
      </c>
      <c r="AX9" s="4">
        <f t="shared" si="6"/>
        <v>0.77358490566037741</v>
      </c>
      <c r="AY9" s="4">
        <f t="shared" si="7"/>
        <v>36</v>
      </c>
      <c r="AZ9" s="4">
        <v>7670</v>
      </c>
      <c r="BA9" s="4">
        <v>3600</v>
      </c>
      <c r="BB9" s="4">
        <v>540</v>
      </c>
      <c r="BC9" s="4">
        <v>1350</v>
      </c>
      <c r="BD9" s="5">
        <v>16549.165104</v>
      </c>
      <c r="BE9" s="5">
        <v>6739.5833329999996</v>
      </c>
      <c r="BF9" s="5">
        <v>13675.212820000001</v>
      </c>
      <c r="BG9" s="5">
        <f t="shared" si="8"/>
        <v>134</v>
      </c>
      <c r="BH9" s="5">
        <v>21398.68</v>
      </c>
      <c r="BJ9" s="5">
        <v>16860.978180999999</v>
      </c>
      <c r="BK9" s="5">
        <f t="shared" si="9"/>
        <v>43</v>
      </c>
      <c r="BL9" s="5">
        <v>12311.858674499999</v>
      </c>
      <c r="BM9" s="5">
        <v>7372.7272720000001</v>
      </c>
      <c r="BN9" s="5">
        <v>16702.218252999999</v>
      </c>
      <c r="BO9" s="5">
        <v>44666.666665999997</v>
      </c>
      <c r="BP9" s="5">
        <v>10000</v>
      </c>
      <c r="BQ9" s="5">
        <v>12149.054861000001</v>
      </c>
      <c r="BR9" s="5">
        <v>13828.17647</v>
      </c>
      <c r="BS9" s="5">
        <v>5507.9059440000001</v>
      </c>
      <c r="BT9" s="5">
        <v>14591.45873</v>
      </c>
      <c r="BU9" s="5">
        <v>18827.834444</v>
      </c>
      <c r="BV9" s="5">
        <v>5500</v>
      </c>
      <c r="BW9" s="5">
        <v>18983.362186999999</v>
      </c>
      <c r="BX9" s="5">
        <v>14</v>
      </c>
      <c r="BY9" s="5">
        <v>15</v>
      </c>
      <c r="BZ9" s="5">
        <v>1</v>
      </c>
      <c r="CA9" s="5">
        <v>2</v>
      </c>
      <c r="CC9" s="5">
        <v>1</v>
      </c>
      <c r="CD9" s="143">
        <v>0.29598149443219102</v>
      </c>
      <c r="CE9" s="143">
        <v>0.60388448760541791</v>
      </c>
      <c r="CF9" s="143">
        <v>114848438.39</v>
      </c>
      <c r="CG9" s="144">
        <v>82.2</v>
      </c>
      <c r="CH9" s="144">
        <v>9.1</v>
      </c>
      <c r="CI9" s="144">
        <v>3.4</v>
      </c>
      <c r="CJ9" s="144">
        <v>61.8</v>
      </c>
      <c r="CK9" s="144">
        <v>15.3</v>
      </c>
      <c r="CL9" s="144">
        <v>9.4</v>
      </c>
      <c r="CM9" s="144">
        <v>94.8</v>
      </c>
      <c r="CN9" s="144">
        <v>86.4</v>
      </c>
    </row>
    <row r="10" spans="1:92" ht="15" x14ac:dyDescent="0.25">
      <c r="A10">
        <v>209</v>
      </c>
      <c r="B10" s="1">
        <v>1.2905075990000001E-2</v>
      </c>
      <c r="C10" s="1">
        <v>1.6879020030000001E-2</v>
      </c>
      <c r="D10" s="1">
        <v>1.2288247100000001E-3</v>
      </c>
      <c r="E10" s="1">
        <v>2.3259896419999999E-2</v>
      </c>
      <c r="F10" s="2">
        <v>5471</v>
      </c>
      <c r="G10" s="2">
        <v>0</v>
      </c>
      <c r="H10" s="2">
        <v>190</v>
      </c>
      <c r="I10" s="2">
        <v>430</v>
      </c>
      <c r="J10" s="2">
        <v>1173</v>
      </c>
      <c r="K10" s="2">
        <v>0</v>
      </c>
      <c r="L10" s="4">
        <v>153</v>
      </c>
      <c r="M10" s="4">
        <v>421</v>
      </c>
      <c r="N10" s="4">
        <v>500</v>
      </c>
      <c r="Q10" s="4">
        <v>7528</v>
      </c>
      <c r="R10" s="4">
        <v>16195</v>
      </c>
      <c r="S10" s="4">
        <v>2040</v>
      </c>
      <c r="V10" s="4">
        <f t="shared" si="0"/>
        <v>0.53445065176908757</v>
      </c>
      <c r="W10" s="4">
        <f t="shared" si="1"/>
        <v>129</v>
      </c>
      <c r="X10" s="4">
        <v>0</v>
      </c>
      <c r="Y10" s="4">
        <v>0</v>
      </c>
      <c r="Z10" s="4">
        <v>0</v>
      </c>
      <c r="AC10" s="4">
        <v>1940</v>
      </c>
      <c r="AD10" s="4">
        <v>6790</v>
      </c>
      <c r="AE10" s="4">
        <v>5769</v>
      </c>
      <c r="AH10" s="4" t="str">
        <f t="shared" si="2"/>
        <v>N/A</v>
      </c>
      <c r="AI10" s="4" t="str">
        <f t="shared" si="3"/>
        <v>N/A</v>
      </c>
      <c r="AJ10" s="4">
        <v>262</v>
      </c>
      <c r="AK10" s="4">
        <v>239</v>
      </c>
      <c r="AL10" s="4">
        <v>120</v>
      </c>
      <c r="AM10" s="4">
        <v>453</v>
      </c>
      <c r="AN10" s="4">
        <f t="shared" si="4"/>
        <v>0.4219001610305958</v>
      </c>
      <c r="AO10" s="4">
        <f t="shared" si="5"/>
        <v>31</v>
      </c>
      <c r="AP10" s="4">
        <v>12828</v>
      </c>
      <c r="AQ10" s="4">
        <v>9258</v>
      </c>
      <c r="AR10" s="4">
        <v>2287</v>
      </c>
      <c r="AS10" s="4">
        <v>1390</v>
      </c>
      <c r="AT10" s="4">
        <v>0</v>
      </c>
      <c r="AU10" s="4">
        <v>0</v>
      </c>
      <c r="AV10" s="4">
        <v>0</v>
      </c>
      <c r="AW10" s="4">
        <v>0</v>
      </c>
      <c r="AX10" s="4" t="str">
        <f t="shared" si="6"/>
        <v>N/A</v>
      </c>
      <c r="AY10" s="4" t="str">
        <f t="shared" si="7"/>
        <v>N/A</v>
      </c>
      <c r="AZ10" s="4">
        <v>3085</v>
      </c>
      <c r="BA10" s="4">
        <v>4823</v>
      </c>
      <c r="BB10" s="4">
        <v>5991</v>
      </c>
      <c r="BC10" s="4">
        <v>600</v>
      </c>
      <c r="BD10" s="5">
        <v>14791.651624</v>
      </c>
      <c r="BE10" s="5">
        <v>10756.778276999999</v>
      </c>
      <c r="BG10" s="5">
        <f t="shared" si="8"/>
        <v>126</v>
      </c>
      <c r="BK10" s="5" t="str">
        <f t="shared" si="9"/>
        <v>N/A</v>
      </c>
      <c r="BL10" s="5">
        <v>12873.375281500001</v>
      </c>
      <c r="BM10" s="5">
        <v>5574.2184070000003</v>
      </c>
      <c r="BN10" s="5">
        <v>15123.484125999999</v>
      </c>
      <c r="BO10" s="5">
        <v>21398.68</v>
      </c>
      <c r="BP10" s="5">
        <v>0</v>
      </c>
      <c r="BQ10" s="5">
        <v>17337.657500000001</v>
      </c>
      <c r="BR10" s="5">
        <v>13828.17647</v>
      </c>
      <c r="BS10" s="5">
        <v>5507.9059440000001</v>
      </c>
      <c r="BT10" s="5">
        <v>14591.45873</v>
      </c>
      <c r="BU10" s="5">
        <v>18827.834444</v>
      </c>
      <c r="BV10" s="5">
        <v>5500</v>
      </c>
      <c r="BW10" s="5">
        <v>18983.362186999999</v>
      </c>
      <c r="BX10" s="5">
        <v>51</v>
      </c>
      <c r="BY10" s="5">
        <v>38</v>
      </c>
      <c r="CD10" s="143">
        <v>0.34287314762947507</v>
      </c>
      <c r="CE10" s="143">
        <v>0.43493962306737388</v>
      </c>
      <c r="CF10" s="143">
        <v>121040296.91999999</v>
      </c>
      <c r="CG10" s="144">
        <v>75.2</v>
      </c>
      <c r="CH10" s="144">
        <v>9.5</v>
      </c>
      <c r="CI10" s="144">
        <v>4.0999999999999996</v>
      </c>
      <c r="CJ10" s="144">
        <v>61.5</v>
      </c>
      <c r="CK10" s="144">
        <v>16</v>
      </c>
      <c r="CL10" s="144">
        <v>8.1</v>
      </c>
      <c r="CM10" s="144">
        <v>88.7</v>
      </c>
      <c r="CN10" s="144">
        <v>85.6</v>
      </c>
    </row>
    <row r="11" spans="1:92" ht="15" x14ac:dyDescent="0.25">
      <c r="A11">
        <v>210</v>
      </c>
      <c r="B11" s="1">
        <v>5.8911064419999999E-2</v>
      </c>
      <c r="C11" s="1">
        <v>1.6281512599999999E-2</v>
      </c>
      <c r="D11" s="1">
        <v>2.5750020429999999E-2</v>
      </c>
      <c r="E11" s="1">
        <v>1.9619063099999999E-3</v>
      </c>
      <c r="F11" s="2">
        <v>2996</v>
      </c>
      <c r="G11" s="2">
        <v>2513</v>
      </c>
      <c r="H11" s="2">
        <v>70</v>
      </c>
      <c r="I11" s="2">
        <v>0</v>
      </c>
      <c r="J11" s="2">
        <v>3510</v>
      </c>
      <c r="K11" s="2">
        <v>910</v>
      </c>
      <c r="L11" s="4">
        <v>165</v>
      </c>
      <c r="M11" s="4">
        <v>151</v>
      </c>
      <c r="N11" s="4">
        <v>0</v>
      </c>
      <c r="Q11" s="4">
        <v>5834</v>
      </c>
      <c r="R11" s="4">
        <v>14480</v>
      </c>
      <c r="S11" s="4">
        <v>3154</v>
      </c>
      <c r="V11" s="4">
        <f t="shared" si="0"/>
        <v>1</v>
      </c>
      <c r="W11" s="4">
        <f t="shared" si="1"/>
        <v>1</v>
      </c>
      <c r="X11" s="4">
        <v>0</v>
      </c>
      <c r="Y11" s="4">
        <v>425</v>
      </c>
      <c r="Z11" s="4">
        <v>0</v>
      </c>
      <c r="AC11" s="4">
        <v>7708</v>
      </c>
      <c r="AD11" s="4">
        <v>7959</v>
      </c>
      <c r="AE11" s="4">
        <v>0</v>
      </c>
      <c r="AH11" s="4">
        <f t="shared" si="2"/>
        <v>1</v>
      </c>
      <c r="AI11" s="4">
        <f t="shared" si="3"/>
        <v>1</v>
      </c>
      <c r="AJ11" s="4">
        <v>195</v>
      </c>
      <c r="AK11" s="4">
        <v>60</v>
      </c>
      <c r="AL11" s="4">
        <v>61</v>
      </c>
      <c r="AM11" s="4">
        <v>0</v>
      </c>
      <c r="AN11" s="4">
        <f t="shared" si="4"/>
        <v>0.61708860759493667</v>
      </c>
      <c r="AO11" s="4">
        <f t="shared" si="5"/>
        <v>15</v>
      </c>
      <c r="AP11" s="4">
        <v>11601</v>
      </c>
      <c r="AQ11" s="4">
        <v>8740</v>
      </c>
      <c r="AR11" s="4">
        <v>2257</v>
      </c>
      <c r="AS11" s="4">
        <v>870</v>
      </c>
      <c r="AT11" s="4">
        <v>100</v>
      </c>
      <c r="AU11" s="4">
        <v>325</v>
      </c>
      <c r="AW11" s="4">
        <v>0</v>
      </c>
      <c r="AX11" s="4">
        <f t="shared" si="6"/>
        <v>0.23529411764705882</v>
      </c>
      <c r="AY11" s="4">
        <f t="shared" si="7"/>
        <v>62</v>
      </c>
      <c r="AZ11" s="4">
        <v>9759</v>
      </c>
      <c r="BA11" s="4">
        <v>5108</v>
      </c>
      <c r="BC11" s="4">
        <v>800</v>
      </c>
      <c r="BD11" s="5">
        <v>18858.507936000002</v>
      </c>
      <c r="BE11" s="5">
        <v>5083.2412119999999</v>
      </c>
      <c r="BF11" s="5">
        <v>21358.695238</v>
      </c>
      <c r="BG11" s="5">
        <f t="shared" si="8"/>
        <v>140</v>
      </c>
      <c r="BK11" s="5" t="str">
        <f t="shared" si="9"/>
        <v>N/A</v>
      </c>
      <c r="BL11" s="5">
        <v>12311.858674499999</v>
      </c>
      <c r="BM11" s="5">
        <v>8348.6914135000006</v>
      </c>
      <c r="BN11" s="5">
        <v>15123.484125999999</v>
      </c>
      <c r="BO11" s="5">
        <v>33032.673332999999</v>
      </c>
      <c r="BP11" s="5">
        <v>10000</v>
      </c>
      <c r="BQ11" s="5">
        <v>17099.3178405</v>
      </c>
      <c r="BR11" s="5">
        <v>13828.17647</v>
      </c>
      <c r="BS11" s="5">
        <v>5507.9059440000001</v>
      </c>
      <c r="BT11" s="5">
        <v>14591.45873</v>
      </c>
      <c r="BU11" s="5">
        <v>18827.834444</v>
      </c>
      <c r="BV11" s="5">
        <v>5500</v>
      </c>
      <c r="BW11" s="5">
        <v>18983.362186999999</v>
      </c>
      <c r="BX11" s="5">
        <v>3</v>
      </c>
      <c r="BY11" s="5">
        <v>32</v>
      </c>
      <c r="BZ11" s="5">
        <v>2</v>
      </c>
      <c r="CD11" s="143">
        <v>0.19729729729729728</v>
      </c>
      <c r="CE11" s="143">
        <v>1.5039881283620851</v>
      </c>
      <c r="CF11" s="143">
        <v>70111011.329999998</v>
      </c>
      <c r="CG11" s="144">
        <v>80</v>
      </c>
      <c r="CH11" s="144">
        <v>8.6999999999999993</v>
      </c>
      <c r="CI11" s="144">
        <v>3.2</v>
      </c>
      <c r="CJ11" s="144">
        <v>59.6</v>
      </c>
      <c r="CK11" s="144">
        <v>17.7</v>
      </c>
      <c r="CL11" s="144">
        <v>9.1999999999999993</v>
      </c>
      <c r="CM11" s="144">
        <v>91.9</v>
      </c>
      <c r="CN11" s="144">
        <v>86.6</v>
      </c>
    </row>
    <row r="12" spans="1:92" ht="15" x14ac:dyDescent="0.25">
      <c r="A12">
        <v>211</v>
      </c>
      <c r="B12" s="1">
        <v>3.3458712379999998E-2</v>
      </c>
      <c r="C12" s="1">
        <v>4.1987403699999997E-3</v>
      </c>
      <c r="D12" s="1">
        <v>2.3831208249999999E-2</v>
      </c>
      <c r="E12" s="1">
        <v>1.0853066180000001E-2</v>
      </c>
      <c r="F12" s="2">
        <v>4239</v>
      </c>
      <c r="G12" s="2">
        <v>2725</v>
      </c>
      <c r="H12" s="2">
        <v>180</v>
      </c>
      <c r="I12" s="2">
        <v>0</v>
      </c>
      <c r="J12" s="2">
        <v>420</v>
      </c>
      <c r="K12" s="2">
        <v>0</v>
      </c>
      <c r="L12" s="4">
        <v>420</v>
      </c>
      <c r="M12" s="4">
        <v>636</v>
      </c>
      <c r="N12" s="4">
        <v>0</v>
      </c>
      <c r="O12" s="4">
        <v>0</v>
      </c>
      <c r="P12" s="4">
        <v>28</v>
      </c>
      <c r="Q12" s="4">
        <v>5300</v>
      </c>
      <c r="R12" s="4">
        <v>15822</v>
      </c>
      <c r="S12" s="4">
        <v>2103</v>
      </c>
      <c r="T12" s="4">
        <v>210</v>
      </c>
      <c r="U12" s="4">
        <v>392</v>
      </c>
      <c r="V12" s="4">
        <f t="shared" si="0"/>
        <v>1</v>
      </c>
      <c r="W12" s="4">
        <f t="shared" si="1"/>
        <v>1</v>
      </c>
      <c r="X12" s="4">
        <v>426</v>
      </c>
      <c r="Y12" s="4">
        <v>888</v>
      </c>
      <c r="Z12" s="4">
        <v>31</v>
      </c>
      <c r="AA12" s="4">
        <v>196</v>
      </c>
      <c r="AB12" s="4">
        <v>0</v>
      </c>
      <c r="AC12" s="4">
        <v>7032</v>
      </c>
      <c r="AD12" s="4">
        <v>6233</v>
      </c>
      <c r="AE12" s="4">
        <v>950</v>
      </c>
      <c r="AF12" s="4">
        <v>1359</v>
      </c>
      <c r="AG12" s="4">
        <v>0</v>
      </c>
      <c r="AH12" s="4">
        <f t="shared" si="2"/>
        <v>0.85269305645684623</v>
      </c>
      <c r="AI12" s="4">
        <f t="shared" si="3"/>
        <v>70</v>
      </c>
      <c r="AJ12" s="4">
        <v>210</v>
      </c>
      <c r="AK12" s="4">
        <v>454</v>
      </c>
      <c r="AL12" s="4">
        <v>0</v>
      </c>
      <c r="AM12" s="4">
        <v>420</v>
      </c>
      <c r="AN12" s="4">
        <f t="shared" si="4"/>
        <v>0.31626506024096385</v>
      </c>
      <c r="AO12" s="4">
        <f t="shared" si="5"/>
        <v>46</v>
      </c>
      <c r="AP12" s="4">
        <v>11018</v>
      </c>
      <c r="AQ12" s="4">
        <v>10539</v>
      </c>
      <c r="AR12" s="4">
        <v>1496</v>
      </c>
      <c r="AS12" s="4">
        <v>774</v>
      </c>
      <c r="AT12" s="4">
        <v>1488</v>
      </c>
      <c r="AU12" s="4">
        <v>53</v>
      </c>
      <c r="AV12" s="4">
        <v>0</v>
      </c>
      <c r="AW12" s="4">
        <v>0</v>
      </c>
      <c r="AX12" s="4">
        <f t="shared" si="6"/>
        <v>0.96560674886437381</v>
      </c>
      <c r="AY12" s="4">
        <f t="shared" si="7"/>
        <v>29</v>
      </c>
      <c r="AZ12" s="4">
        <v>10035</v>
      </c>
      <c r="BA12" s="4">
        <v>4789</v>
      </c>
      <c r="BB12" s="4">
        <v>750</v>
      </c>
      <c r="BC12" s="4">
        <v>0</v>
      </c>
      <c r="BD12" s="5">
        <v>14251.307428</v>
      </c>
      <c r="BE12" s="5">
        <v>3500</v>
      </c>
      <c r="BG12" s="5">
        <f t="shared" si="8"/>
        <v>123</v>
      </c>
      <c r="BH12" s="5">
        <v>11620.51282</v>
      </c>
      <c r="BK12" s="5">
        <f t="shared" si="9"/>
        <v>22</v>
      </c>
      <c r="BL12" s="5">
        <v>9690.9871540000004</v>
      </c>
      <c r="BM12" s="5">
        <v>3327.0468139999998</v>
      </c>
      <c r="BN12" s="5">
        <v>21787.232272000001</v>
      </c>
      <c r="BO12" s="5">
        <v>8677.536666</v>
      </c>
      <c r="BP12" s="5">
        <v>10000</v>
      </c>
      <c r="BQ12" s="5">
        <v>17276.650324999999</v>
      </c>
      <c r="BR12" s="5">
        <v>13828.17647</v>
      </c>
      <c r="BS12" s="5">
        <v>5507.9059440000001</v>
      </c>
      <c r="BT12" s="5">
        <v>14591.45873</v>
      </c>
      <c r="BU12" s="5">
        <v>18827.834444</v>
      </c>
      <c r="BV12" s="5">
        <v>5500</v>
      </c>
      <c r="BW12" s="5">
        <v>18983.362186999999</v>
      </c>
      <c r="BX12" s="5">
        <v>10</v>
      </c>
      <c r="BY12" s="5">
        <v>4</v>
      </c>
      <c r="CA12" s="5">
        <v>1</v>
      </c>
      <c r="CD12" s="143">
        <v>0.2033111935924985</v>
      </c>
      <c r="CE12" s="143">
        <v>0.11402073104200761</v>
      </c>
      <c r="CF12" s="143">
        <v>85665679.800000012</v>
      </c>
      <c r="CG12" s="144">
        <v>85.1</v>
      </c>
      <c r="CH12" s="144">
        <v>6.4</v>
      </c>
      <c r="CI12" s="144">
        <v>3.2</v>
      </c>
      <c r="CJ12" s="144">
        <v>74.2</v>
      </c>
      <c r="CK12" s="144">
        <v>14</v>
      </c>
      <c r="CL12" s="144">
        <v>5.4</v>
      </c>
      <c r="CM12" s="144">
        <v>94.8</v>
      </c>
      <c r="CN12" s="144">
        <v>93.5</v>
      </c>
    </row>
    <row r="13" spans="1:92" ht="15" x14ac:dyDescent="0.25">
      <c r="A13">
        <v>212</v>
      </c>
      <c r="B13" s="1">
        <v>5.4005602239999999E-2</v>
      </c>
      <c r="C13" s="1">
        <v>4.2016806700000001E-3</v>
      </c>
      <c r="D13" s="1">
        <v>3.871345029E-2</v>
      </c>
      <c r="E13" s="1">
        <v>2.4912280700000001E-2</v>
      </c>
      <c r="F13" s="2">
        <v>4441</v>
      </c>
      <c r="G13" s="2">
        <v>265</v>
      </c>
      <c r="H13" s="2">
        <v>50</v>
      </c>
      <c r="I13" s="2">
        <v>0</v>
      </c>
      <c r="J13" s="2">
        <v>1305</v>
      </c>
      <c r="K13" s="2">
        <v>600</v>
      </c>
      <c r="L13" s="4">
        <v>477</v>
      </c>
      <c r="M13" s="4">
        <v>1114</v>
      </c>
      <c r="N13" s="4">
        <v>0</v>
      </c>
      <c r="Q13" s="4">
        <v>6410</v>
      </c>
      <c r="R13" s="4">
        <v>10659</v>
      </c>
      <c r="S13" s="4">
        <v>1338</v>
      </c>
      <c r="V13" s="4">
        <f t="shared" si="0"/>
        <v>1</v>
      </c>
      <c r="W13" s="4">
        <f t="shared" si="1"/>
        <v>1</v>
      </c>
      <c r="X13" s="4">
        <v>229</v>
      </c>
      <c r="Y13" s="4">
        <v>243</v>
      </c>
      <c r="Z13" s="4">
        <v>0</v>
      </c>
      <c r="AC13" s="4">
        <v>5356</v>
      </c>
      <c r="AD13" s="4">
        <v>6157</v>
      </c>
      <c r="AE13" s="4">
        <v>0</v>
      </c>
      <c r="AH13" s="4">
        <f t="shared" si="2"/>
        <v>1</v>
      </c>
      <c r="AI13" s="4">
        <f t="shared" si="3"/>
        <v>1</v>
      </c>
      <c r="AJ13" s="4">
        <v>1062</v>
      </c>
      <c r="AK13" s="4">
        <v>529</v>
      </c>
      <c r="AL13" s="4">
        <v>0</v>
      </c>
      <c r="AM13" s="4">
        <v>0</v>
      </c>
      <c r="AN13" s="4">
        <f t="shared" si="4"/>
        <v>0.66750471401634193</v>
      </c>
      <c r="AO13" s="4">
        <f t="shared" si="5"/>
        <v>11</v>
      </c>
      <c r="AP13" s="4">
        <v>8653</v>
      </c>
      <c r="AQ13" s="4">
        <v>8645</v>
      </c>
      <c r="AR13" s="4">
        <v>839</v>
      </c>
      <c r="AS13" s="4">
        <v>270</v>
      </c>
      <c r="AT13" s="4">
        <v>363</v>
      </c>
      <c r="AU13" s="4">
        <v>84</v>
      </c>
      <c r="AV13" s="4">
        <v>25</v>
      </c>
      <c r="AW13" s="4">
        <v>0</v>
      </c>
      <c r="AX13" s="4">
        <f t="shared" si="6"/>
        <v>0.76906779661016944</v>
      </c>
      <c r="AY13" s="4">
        <f t="shared" si="7"/>
        <v>37</v>
      </c>
      <c r="AZ13" s="4">
        <v>5762</v>
      </c>
      <c r="BA13" s="4">
        <v>4106</v>
      </c>
      <c r="BB13" s="4">
        <v>1645</v>
      </c>
      <c r="BC13" s="4">
        <v>0</v>
      </c>
      <c r="BD13" s="5">
        <v>7546.3843800000004</v>
      </c>
      <c r="BE13" s="5">
        <v>7082.6</v>
      </c>
      <c r="BF13" s="5">
        <v>6969.0476189999999</v>
      </c>
      <c r="BG13" s="5">
        <f t="shared" si="8"/>
        <v>51</v>
      </c>
      <c r="BJ13" s="5">
        <v>45636.666665999997</v>
      </c>
      <c r="BK13" s="5" t="str">
        <f t="shared" si="9"/>
        <v>N/A</v>
      </c>
      <c r="BL13" s="5">
        <v>14407.501819999999</v>
      </c>
      <c r="BM13" s="5">
        <v>4817.2262970000002</v>
      </c>
      <c r="BN13" s="5">
        <v>15278.778808500001</v>
      </c>
      <c r="BO13" s="5">
        <v>19201.501110500001</v>
      </c>
      <c r="BP13" s="5">
        <v>10000</v>
      </c>
      <c r="BQ13" s="5">
        <v>14499.381096000001</v>
      </c>
      <c r="BR13" s="5">
        <v>13828.17647</v>
      </c>
      <c r="BS13" s="5">
        <v>5507.9059440000001</v>
      </c>
      <c r="BT13" s="5">
        <v>14591.45873</v>
      </c>
      <c r="BU13" s="5">
        <v>18827.834444</v>
      </c>
      <c r="BV13" s="5">
        <v>5500</v>
      </c>
      <c r="BW13" s="5">
        <v>18983.362186999999</v>
      </c>
      <c r="BX13" s="5">
        <v>14</v>
      </c>
      <c r="BY13" s="5">
        <v>11</v>
      </c>
      <c r="BZ13" s="5">
        <v>1</v>
      </c>
      <c r="CC13" s="5">
        <v>1</v>
      </c>
      <c r="CD13" s="143">
        <v>0.25060733921493417</v>
      </c>
      <c r="CE13" s="143">
        <v>0.10847788907891531</v>
      </c>
      <c r="CF13" s="143">
        <v>47988823.130000003</v>
      </c>
      <c r="CG13" s="144">
        <v>77.5</v>
      </c>
      <c r="CH13" s="144">
        <v>9.1</v>
      </c>
      <c r="CI13" s="144">
        <v>4.9000000000000004</v>
      </c>
      <c r="CJ13" s="144">
        <v>57.8</v>
      </c>
      <c r="CK13" s="144">
        <v>17.8</v>
      </c>
      <c r="CL13" s="144">
        <v>9.5</v>
      </c>
      <c r="CM13" s="144">
        <v>91.5</v>
      </c>
      <c r="CN13" s="144">
        <v>85.1</v>
      </c>
    </row>
    <row r="14" spans="1:92" ht="15" x14ac:dyDescent="0.25">
      <c r="A14">
        <v>213</v>
      </c>
      <c r="B14" s="1">
        <v>6.6301990000000005E-2</v>
      </c>
      <c r="C14" s="1">
        <v>2.9991511830000001E-2</v>
      </c>
      <c r="D14" s="1">
        <v>1.8382352939999999E-2</v>
      </c>
      <c r="E14" s="1">
        <v>-1.546653144E-2</v>
      </c>
      <c r="F14" s="2">
        <v>942</v>
      </c>
      <c r="G14" s="2">
        <v>2030</v>
      </c>
      <c r="H14" s="2">
        <v>80</v>
      </c>
      <c r="I14" s="2">
        <v>0</v>
      </c>
      <c r="J14" s="2">
        <v>210</v>
      </c>
      <c r="K14" s="2">
        <v>975</v>
      </c>
      <c r="L14" s="4">
        <v>0</v>
      </c>
      <c r="M14" s="4">
        <v>0</v>
      </c>
      <c r="N14" s="4">
        <v>0</v>
      </c>
      <c r="Q14" s="4">
        <v>3090</v>
      </c>
      <c r="R14" s="4">
        <v>7145</v>
      </c>
      <c r="S14" s="4">
        <v>420</v>
      </c>
      <c r="V14" s="4" t="str">
        <f t="shared" si="0"/>
        <v>N/A</v>
      </c>
      <c r="W14" s="4" t="str">
        <f t="shared" si="1"/>
        <v>N/A</v>
      </c>
      <c r="X14" s="4">
        <v>0</v>
      </c>
      <c r="Y14" s="4">
        <v>0</v>
      </c>
      <c r="Z14" s="4">
        <v>0</v>
      </c>
      <c r="AC14" s="4">
        <v>7980</v>
      </c>
      <c r="AD14" s="4">
        <v>850</v>
      </c>
      <c r="AE14" s="4">
        <v>1500</v>
      </c>
      <c r="AH14" s="4" t="str">
        <f t="shared" si="2"/>
        <v>N/A</v>
      </c>
      <c r="AI14" s="4" t="str">
        <f t="shared" si="3"/>
        <v>N/A</v>
      </c>
      <c r="AJ14" s="4">
        <v>0</v>
      </c>
      <c r="AK14" s="4">
        <v>0</v>
      </c>
      <c r="AL14" s="4">
        <v>0</v>
      </c>
      <c r="AM14" s="4">
        <v>0</v>
      </c>
      <c r="AN14" s="4" t="str">
        <f t="shared" si="4"/>
        <v>N/A</v>
      </c>
      <c r="AO14" s="4" t="str">
        <f t="shared" si="5"/>
        <v>N/A</v>
      </c>
      <c r="AP14" s="4">
        <v>5897</v>
      </c>
      <c r="AQ14" s="4">
        <v>3838</v>
      </c>
      <c r="AR14" s="4">
        <v>740</v>
      </c>
      <c r="AS14" s="4">
        <v>180</v>
      </c>
      <c r="AT14" s="4">
        <v>0</v>
      </c>
      <c r="AU14" s="4">
        <v>0</v>
      </c>
      <c r="AV14" s="4">
        <v>0</v>
      </c>
      <c r="AW14" s="4">
        <v>0</v>
      </c>
      <c r="AX14" s="4" t="str">
        <f t="shared" si="6"/>
        <v>N/A</v>
      </c>
      <c r="AY14" s="4" t="str">
        <f t="shared" si="7"/>
        <v>N/A</v>
      </c>
      <c r="AZ14" s="4">
        <v>7980</v>
      </c>
      <c r="BA14" s="4">
        <v>850</v>
      </c>
      <c r="BB14" s="4">
        <v>1500</v>
      </c>
      <c r="BC14" s="4">
        <v>0</v>
      </c>
      <c r="BG14" s="5" t="str">
        <f t="shared" si="8"/>
        <v>N/A</v>
      </c>
      <c r="BK14" s="5" t="str">
        <f t="shared" si="9"/>
        <v>N/A</v>
      </c>
      <c r="BL14" s="5">
        <v>11816.863475</v>
      </c>
      <c r="BM14" s="5">
        <v>8913.3333330000005</v>
      </c>
      <c r="BN14" s="5">
        <v>18280.952379999999</v>
      </c>
      <c r="BO14" s="5">
        <v>19469.668888</v>
      </c>
      <c r="BP14" s="5">
        <v>10000</v>
      </c>
      <c r="BQ14" s="5">
        <v>27261.777192000001</v>
      </c>
      <c r="BR14" s="5">
        <v>13828.17647</v>
      </c>
      <c r="BS14" s="5">
        <v>5507.9059440000001</v>
      </c>
      <c r="BT14" s="5">
        <v>14591.45873</v>
      </c>
      <c r="BU14" s="5">
        <v>18827.834444</v>
      </c>
      <c r="BV14" s="5">
        <v>5500</v>
      </c>
      <c r="BW14" s="5">
        <v>18983.362186999999</v>
      </c>
      <c r="CD14" s="143">
        <v>0.11332540154669846</v>
      </c>
      <c r="CE14" s="143">
        <v>0.95759137769447045</v>
      </c>
      <c r="CF14" s="143">
        <v>24149488.350000001</v>
      </c>
      <c r="CG14" s="144">
        <v>80.3</v>
      </c>
      <c r="CH14" s="144">
        <v>8.9</v>
      </c>
      <c r="CI14" s="144">
        <v>4.0999999999999996</v>
      </c>
      <c r="CJ14" s="144">
        <v>57</v>
      </c>
      <c r="CK14" s="144">
        <v>17</v>
      </c>
      <c r="CL14" s="144">
        <v>9.1</v>
      </c>
      <c r="CM14" s="144">
        <v>93.3</v>
      </c>
      <c r="CN14" s="144">
        <v>83.1</v>
      </c>
    </row>
    <row r="15" spans="1:92" ht="15" x14ac:dyDescent="0.25">
      <c r="A15">
        <v>301</v>
      </c>
      <c r="B15" s="1">
        <v>3.7981666939999999E-2</v>
      </c>
      <c r="C15" s="1">
        <v>2.9706331690000001E-2</v>
      </c>
      <c r="D15" s="1">
        <v>6.9093808130000003E-2</v>
      </c>
      <c r="E15" s="1">
        <v>5.2351846930000001E-2</v>
      </c>
      <c r="F15" s="2">
        <v>8084</v>
      </c>
      <c r="G15" s="2">
        <v>3823</v>
      </c>
      <c r="H15" s="2">
        <v>210</v>
      </c>
      <c r="I15" s="2">
        <v>0</v>
      </c>
      <c r="J15" s="2">
        <v>4017</v>
      </c>
      <c r="K15" s="2">
        <v>4275</v>
      </c>
      <c r="L15" s="4">
        <v>0</v>
      </c>
      <c r="M15" s="4">
        <v>30</v>
      </c>
      <c r="N15" s="4">
        <v>0</v>
      </c>
      <c r="Q15" s="4">
        <v>1406</v>
      </c>
      <c r="R15" s="4">
        <v>17089</v>
      </c>
      <c r="S15" s="4">
        <v>6099</v>
      </c>
      <c r="V15" s="4">
        <f t="shared" si="0"/>
        <v>1</v>
      </c>
      <c r="W15" s="4">
        <f t="shared" si="1"/>
        <v>1</v>
      </c>
      <c r="X15" s="4">
        <v>0</v>
      </c>
      <c r="Y15" s="4">
        <v>566</v>
      </c>
      <c r="Z15" s="4">
        <v>0</v>
      </c>
      <c r="AC15" s="4">
        <v>2088</v>
      </c>
      <c r="AD15" s="4">
        <v>8310</v>
      </c>
      <c r="AE15" s="4">
        <v>3140</v>
      </c>
      <c r="AH15" s="4">
        <f t="shared" si="2"/>
        <v>1</v>
      </c>
      <c r="AI15" s="4">
        <f t="shared" si="3"/>
        <v>1</v>
      </c>
      <c r="AJ15" s="4">
        <v>0</v>
      </c>
      <c r="AK15" s="4">
        <v>30</v>
      </c>
      <c r="AL15" s="4">
        <v>0</v>
      </c>
      <c r="AM15" s="4">
        <v>0</v>
      </c>
      <c r="AN15" s="4">
        <f t="shared" si="4"/>
        <v>0</v>
      </c>
      <c r="AO15" s="4">
        <f t="shared" si="5"/>
        <v>100</v>
      </c>
      <c r="AP15" s="4">
        <v>7921</v>
      </c>
      <c r="AQ15" s="4">
        <v>11118</v>
      </c>
      <c r="AR15" s="4">
        <v>3982</v>
      </c>
      <c r="AS15" s="4">
        <v>1573</v>
      </c>
      <c r="AT15" s="4">
        <v>566</v>
      </c>
      <c r="AU15" s="4">
        <v>0</v>
      </c>
      <c r="AW15" s="4">
        <v>0</v>
      </c>
      <c r="AX15" s="4">
        <f t="shared" si="6"/>
        <v>1</v>
      </c>
      <c r="AY15" s="4">
        <f t="shared" si="7"/>
        <v>1</v>
      </c>
      <c r="AZ15" s="4">
        <v>7734</v>
      </c>
      <c r="BA15" s="4">
        <v>5804</v>
      </c>
      <c r="BC15" s="4">
        <v>0</v>
      </c>
      <c r="BD15" s="5">
        <v>10289.95981</v>
      </c>
      <c r="BG15" s="5">
        <f t="shared" si="8"/>
        <v>88</v>
      </c>
      <c r="BH15" s="5">
        <v>12619.048333000001</v>
      </c>
      <c r="BJ15" s="5">
        <v>15131.578947</v>
      </c>
      <c r="BK15" s="5">
        <f t="shared" si="9"/>
        <v>26</v>
      </c>
      <c r="BL15" s="5">
        <v>9275.6459460000005</v>
      </c>
      <c r="BM15" s="5">
        <v>4916.6666660000001</v>
      </c>
      <c r="BN15" s="5">
        <v>13566.666665999999</v>
      </c>
      <c r="BO15" s="5">
        <v>6305.9814475000003</v>
      </c>
      <c r="BP15" s="5">
        <v>0</v>
      </c>
      <c r="BQ15" s="5">
        <v>22914.461525999999</v>
      </c>
      <c r="BR15" s="5">
        <v>13828.17647</v>
      </c>
      <c r="BS15" s="5">
        <v>5507.9059440000001</v>
      </c>
      <c r="BT15" s="5">
        <v>14591.45873</v>
      </c>
      <c r="BU15" s="5">
        <v>18827.834444</v>
      </c>
      <c r="BV15" s="5">
        <v>5500</v>
      </c>
      <c r="BW15" s="5">
        <v>18983.362186999999</v>
      </c>
      <c r="BX15" s="5">
        <v>26</v>
      </c>
      <c r="CA15" s="5">
        <v>2</v>
      </c>
      <c r="CC15" s="5">
        <v>1</v>
      </c>
      <c r="CD15" s="143">
        <v>0.49403556155750628</v>
      </c>
      <c r="CE15" s="143">
        <v>0.22494473102431845</v>
      </c>
      <c r="CF15" s="143">
        <v>166955585.40000001</v>
      </c>
      <c r="CG15" s="144">
        <v>90.7</v>
      </c>
      <c r="CH15" s="144">
        <v>4.8</v>
      </c>
      <c r="CI15" s="144">
        <v>2.1</v>
      </c>
      <c r="CJ15" s="144">
        <v>72.599999999999994</v>
      </c>
      <c r="CK15" s="144">
        <v>12.9</v>
      </c>
      <c r="CL15" s="144">
        <v>5.4</v>
      </c>
      <c r="CM15" s="144">
        <v>97.6</v>
      </c>
      <c r="CN15" s="144">
        <v>91</v>
      </c>
    </row>
    <row r="16" spans="1:92" ht="15" x14ac:dyDescent="0.25">
      <c r="A16">
        <v>302</v>
      </c>
      <c r="B16" s="1">
        <v>3.9752650170000001E-2</v>
      </c>
      <c r="C16" s="1">
        <v>3.2402826849999997E-2</v>
      </c>
      <c r="D16" s="1">
        <v>2.5351651940000001E-2</v>
      </c>
      <c r="E16" s="1">
        <v>4.2470831969999998E-2</v>
      </c>
      <c r="F16" s="2">
        <v>4893</v>
      </c>
      <c r="G16" s="2">
        <v>4365</v>
      </c>
      <c r="H16" s="2">
        <v>500</v>
      </c>
      <c r="I16" s="2">
        <v>0</v>
      </c>
      <c r="J16" s="2">
        <v>1760</v>
      </c>
      <c r="K16" s="2">
        <v>660</v>
      </c>
      <c r="L16" s="4">
        <v>138</v>
      </c>
      <c r="M16" s="4">
        <v>140</v>
      </c>
      <c r="N16" s="4">
        <v>0</v>
      </c>
      <c r="O16" s="4">
        <v>0</v>
      </c>
      <c r="P16" s="4">
        <v>145</v>
      </c>
      <c r="Q16" s="4">
        <v>9095</v>
      </c>
      <c r="R16" s="4">
        <v>16489</v>
      </c>
      <c r="S16" s="4">
        <v>1039</v>
      </c>
      <c r="T16" s="4">
        <v>420</v>
      </c>
      <c r="U16" s="4">
        <v>1659</v>
      </c>
      <c r="V16" s="4">
        <f t="shared" si="0"/>
        <v>1</v>
      </c>
      <c r="W16" s="4">
        <f t="shared" si="1"/>
        <v>1</v>
      </c>
      <c r="X16" s="4">
        <v>280</v>
      </c>
      <c r="Y16" s="4">
        <v>138</v>
      </c>
      <c r="Z16" s="4">
        <v>0</v>
      </c>
      <c r="AA16" s="4">
        <v>0</v>
      </c>
      <c r="AB16" s="4">
        <v>0</v>
      </c>
      <c r="AC16" s="4">
        <v>8842</v>
      </c>
      <c r="AD16" s="4">
        <v>12272</v>
      </c>
      <c r="AE16" s="4">
        <v>4520</v>
      </c>
      <c r="AF16" s="4">
        <v>0</v>
      </c>
      <c r="AG16" s="4">
        <v>600</v>
      </c>
      <c r="AH16" s="4">
        <f t="shared" si="2"/>
        <v>1</v>
      </c>
      <c r="AI16" s="4">
        <f t="shared" si="3"/>
        <v>1</v>
      </c>
      <c r="AJ16" s="4">
        <v>151</v>
      </c>
      <c r="AK16" s="4">
        <v>248</v>
      </c>
      <c r="AL16" s="4">
        <v>24</v>
      </c>
      <c r="AM16" s="4">
        <v>0</v>
      </c>
      <c r="AN16" s="4">
        <f t="shared" si="4"/>
        <v>0.35697399527186763</v>
      </c>
      <c r="AO16" s="4">
        <f t="shared" si="5"/>
        <v>40</v>
      </c>
      <c r="AP16" s="4">
        <v>11456</v>
      </c>
      <c r="AQ16" s="4">
        <v>11938</v>
      </c>
      <c r="AR16" s="4">
        <v>3051</v>
      </c>
      <c r="AS16" s="4">
        <v>2257</v>
      </c>
      <c r="AT16" s="4">
        <v>280</v>
      </c>
      <c r="AU16" s="4">
        <v>138</v>
      </c>
      <c r="AV16" s="4">
        <v>0</v>
      </c>
      <c r="AW16" s="4">
        <v>0</v>
      </c>
      <c r="AX16" s="4">
        <f t="shared" si="6"/>
        <v>0.66985645933014359</v>
      </c>
      <c r="AY16" s="4">
        <f t="shared" si="7"/>
        <v>43</v>
      </c>
      <c r="AZ16" s="4">
        <v>18714</v>
      </c>
      <c r="BA16" s="4">
        <v>5774</v>
      </c>
      <c r="BB16" s="4">
        <v>1146</v>
      </c>
      <c r="BC16" s="4">
        <v>600</v>
      </c>
      <c r="BD16" s="5">
        <v>8498.7867440000009</v>
      </c>
      <c r="BE16" s="5">
        <v>4072.291056</v>
      </c>
      <c r="BF16" s="5">
        <v>19918.171428000001</v>
      </c>
      <c r="BG16" s="5">
        <f t="shared" si="8"/>
        <v>62</v>
      </c>
      <c r="BH16" s="5">
        <v>19469.668888</v>
      </c>
      <c r="BK16" s="5">
        <f t="shared" si="9"/>
        <v>41</v>
      </c>
      <c r="BL16" s="5">
        <v>14474.895856499999</v>
      </c>
      <c r="BM16" s="5">
        <v>6567.3629620000002</v>
      </c>
      <c r="BN16" s="5">
        <v>17664.516129</v>
      </c>
      <c r="BO16" s="5">
        <v>15711.373333</v>
      </c>
      <c r="BP16" s="5">
        <v>1000</v>
      </c>
      <c r="BQ16" s="5">
        <v>20629.066874</v>
      </c>
      <c r="BR16" s="5">
        <v>13828.17647</v>
      </c>
      <c r="BS16" s="5">
        <v>5507.9059440000001</v>
      </c>
      <c r="BT16" s="5">
        <v>14591.45873</v>
      </c>
      <c r="BU16" s="5">
        <v>18827.834444</v>
      </c>
      <c r="BV16" s="5">
        <v>5500</v>
      </c>
      <c r="BW16" s="5">
        <v>18983.362186999999</v>
      </c>
      <c r="BX16" s="5">
        <v>10</v>
      </c>
      <c r="BY16" s="5">
        <v>42</v>
      </c>
      <c r="BZ16" s="5">
        <v>2</v>
      </c>
      <c r="CA16" s="5">
        <v>3</v>
      </c>
      <c r="CD16" s="143">
        <v>0.28748821769599608</v>
      </c>
      <c r="CE16" s="143">
        <v>0.32345203721527116</v>
      </c>
      <c r="CF16" s="143">
        <v>100755442.15000001</v>
      </c>
      <c r="CG16" s="144">
        <v>80</v>
      </c>
      <c r="CH16" s="144">
        <v>7.3</v>
      </c>
      <c r="CI16" s="144">
        <v>3.6</v>
      </c>
      <c r="CJ16" s="144">
        <v>68.3</v>
      </c>
      <c r="CK16" s="144">
        <v>13.9</v>
      </c>
      <c r="CL16" s="144">
        <v>6.2</v>
      </c>
      <c r="CM16" s="144">
        <v>90.9</v>
      </c>
      <c r="CN16" s="144">
        <v>88.4</v>
      </c>
    </row>
    <row r="17" spans="1:92" ht="15" x14ac:dyDescent="0.25">
      <c r="A17">
        <v>303</v>
      </c>
      <c r="B17" s="1">
        <v>1.9890831700000002E-3</v>
      </c>
      <c r="C17" s="1">
        <v>2.08159866E-3</v>
      </c>
      <c r="D17" s="1">
        <v>1.3279047909999999E-2</v>
      </c>
      <c r="E17" s="1">
        <v>1.1963670520000001E-2</v>
      </c>
      <c r="F17" s="2">
        <v>3655</v>
      </c>
      <c r="G17" s="2">
        <v>1171</v>
      </c>
      <c r="H17" s="2">
        <v>520</v>
      </c>
      <c r="I17" s="2">
        <v>0</v>
      </c>
      <c r="J17" s="2">
        <v>210</v>
      </c>
      <c r="K17" s="2">
        <v>0</v>
      </c>
      <c r="L17" s="4">
        <v>0</v>
      </c>
      <c r="M17" s="4">
        <v>54</v>
      </c>
      <c r="N17" s="4">
        <v>177</v>
      </c>
      <c r="Q17" s="4">
        <v>1758</v>
      </c>
      <c r="R17" s="4">
        <v>17565</v>
      </c>
      <c r="S17" s="4">
        <v>2028</v>
      </c>
      <c r="V17" s="4">
        <f t="shared" si="0"/>
        <v>0.23376623376623376</v>
      </c>
      <c r="W17" s="4">
        <f t="shared" si="1"/>
        <v>138</v>
      </c>
      <c r="X17" s="4">
        <v>0</v>
      </c>
      <c r="Y17" s="4">
        <v>0</v>
      </c>
      <c r="Z17" s="4">
        <v>0</v>
      </c>
      <c r="AC17" s="4">
        <v>3950</v>
      </c>
      <c r="AD17" s="4">
        <v>15359</v>
      </c>
      <c r="AE17" s="4">
        <v>3150</v>
      </c>
      <c r="AH17" s="4" t="str">
        <f t="shared" si="2"/>
        <v>N/A</v>
      </c>
      <c r="AI17" s="4" t="str">
        <f t="shared" si="3"/>
        <v>N/A</v>
      </c>
      <c r="AJ17" s="4">
        <v>30</v>
      </c>
      <c r="AK17" s="4">
        <v>0</v>
      </c>
      <c r="AL17" s="4">
        <v>24</v>
      </c>
      <c r="AM17" s="4">
        <v>177</v>
      </c>
      <c r="AN17" s="4">
        <f t="shared" si="4"/>
        <v>0.55555555555555558</v>
      </c>
      <c r="AO17" s="4">
        <f t="shared" si="5"/>
        <v>21</v>
      </c>
      <c r="AP17" s="4">
        <v>4993</v>
      </c>
      <c r="AQ17" s="4">
        <v>11113</v>
      </c>
      <c r="AR17" s="4">
        <v>3647</v>
      </c>
      <c r="AS17" s="4">
        <v>1598</v>
      </c>
      <c r="AT17" s="4">
        <v>0</v>
      </c>
      <c r="AU17" s="4">
        <v>0</v>
      </c>
      <c r="AV17" s="4">
        <v>0</v>
      </c>
      <c r="AW17" s="4">
        <v>0</v>
      </c>
      <c r="AX17" s="4" t="str">
        <f t="shared" si="6"/>
        <v>N/A</v>
      </c>
      <c r="AY17" s="4" t="str">
        <f t="shared" si="7"/>
        <v>N/A</v>
      </c>
      <c r="AZ17" s="4">
        <v>7564</v>
      </c>
      <c r="BA17" s="4">
        <v>5995</v>
      </c>
      <c r="BB17" s="4">
        <v>8900</v>
      </c>
      <c r="BC17" s="4">
        <v>0</v>
      </c>
      <c r="BD17" s="5">
        <v>13828.17647</v>
      </c>
      <c r="BE17" s="5">
        <v>4733.3333329999996</v>
      </c>
      <c r="BF17" s="5">
        <v>3916.6666660000001</v>
      </c>
      <c r="BG17" s="5">
        <f t="shared" si="8"/>
        <v>120</v>
      </c>
      <c r="BK17" s="5" t="str">
        <f t="shared" si="9"/>
        <v>N/A</v>
      </c>
      <c r="BL17" s="5">
        <v>8412.5576220000003</v>
      </c>
      <c r="BM17" s="5">
        <v>3408.355474</v>
      </c>
      <c r="BN17" s="5">
        <v>13506.998444000001</v>
      </c>
      <c r="BO17" s="5">
        <v>9994.471476499999</v>
      </c>
      <c r="BP17" s="5">
        <v>0</v>
      </c>
      <c r="BQ17" s="5">
        <v>0</v>
      </c>
      <c r="BR17" s="5">
        <v>13828.17647</v>
      </c>
      <c r="BS17" s="5">
        <v>5507.9059440000001</v>
      </c>
      <c r="BT17" s="5">
        <v>14591.45873</v>
      </c>
      <c r="BU17" s="5">
        <v>18827.834444</v>
      </c>
      <c r="BV17" s="5">
        <v>5500</v>
      </c>
      <c r="BW17" s="5">
        <v>18983.362186999999</v>
      </c>
      <c r="BX17" s="5">
        <v>17</v>
      </c>
      <c r="BY17" s="5">
        <v>1</v>
      </c>
      <c r="BZ17" s="5">
        <v>1</v>
      </c>
      <c r="CD17" s="143">
        <v>0.25609690732700874</v>
      </c>
      <c r="CE17" s="143">
        <v>0.13508327050921798</v>
      </c>
      <c r="CF17" s="143">
        <v>55483244.409999996</v>
      </c>
      <c r="CG17" s="144">
        <v>85.3</v>
      </c>
      <c r="CH17" s="144">
        <v>7.1</v>
      </c>
      <c r="CI17" s="144">
        <v>2.8</v>
      </c>
      <c r="CJ17" s="144">
        <v>77.599999999999994</v>
      </c>
      <c r="CK17" s="144">
        <v>13.6</v>
      </c>
      <c r="CL17" s="144">
        <v>3.7</v>
      </c>
      <c r="CM17" s="144">
        <v>95.2</v>
      </c>
      <c r="CN17" s="144">
        <v>94.8</v>
      </c>
    </row>
    <row r="18" spans="1:92" ht="15" x14ac:dyDescent="0.25">
      <c r="A18">
        <v>304</v>
      </c>
      <c r="B18" s="1">
        <v>7.4923076919999998E-2</v>
      </c>
      <c r="C18" s="1">
        <v>3.8384615380000001E-2</v>
      </c>
      <c r="D18" s="1">
        <v>4.1628060879999998E-2</v>
      </c>
      <c r="E18" s="1">
        <v>-1.489080079E-2</v>
      </c>
      <c r="F18" s="2">
        <v>6507</v>
      </c>
      <c r="G18" s="2">
        <v>1514</v>
      </c>
      <c r="H18" s="2">
        <v>460</v>
      </c>
      <c r="I18" s="2">
        <v>0</v>
      </c>
      <c r="J18" s="2">
        <v>2595</v>
      </c>
      <c r="K18" s="2">
        <v>0</v>
      </c>
      <c r="L18" s="4">
        <v>997</v>
      </c>
      <c r="M18" s="4">
        <v>716</v>
      </c>
      <c r="N18" s="4">
        <v>0</v>
      </c>
      <c r="O18" s="4">
        <v>0</v>
      </c>
      <c r="P18" s="4">
        <v>0</v>
      </c>
      <c r="Q18" s="4">
        <v>4754</v>
      </c>
      <c r="R18" s="4">
        <v>18252</v>
      </c>
      <c r="S18" s="4">
        <v>1915</v>
      </c>
      <c r="T18" s="4">
        <v>852</v>
      </c>
      <c r="U18" s="4">
        <v>0</v>
      </c>
      <c r="V18" s="4">
        <f t="shared" si="0"/>
        <v>1</v>
      </c>
      <c r="W18" s="4">
        <f t="shared" si="1"/>
        <v>1</v>
      </c>
      <c r="X18" s="4">
        <v>0</v>
      </c>
      <c r="Y18" s="4">
        <v>0</v>
      </c>
      <c r="Z18" s="4">
        <v>125</v>
      </c>
      <c r="AA18" s="4">
        <v>0</v>
      </c>
      <c r="AB18" s="4">
        <v>156</v>
      </c>
      <c r="AC18" s="4">
        <v>4426</v>
      </c>
      <c r="AD18" s="4">
        <v>7764</v>
      </c>
      <c r="AE18" s="4">
        <v>3448</v>
      </c>
      <c r="AF18" s="4">
        <v>1208</v>
      </c>
      <c r="AG18" s="4">
        <v>1745</v>
      </c>
      <c r="AH18" s="4">
        <f t="shared" si="2"/>
        <v>0</v>
      </c>
      <c r="AI18" s="4">
        <f t="shared" si="3"/>
        <v>90</v>
      </c>
      <c r="AJ18" s="4">
        <v>187</v>
      </c>
      <c r="AK18" s="4">
        <v>686</v>
      </c>
      <c r="AL18" s="4">
        <v>0</v>
      </c>
      <c r="AM18" s="4">
        <v>840</v>
      </c>
      <c r="AN18" s="4">
        <f t="shared" si="4"/>
        <v>0.21420389461626574</v>
      </c>
      <c r="AO18" s="4">
        <f t="shared" si="5"/>
        <v>58</v>
      </c>
      <c r="AP18" s="4">
        <v>12231</v>
      </c>
      <c r="AQ18" s="4">
        <v>9289</v>
      </c>
      <c r="AR18" s="4">
        <v>1738</v>
      </c>
      <c r="AS18" s="4">
        <v>2515</v>
      </c>
      <c r="AT18" s="4">
        <v>125</v>
      </c>
      <c r="AU18" s="4">
        <v>156</v>
      </c>
      <c r="AW18" s="4">
        <v>0</v>
      </c>
      <c r="AX18" s="4">
        <f t="shared" si="6"/>
        <v>0.44483985765124556</v>
      </c>
      <c r="AY18" s="4">
        <f t="shared" si="7"/>
        <v>54</v>
      </c>
      <c r="AZ18" s="4">
        <v>14775</v>
      </c>
      <c r="BA18" s="4">
        <v>3816</v>
      </c>
      <c r="BC18" s="4">
        <v>0</v>
      </c>
      <c r="BD18" s="5">
        <v>15914.684837999999</v>
      </c>
      <c r="BE18" s="5">
        <v>5293.8425370000004</v>
      </c>
      <c r="BG18" s="5">
        <f t="shared" si="8"/>
        <v>131</v>
      </c>
      <c r="BJ18" s="5">
        <v>23644.752849</v>
      </c>
      <c r="BK18" s="5" t="str">
        <f t="shared" si="9"/>
        <v>N/A</v>
      </c>
      <c r="BL18" s="5">
        <v>12311.858674499999</v>
      </c>
      <c r="BM18" s="5">
        <v>6737.2493850000001</v>
      </c>
      <c r="BN18" s="5">
        <v>17664.516129</v>
      </c>
      <c r="BO18" s="5">
        <v>3934.4262290000001</v>
      </c>
      <c r="BP18" s="5">
        <v>0</v>
      </c>
      <c r="BQ18" s="5">
        <v>17337.657500000001</v>
      </c>
      <c r="BR18" s="5">
        <v>13828.17647</v>
      </c>
      <c r="BS18" s="5">
        <v>5507.9059440000001</v>
      </c>
      <c r="BT18" s="5">
        <v>14591.45873</v>
      </c>
      <c r="BU18" s="5">
        <v>18827.834444</v>
      </c>
      <c r="BV18" s="5">
        <v>5500</v>
      </c>
      <c r="BW18" s="5">
        <v>18983.362186999999</v>
      </c>
      <c r="BX18" s="5">
        <v>19</v>
      </c>
      <c r="BY18" s="5">
        <v>36</v>
      </c>
      <c r="CC18" s="5">
        <v>2</v>
      </c>
      <c r="CD18" s="143">
        <v>0.29206522729343165</v>
      </c>
      <c r="CE18" s="143">
        <v>0.36763111815225558</v>
      </c>
      <c r="CF18" s="143">
        <v>158717223.17000002</v>
      </c>
      <c r="CG18" s="144">
        <v>80.400000000000006</v>
      </c>
      <c r="CH18" s="144">
        <v>9.5</v>
      </c>
      <c r="CI18" s="144">
        <v>3.1</v>
      </c>
      <c r="CJ18" s="144">
        <v>64.3</v>
      </c>
      <c r="CK18" s="144">
        <v>14.4</v>
      </c>
      <c r="CL18" s="144">
        <v>6.4</v>
      </c>
      <c r="CM18" s="144">
        <v>93.1</v>
      </c>
      <c r="CN18" s="144">
        <v>85.2</v>
      </c>
    </row>
    <row r="19" spans="1:92" ht="15" x14ac:dyDescent="0.25">
      <c r="A19">
        <v>305</v>
      </c>
      <c r="B19" s="1">
        <v>-8.6273900200000003E-3</v>
      </c>
      <c r="C19" s="1">
        <v>3.5364526599999998E-3</v>
      </c>
      <c r="D19" s="1">
        <v>4.7007763309999999E-2</v>
      </c>
      <c r="E19" s="1">
        <v>2.7813436019999999E-2</v>
      </c>
      <c r="F19" s="2">
        <v>3535</v>
      </c>
      <c r="G19" s="2">
        <v>1416</v>
      </c>
      <c r="H19" s="2">
        <v>660</v>
      </c>
      <c r="I19" s="2">
        <v>0</v>
      </c>
      <c r="J19" s="2">
        <v>1769</v>
      </c>
      <c r="K19" s="2">
        <v>0</v>
      </c>
      <c r="L19" s="4">
        <v>30</v>
      </c>
      <c r="M19" s="4">
        <v>395</v>
      </c>
      <c r="N19" s="4">
        <v>60</v>
      </c>
      <c r="O19" s="4">
        <v>0</v>
      </c>
      <c r="Q19" s="4">
        <v>4749</v>
      </c>
      <c r="R19" s="4">
        <v>13574</v>
      </c>
      <c r="S19" s="4">
        <v>5775</v>
      </c>
      <c r="T19" s="4">
        <v>420</v>
      </c>
      <c r="V19" s="4">
        <f t="shared" si="0"/>
        <v>0.87628865979381443</v>
      </c>
      <c r="W19" s="4">
        <f t="shared" si="1"/>
        <v>76</v>
      </c>
      <c r="X19" s="4">
        <v>0</v>
      </c>
      <c r="Y19" s="4">
        <v>0</v>
      </c>
      <c r="Z19" s="4">
        <v>0</v>
      </c>
      <c r="AA19" s="4">
        <v>0</v>
      </c>
      <c r="AC19" s="4">
        <v>8375</v>
      </c>
      <c r="AD19" s="4">
        <v>15722</v>
      </c>
      <c r="AE19" s="4">
        <v>0</v>
      </c>
      <c r="AF19" s="4">
        <v>0</v>
      </c>
      <c r="AH19" s="4" t="str">
        <f t="shared" si="2"/>
        <v>N/A</v>
      </c>
      <c r="AI19" s="4" t="str">
        <f t="shared" si="3"/>
        <v>N/A</v>
      </c>
      <c r="AJ19" s="4">
        <v>105</v>
      </c>
      <c r="AK19" s="4">
        <v>380</v>
      </c>
      <c r="AL19" s="4">
        <v>0</v>
      </c>
      <c r="AM19" s="4">
        <v>0</v>
      </c>
      <c r="AN19" s="4">
        <f t="shared" si="4"/>
        <v>0.21649484536082475</v>
      </c>
      <c r="AO19" s="4">
        <f t="shared" si="5"/>
        <v>57</v>
      </c>
      <c r="AP19" s="4">
        <v>8287</v>
      </c>
      <c r="AQ19" s="4">
        <v>12661</v>
      </c>
      <c r="AR19" s="4">
        <v>1294</v>
      </c>
      <c r="AS19" s="4">
        <v>2276</v>
      </c>
      <c r="AT19" s="4">
        <v>0</v>
      </c>
      <c r="AU19" s="4">
        <v>0</v>
      </c>
      <c r="AV19" s="4">
        <v>0</v>
      </c>
      <c r="AW19" s="4">
        <v>0</v>
      </c>
      <c r="AX19" s="4" t="str">
        <f t="shared" si="6"/>
        <v>N/A</v>
      </c>
      <c r="AY19" s="4" t="str">
        <f t="shared" si="7"/>
        <v>N/A</v>
      </c>
      <c r="AZ19" s="4">
        <v>12657</v>
      </c>
      <c r="BA19" s="4">
        <v>8210</v>
      </c>
      <c r="BB19" s="4">
        <v>3230</v>
      </c>
      <c r="BC19" s="4">
        <v>0</v>
      </c>
      <c r="BD19" s="5">
        <v>7107.6361900000002</v>
      </c>
      <c r="BE19" s="5">
        <v>4980.1104969999997</v>
      </c>
      <c r="BG19" s="5">
        <f t="shared" si="8"/>
        <v>41</v>
      </c>
      <c r="BK19" s="5" t="str">
        <f t="shared" si="9"/>
        <v>N/A</v>
      </c>
      <c r="BL19" s="5">
        <v>9291.8596529999995</v>
      </c>
      <c r="BM19" s="5">
        <v>3928.5714280000002</v>
      </c>
      <c r="BN19" s="5">
        <v>21743.232726999999</v>
      </c>
      <c r="BO19" s="5">
        <v>16498.609211999999</v>
      </c>
      <c r="BP19" s="5">
        <v>0</v>
      </c>
      <c r="BQ19" s="5">
        <v>0</v>
      </c>
      <c r="BR19" s="5">
        <v>13828.17647</v>
      </c>
      <c r="BS19" s="5">
        <v>5507.9059440000001</v>
      </c>
      <c r="BT19" s="5">
        <v>14591.45873</v>
      </c>
      <c r="BU19" s="5">
        <v>18827.834444</v>
      </c>
      <c r="BV19" s="5">
        <v>5500</v>
      </c>
      <c r="BW19" s="5">
        <v>18983.362186999999</v>
      </c>
      <c r="BX19" s="5">
        <v>11</v>
      </c>
      <c r="BY19" s="5">
        <v>32</v>
      </c>
      <c r="CD19" s="143">
        <v>0.18877023768515322</v>
      </c>
      <c r="CE19" s="143">
        <v>1.2447415432490061E-2</v>
      </c>
      <c r="CF19" s="143">
        <v>70877377.109999999</v>
      </c>
      <c r="CG19" s="144">
        <v>82.8</v>
      </c>
      <c r="CH19" s="144">
        <v>8.1999999999999993</v>
      </c>
      <c r="CI19" s="144">
        <v>3.1</v>
      </c>
      <c r="CJ19" s="144">
        <v>73.3</v>
      </c>
      <c r="CK19" s="144">
        <v>12.8</v>
      </c>
      <c r="CL19" s="144">
        <v>5.0999999999999996</v>
      </c>
      <c r="CM19" s="144">
        <v>94.1</v>
      </c>
      <c r="CN19" s="144">
        <v>91.2</v>
      </c>
    </row>
    <row r="20" spans="1:92" ht="15" x14ac:dyDescent="0.25">
      <c r="A20">
        <v>306</v>
      </c>
      <c r="B20" s="1">
        <v>0.1189163498</v>
      </c>
      <c r="C20" s="1">
        <v>1.8852978449999998E-2</v>
      </c>
      <c r="D20" s="1">
        <v>0.11039109989</v>
      </c>
      <c r="E20" s="1">
        <v>-3.4407615000000001E-4</v>
      </c>
      <c r="F20" s="2">
        <v>7475</v>
      </c>
      <c r="G20" s="2">
        <v>4622</v>
      </c>
      <c r="H20" s="2">
        <v>20</v>
      </c>
      <c r="I20" s="2">
        <v>0</v>
      </c>
      <c r="J20" s="2">
        <v>3990</v>
      </c>
      <c r="K20" s="2">
        <v>1481</v>
      </c>
      <c r="L20" s="4">
        <v>522</v>
      </c>
      <c r="M20" s="4">
        <v>668</v>
      </c>
      <c r="N20" s="4">
        <v>180</v>
      </c>
      <c r="O20" s="4">
        <v>72</v>
      </c>
      <c r="Q20" s="4">
        <v>7164</v>
      </c>
      <c r="R20" s="4">
        <v>19230</v>
      </c>
      <c r="S20" s="4">
        <v>3303</v>
      </c>
      <c r="T20" s="4">
        <v>651</v>
      </c>
      <c r="V20" s="4">
        <f t="shared" si="0"/>
        <v>0.82524271844660191</v>
      </c>
      <c r="W20" s="4">
        <f t="shared" si="1"/>
        <v>86</v>
      </c>
      <c r="X20" s="4">
        <v>1098</v>
      </c>
      <c r="Y20" s="4">
        <v>122</v>
      </c>
      <c r="Z20" s="4">
        <v>55</v>
      </c>
      <c r="AA20" s="4">
        <v>0</v>
      </c>
      <c r="AC20" s="4">
        <v>7024</v>
      </c>
      <c r="AD20" s="4">
        <v>10858</v>
      </c>
      <c r="AE20" s="4">
        <v>5610</v>
      </c>
      <c r="AF20" s="4">
        <v>0</v>
      </c>
      <c r="AH20" s="4">
        <f t="shared" si="2"/>
        <v>0.95686274509803926</v>
      </c>
      <c r="AI20" s="4">
        <f t="shared" si="3"/>
        <v>63</v>
      </c>
      <c r="AJ20" s="4">
        <v>157</v>
      </c>
      <c r="AK20" s="4">
        <v>998</v>
      </c>
      <c r="AL20" s="4">
        <v>80</v>
      </c>
      <c r="AM20" s="4">
        <v>207</v>
      </c>
      <c r="AN20" s="4">
        <f t="shared" si="4"/>
        <v>0.12712550607287448</v>
      </c>
      <c r="AO20" s="4">
        <f t="shared" si="5"/>
        <v>75</v>
      </c>
      <c r="AP20" s="4">
        <v>7126</v>
      </c>
      <c r="AQ20" s="4">
        <v>14130</v>
      </c>
      <c r="AR20" s="4">
        <v>5331</v>
      </c>
      <c r="AS20" s="4">
        <v>3761</v>
      </c>
      <c r="AT20" s="4">
        <v>165</v>
      </c>
      <c r="AU20" s="4">
        <v>1110</v>
      </c>
      <c r="AV20" s="4">
        <v>0</v>
      </c>
      <c r="AW20" s="4">
        <v>0</v>
      </c>
      <c r="AX20" s="4">
        <f t="shared" si="6"/>
        <v>0.12941176470588237</v>
      </c>
      <c r="AY20" s="4">
        <f t="shared" si="7"/>
        <v>68</v>
      </c>
      <c r="AZ20" s="4">
        <v>11927</v>
      </c>
      <c r="BA20" s="4">
        <v>10585</v>
      </c>
      <c r="BB20" s="4">
        <v>980</v>
      </c>
      <c r="BC20" s="4">
        <v>0</v>
      </c>
      <c r="BD20" s="5">
        <v>18266.821328999999</v>
      </c>
      <c r="BE20" s="5">
        <v>5574.2184070000003</v>
      </c>
      <c r="BF20" s="5">
        <v>12615.362961999999</v>
      </c>
      <c r="BG20" s="5">
        <f t="shared" si="8"/>
        <v>138</v>
      </c>
      <c r="BJ20" s="5">
        <v>6960.4522219999999</v>
      </c>
      <c r="BK20" s="5" t="str">
        <f t="shared" si="9"/>
        <v>N/A</v>
      </c>
      <c r="BL20" s="5">
        <v>13720.0256135</v>
      </c>
      <c r="BM20" s="5">
        <v>6739.5833329999996</v>
      </c>
      <c r="BN20" s="5">
        <v>16394.0001275</v>
      </c>
      <c r="BO20" s="5">
        <v>15038.108333</v>
      </c>
      <c r="BP20" s="5">
        <v>0</v>
      </c>
      <c r="BQ20" s="5">
        <v>20460.701587</v>
      </c>
      <c r="BR20" s="5">
        <v>13828.17647</v>
      </c>
      <c r="BS20" s="5">
        <v>5507.9059440000001</v>
      </c>
      <c r="BT20" s="5">
        <v>14591.45873</v>
      </c>
      <c r="BU20" s="5">
        <v>18827.834444</v>
      </c>
      <c r="BV20" s="5">
        <v>5500</v>
      </c>
      <c r="BW20" s="5">
        <v>18983.362186999999</v>
      </c>
      <c r="BX20" s="5">
        <v>20</v>
      </c>
      <c r="BY20" s="5">
        <v>64</v>
      </c>
      <c r="BZ20" s="5">
        <v>5</v>
      </c>
      <c r="CC20" s="5">
        <v>1</v>
      </c>
      <c r="CD20" s="143">
        <v>0.32026408970197706</v>
      </c>
      <c r="CE20" s="143">
        <v>0.3274226503210742</v>
      </c>
      <c r="CF20" s="143">
        <v>202942529.62</v>
      </c>
      <c r="CG20" s="144">
        <v>82.2</v>
      </c>
      <c r="CH20" s="144">
        <v>8.4</v>
      </c>
      <c r="CI20" s="144">
        <v>3.6</v>
      </c>
      <c r="CJ20" s="144">
        <v>66.3</v>
      </c>
      <c r="CK20" s="144">
        <v>15.6</v>
      </c>
      <c r="CL20" s="144">
        <v>6.6</v>
      </c>
      <c r="CM20" s="144">
        <v>94.2</v>
      </c>
      <c r="CN20" s="144">
        <v>88.6</v>
      </c>
    </row>
    <row r="21" spans="1:92" ht="15" x14ac:dyDescent="0.25">
      <c r="A21">
        <v>307</v>
      </c>
      <c r="B21" s="1">
        <v>3.9241488669999998E-2</v>
      </c>
      <c r="C21" s="1">
        <v>6.7483213500000002E-3</v>
      </c>
      <c r="D21" s="1">
        <v>2.4310954060000001E-2</v>
      </c>
      <c r="E21" s="1">
        <v>6.7137809099999998E-3</v>
      </c>
      <c r="F21" s="2">
        <v>5784</v>
      </c>
      <c r="G21" s="2">
        <v>3349</v>
      </c>
      <c r="H21" s="2">
        <v>650</v>
      </c>
      <c r="I21" s="2">
        <v>340</v>
      </c>
      <c r="J21" s="2">
        <v>1075</v>
      </c>
      <c r="K21" s="2">
        <v>640</v>
      </c>
      <c r="L21" s="4">
        <v>120</v>
      </c>
      <c r="M21" s="4">
        <v>828</v>
      </c>
      <c r="N21" s="4">
        <v>38</v>
      </c>
      <c r="O21" s="4">
        <v>0</v>
      </c>
      <c r="Q21" s="4">
        <v>4848</v>
      </c>
      <c r="R21" s="4">
        <v>23285</v>
      </c>
      <c r="S21" s="4">
        <v>1999</v>
      </c>
      <c r="T21" s="4">
        <v>410</v>
      </c>
      <c r="V21" s="4">
        <f t="shared" si="0"/>
        <v>0.96146044624746452</v>
      </c>
      <c r="W21" s="4">
        <f t="shared" si="1"/>
        <v>57</v>
      </c>
      <c r="X21" s="4">
        <v>0</v>
      </c>
      <c r="Y21" s="4">
        <v>70</v>
      </c>
      <c r="Z21" s="4">
        <v>0</v>
      </c>
      <c r="AA21" s="4">
        <v>0</v>
      </c>
      <c r="AC21" s="4">
        <v>6445</v>
      </c>
      <c r="AD21" s="4">
        <v>12457</v>
      </c>
      <c r="AE21" s="4">
        <v>0</v>
      </c>
      <c r="AF21" s="4">
        <v>0</v>
      </c>
      <c r="AH21" s="4">
        <f t="shared" si="2"/>
        <v>1</v>
      </c>
      <c r="AI21" s="4">
        <f t="shared" si="3"/>
        <v>1</v>
      </c>
      <c r="AJ21" s="4">
        <v>368</v>
      </c>
      <c r="AK21" s="4">
        <v>472</v>
      </c>
      <c r="AL21" s="4">
        <v>146</v>
      </c>
      <c r="AM21" s="4">
        <v>0</v>
      </c>
      <c r="AN21" s="4">
        <f t="shared" si="4"/>
        <v>0.37322515212981744</v>
      </c>
      <c r="AO21" s="4">
        <f t="shared" si="5"/>
        <v>38</v>
      </c>
      <c r="AP21" s="4">
        <v>11080</v>
      </c>
      <c r="AQ21" s="4">
        <v>14363</v>
      </c>
      <c r="AR21" s="4">
        <v>2808</v>
      </c>
      <c r="AS21" s="4">
        <v>2291</v>
      </c>
      <c r="AT21" s="4">
        <v>70</v>
      </c>
      <c r="AU21" s="4">
        <v>0</v>
      </c>
      <c r="AW21" s="4">
        <v>0</v>
      </c>
      <c r="AX21" s="4">
        <f t="shared" si="6"/>
        <v>1</v>
      </c>
      <c r="AY21" s="4">
        <f t="shared" si="7"/>
        <v>1</v>
      </c>
      <c r="AZ21" s="4">
        <v>14986</v>
      </c>
      <c r="BA21" s="4">
        <v>3916</v>
      </c>
      <c r="BC21" s="4">
        <v>0</v>
      </c>
      <c r="BD21" s="5">
        <v>16007.469859999999</v>
      </c>
      <c r="BE21" s="5">
        <v>6737.2493850000001</v>
      </c>
      <c r="BF21" s="5">
        <v>17664.516129</v>
      </c>
      <c r="BG21" s="5">
        <f t="shared" si="8"/>
        <v>132</v>
      </c>
      <c r="BK21" s="5" t="str">
        <f t="shared" si="9"/>
        <v>N/A</v>
      </c>
      <c r="BL21" s="5">
        <v>12112.2948865</v>
      </c>
      <c r="BM21" s="5">
        <v>5105.2546015000007</v>
      </c>
      <c r="BN21" s="5">
        <v>14079.062698</v>
      </c>
      <c r="BO21" s="5">
        <v>21512.786824499999</v>
      </c>
      <c r="BP21" s="5">
        <v>1000</v>
      </c>
      <c r="BQ21" s="5">
        <v>23644.752849</v>
      </c>
      <c r="BR21" s="5">
        <v>13828.17647</v>
      </c>
      <c r="BS21" s="5">
        <v>5507.9059440000001</v>
      </c>
      <c r="BT21" s="5">
        <v>14591.45873</v>
      </c>
      <c r="BU21" s="5">
        <v>18827.834444</v>
      </c>
      <c r="BV21" s="5">
        <v>5500</v>
      </c>
      <c r="BW21" s="5">
        <v>18983.362186999999</v>
      </c>
      <c r="BX21" s="5">
        <v>27</v>
      </c>
      <c r="BY21" s="5">
        <v>16</v>
      </c>
      <c r="BZ21" s="5">
        <v>3</v>
      </c>
      <c r="CD21" s="143">
        <v>0.30108673364773431</v>
      </c>
      <c r="CE21" s="143">
        <v>0.16298485408200958</v>
      </c>
      <c r="CF21" s="143">
        <v>123341863.08</v>
      </c>
      <c r="CG21" s="144">
        <v>82.9</v>
      </c>
      <c r="CH21" s="144">
        <v>8.3000000000000007</v>
      </c>
      <c r="CI21" s="144">
        <v>3.1</v>
      </c>
      <c r="CJ21" s="144">
        <v>66</v>
      </c>
      <c r="CK21" s="144">
        <v>13.2</v>
      </c>
      <c r="CL21" s="144">
        <v>6.3</v>
      </c>
      <c r="CM21" s="144">
        <v>94.3</v>
      </c>
      <c r="CN21" s="144">
        <v>85.5</v>
      </c>
    </row>
    <row r="22" spans="1:92" ht="15" x14ac:dyDescent="0.25">
      <c r="A22">
        <v>308</v>
      </c>
      <c r="B22" s="1">
        <v>-1.1550678599999999E-2</v>
      </c>
      <c r="C22" s="1">
        <v>1.562550133E-2</v>
      </c>
      <c r="D22" s="1">
        <v>3.8695163099999999E-2</v>
      </c>
      <c r="E22" s="1">
        <v>3.8976377950000002E-2</v>
      </c>
      <c r="F22" s="2">
        <v>7198</v>
      </c>
      <c r="G22" s="2">
        <v>2692</v>
      </c>
      <c r="H22" s="2">
        <v>420</v>
      </c>
      <c r="I22" s="2">
        <v>80</v>
      </c>
      <c r="J22" s="2">
        <v>1874</v>
      </c>
      <c r="K22" s="2">
        <v>0</v>
      </c>
      <c r="L22" s="4">
        <v>50</v>
      </c>
      <c r="M22" s="4">
        <v>629</v>
      </c>
      <c r="N22" s="4">
        <v>30</v>
      </c>
      <c r="Q22" s="4">
        <v>5420</v>
      </c>
      <c r="R22" s="4">
        <v>21789</v>
      </c>
      <c r="S22" s="4">
        <v>4380</v>
      </c>
      <c r="V22" s="4">
        <f t="shared" si="0"/>
        <v>0.9576868829337094</v>
      </c>
      <c r="W22" s="4">
        <f t="shared" si="1"/>
        <v>58</v>
      </c>
      <c r="X22" s="4">
        <v>0</v>
      </c>
      <c r="Y22" s="4">
        <v>0</v>
      </c>
      <c r="Z22" s="4">
        <v>0</v>
      </c>
      <c r="AC22" s="4">
        <v>5598</v>
      </c>
      <c r="AD22" s="4">
        <v>15609</v>
      </c>
      <c r="AE22" s="4">
        <v>2344</v>
      </c>
      <c r="AH22" s="4" t="str">
        <f t="shared" si="2"/>
        <v>N/A</v>
      </c>
      <c r="AI22" s="4" t="str">
        <f t="shared" si="3"/>
        <v>N/A</v>
      </c>
      <c r="AJ22" s="4">
        <v>359</v>
      </c>
      <c r="AK22" s="4">
        <v>320</v>
      </c>
      <c r="AL22" s="4">
        <v>0</v>
      </c>
      <c r="AM22" s="4">
        <v>30</v>
      </c>
      <c r="AN22" s="4">
        <f t="shared" si="4"/>
        <v>0.52871870397643594</v>
      </c>
      <c r="AO22" s="4">
        <f t="shared" si="5"/>
        <v>22</v>
      </c>
      <c r="AP22" s="4">
        <v>11180</v>
      </c>
      <c r="AQ22" s="4">
        <v>13209</v>
      </c>
      <c r="AR22" s="4">
        <v>4260</v>
      </c>
      <c r="AS22" s="4">
        <v>2940</v>
      </c>
      <c r="AT22" s="4">
        <v>0</v>
      </c>
      <c r="AU22" s="4">
        <v>0</v>
      </c>
      <c r="AV22" s="4">
        <v>0</v>
      </c>
      <c r="AW22" s="4">
        <v>0</v>
      </c>
      <c r="AX22" s="4" t="str">
        <f t="shared" si="6"/>
        <v>N/A</v>
      </c>
      <c r="AY22" s="4" t="str">
        <f t="shared" si="7"/>
        <v>N/A</v>
      </c>
      <c r="AZ22" s="4">
        <v>10933</v>
      </c>
      <c r="BA22" s="4">
        <v>10366</v>
      </c>
      <c r="BB22" s="4">
        <v>2252</v>
      </c>
      <c r="BC22" s="4">
        <v>0</v>
      </c>
      <c r="BD22" s="5">
        <v>23182.758044999999</v>
      </c>
      <c r="BE22" s="5">
        <v>23313.043478</v>
      </c>
      <c r="BF22" s="5">
        <v>13566.666665999999</v>
      </c>
      <c r="BG22" s="5">
        <f t="shared" si="8"/>
        <v>141</v>
      </c>
      <c r="BJ22" s="5">
        <v>28552.272727</v>
      </c>
      <c r="BK22" s="5" t="str">
        <f t="shared" si="9"/>
        <v>N/A</v>
      </c>
      <c r="BL22" s="5">
        <v>9275.6459460000005</v>
      </c>
      <c r="BM22" s="5">
        <v>5574.2184070000003</v>
      </c>
      <c r="BN22" s="5">
        <v>16702.218252999999</v>
      </c>
      <c r="BO22" s="5">
        <v>8677.536666</v>
      </c>
      <c r="BP22" s="5">
        <v>0</v>
      </c>
      <c r="BQ22" s="5">
        <v>15131.578947</v>
      </c>
      <c r="BR22" s="5">
        <v>13828.17647</v>
      </c>
      <c r="BS22" s="5">
        <v>5507.9059440000001</v>
      </c>
      <c r="BT22" s="5">
        <v>14591.45873</v>
      </c>
      <c r="BU22" s="5">
        <v>18827.834444</v>
      </c>
      <c r="BV22" s="5">
        <v>5500</v>
      </c>
      <c r="BW22" s="5">
        <v>18983.362186999999</v>
      </c>
      <c r="BX22" s="5">
        <v>12</v>
      </c>
      <c r="BY22" s="5">
        <v>15</v>
      </c>
      <c r="BZ22" s="5">
        <v>1</v>
      </c>
      <c r="CC22" s="5">
        <v>1</v>
      </c>
      <c r="CD22" s="143">
        <v>0.26466369744092999</v>
      </c>
      <c r="CE22" s="143">
        <v>9.1566690190543421E-2</v>
      </c>
      <c r="CF22" s="143">
        <v>110696806.63999999</v>
      </c>
      <c r="CG22" s="144">
        <v>85.4</v>
      </c>
      <c r="CH22" s="144">
        <v>6.9</v>
      </c>
      <c r="CI22" s="144">
        <v>2.5</v>
      </c>
      <c r="CJ22" s="144">
        <v>74.5</v>
      </c>
      <c r="CK22" s="144">
        <v>12.7</v>
      </c>
      <c r="CL22" s="144">
        <v>4.5999999999999996</v>
      </c>
      <c r="CM22" s="144">
        <v>94.8</v>
      </c>
      <c r="CN22" s="144">
        <v>91.7</v>
      </c>
    </row>
    <row r="23" spans="1:92" ht="15" x14ac:dyDescent="0.25">
      <c r="A23">
        <v>309</v>
      </c>
      <c r="B23" s="1">
        <v>2.993394856E-2</v>
      </c>
      <c r="C23" s="1">
        <v>1.0914882650000001E-2</v>
      </c>
      <c r="D23" s="1">
        <v>2.7215821000000002E-4</v>
      </c>
      <c r="E23" s="1">
        <v>-1.088632858E-2</v>
      </c>
      <c r="F23" s="2">
        <v>2416</v>
      </c>
      <c r="G23" s="2">
        <v>494</v>
      </c>
      <c r="H23" s="2">
        <v>60</v>
      </c>
      <c r="I23" s="2">
        <v>0</v>
      </c>
      <c r="J23" s="2">
        <v>450</v>
      </c>
      <c r="K23" s="2">
        <v>0</v>
      </c>
      <c r="L23" s="4">
        <v>30</v>
      </c>
      <c r="M23" s="4">
        <v>30</v>
      </c>
      <c r="N23" s="4">
        <v>0</v>
      </c>
      <c r="Q23" s="4">
        <v>4020</v>
      </c>
      <c r="R23" s="4">
        <v>15230</v>
      </c>
      <c r="S23" s="4">
        <v>2940</v>
      </c>
      <c r="V23" s="4">
        <f t="shared" si="0"/>
        <v>1</v>
      </c>
      <c r="W23" s="4">
        <f t="shared" si="1"/>
        <v>1</v>
      </c>
      <c r="X23" s="4">
        <v>0</v>
      </c>
      <c r="Y23" s="4">
        <v>0</v>
      </c>
      <c r="Z23" s="4">
        <v>0</v>
      </c>
      <c r="AC23" s="4">
        <v>6200</v>
      </c>
      <c r="AD23" s="4">
        <v>7242</v>
      </c>
      <c r="AE23" s="4">
        <v>0</v>
      </c>
      <c r="AH23" s="4" t="str">
        <f t="shared" si="2"/>
        <v>N/A</v>
      </c>
      <c r="AI23" s="4" t="str">
        <f t="shared" si="3"/>
        <v>N/A</v>
      </c>
      <c r="AJ23" s="4">
        <v>0</v>
      </c>
      <c r="AK23" s="4">
        <v>30</v>
      </c>
      <c r="AL23" s="4">
        <v>30</v>
      </c>
      <c r="AM23" s="4">
        <v>0</v>
      </c>
      <c r="AN23" s="4">
        <f t="shared" si="4"/>
        <v>0</v>
      </c>
      <c r="AO23" s="4">
        <f t="shared" si="5"/>
        <v>100</v>
      </c>
      <c r="AP23" s="4">
        <v>10185</v>
      </c>
      <c r="AQ23" s="4">
        <v>8207</v>
      </c>
      <c r="AR23" s="4">
        <v>1950</v>
      </c>
      <c r="AS23" s="4">
        <v>1848</v>
      </c>
      <c r="AT23" s="4">
        <v>0</v>
      </c>
      <c r="AU23" s="4">
        <v>0</v>
      </c>
      <c r="AW23" s="4">
        <v>0</v>
      </c>
      <c r="AX23" s="4" t="str">
        <f t="shared" si="6"/>
        <v>N/A</v>
      </c>
      <c r="AY23" s="4" t="str">
        <f t="shared" si="7"/>
        <v>N/A</v>
      </c>
      <c r="AZ23" s="4">
        <v>8847</v>
      </c>
      <c r="BA23" s="4">
        <v>4595</v>
      </c>
      <c r="BC23" s="4">
        <v>0</v>
      </c>
      <c r="BD23" s="5">
        <v>3484.6153840000002</v>
      </c>
      <c r="BF23" s="5">
        <v>26806.349205999999</v>
      </c>
      <c r="BG23" s="5">
        <f t="shared" si="8"/>
        <v>5</v>
      </c>
      <c r="BK23" s="5" t="str">
        <f t="shared" si="9"/>
        <v>N/A</v>
      </c>
      <c r="BL23" s="5">
        <v>15670.408363999999</v>
      </c>
      <c r="BM23" s="5">
        <v>7056.1553024999994</v>
      </c>
      <c r="BN23" s="5">
        <v>14399.348473</v>
      </c>
      <c r="BO23" s="5">
        <v>33032.673332999999</v>
      </c>
      <c r="BP23" s="5">
        <v>10000</v>
      </c>
      <c r="BQ23" s="5">
        <v>16860.978180999999</v>
      </c>
      <c r="BR23" s="5">
        <v>13828.17647</v>
      </c>
      <c r="BS23" s="5">
        <v>5507.9059440000001</v>
      </c>
      <c r="BT23" s="5">
        <v>14591.45873</v>
      </c>
      <c r="BU23" s="5">
        <v>18827.834444</v>
      </c>
      <c r="BV23" s="5">
        <v>5500</v>
      </c>
      <c r="BW23" s="5">
        <v>18983.362186999999</v>
      </c>
      <c r="BX23" s="5">
        <v>13</v>
      </c>
      <c r="BZ23" s="5">
        <v>3</v>
      </c>
      <c r="CD23" s="143">
        <v>0.14312675337923997</v>
      </c>
      <c r="CE23" s="143">
        <v>0.14743589743589736</v>
      </c>
      <c r="CF23" s="143">
        <v>40732244.229999997</v>
      </c>
      <c r="CG23" s="144">
        <v>84.3</v>
      </c>
      <c r="CH23" s="144">
        <v>6.9</v>
      </c>
      <c r="CI23" s="144">
        <v>2.5</v>
      </c>
      <c r="CJ23" s="144">
        <v>68.400000000000006</v>
      </c>
      <c r="CK23" s="144">
        <v>13.4</v>
      </c>
      <c r="CL23" s="144">
        <v>6.1</v>
      </c>
      <c r="CM23" s="144">
        <v>93.7</v>
      </c>
      <c r="CN23" s="144">
        <v>87.9</v>
      </c>
    </row>
    <row r="24" spans="1:92" ht="15" x14ac:dyDescent="0.25">
      <c r="A24">
        <v>310</v>
      </c>
      <c r="B24" s="1">
        <v>-5.1185210899999996E-3</v>
      </c>
      <c r="C24" s="1">
        <v>1.908264175E-2</v>
      </c>
      <c r="D24" s="1">
        <v>-2.4624453309999999E-2</v>
      </c>
      <c r="E24" s="1">
        <v>1.9870697850000001E-2</v>
      </c>
      <c r="F24" s="2">
        <v>1443</v>
      </c>
      <c r="G24" s="2">
        <v>3555</v>
      </c>
      <c r="H24" s="2">
        <v>130</v>
      </c>
      <c r="I24" s="2">
        <v>0</v>
      </c>
      <c r="J24" s="2">
        <v>6045</v>
      </c>
      <c r="K24" s="2">
        <v>1050</v>
      </c>
      <c r="L24" s="4">
        <v>284</v>
      </c>
      <c r="M24" s="4">
        <v>485</v>
      </c>
      <c r="N24" s="4">
        <v>0</v>
      </c>
      <c r="P24" s="4">
        <v>0</v>
      </c>
      <c r="Q24" s="4">
        <v>8051</v>
      </c>
      <c r="R24" s="4">
        <v>8418</v>
      </c>
      <c r="S24" s="4">
        <v>1024</v>
      </c>
      <c r="U24" s="4">
        <v>1321</v>
      </c>
      <c r="V24" s="4">
        <f t="shared" si="0"/>
        <v>1</v>
      </c>
      <c r="W24" s="4">
        <f t="shared" si="1"/>
        <v>1</v>
      </c>
      <c r="X24" s="4">
        <v>33</v>
      </c>
      <c r="Y24" s="4">
        <v>0</v>
      </c>
      <c r="Z24" s="4">
        <v>0</v>
      </c>
      <c r="AB24" s="4">
        <v>0</v>
      </c>
      <c r="AC24" s="4">
        <v>9618</v>
      </c>
      <c r="AD24" s="4">
        <v>2950</v>
      </c>
      <c r="AE24" s="4">
        <v>687</v>
      </c>
      <c r="AG24" s="4">
        <v>0</v>
      </c>
      <c r="AH24" s="4">
        <f t="shared" si="2"/>
        <v>1</v>
      </c>
      <c r="AI24" s="4">
        <f t="shared" si="3"/>
        <v>1</v>
      </c>
      <c r="AJ24" s="4">
        <v>290</v>
      </c>
      <c r="AK24" s="4">
        <v>383</v>
      </c>
      <c r="AL24" s="4">
        <v>66</v>
      </c>
      <c r="AM24" s="4">
        <v>30</v>
      </c>
      <c r="AN24" s="4">
        <f t="shared" si="4"/>
        <v>0.39242219215155616</v>
      </c>
      <c r="AO24" s="4">
        <f t="shared" si="5"/>
        <v>34</v>
      </c>
      <c r="AP24" s="4">
        <v>7464</v>
      </c>
      <c r="AQ24" s="4">
        <v>7239</v>
      </c>
      <c r="AR24" s="4">
        <v>2289</v>
      </c>
      <c r="AS24" s="4">
        <v>1822</v>
      </c>
      <c r="AT24" s="4">
        <v>33</v>
      </c>
      <c r="AU24" s="4">
        <v>0</v>
      </c>
      <c r="AV24" s="4">
        <v>0</v>
      </c>
      <c r="AW24" s="4">
        <v>0</v>
      </c>
      <c r="AX24" s="4">
        <f t="shared" si="6"/>
        <v>1</v>
      </c>
      <c r="AY24" s="4">
        <f t="shared" si="7"/>
        <v>1</v>
      </c>
      <c r="AZ24" s="4">
        <v>9668</v>
      </c>
      <c r="BA24" s="4">
        <v>2900</v>
      </c>
      <c r="BB24" s="4">
        <v>687</v>
      </c>
      <c r="BC24" s="4">
        <v>0</v>
      </c>
      <c r="BD24" s="5">
        <v>8101.4492749999999</v>
      </c>
      <c r="BE24" s="5">
        <v>851.85185100000001</v>
      </c>
      <c r="BG24" s="5">
        <f t="shared" si="8"/>
        <v>56</v>
      </c>
      <c r="BK24" s="5" t="str">
        <f t="shared" si="9"/>
        <v>N/A</v>
      </c>
      <c r="BL24" s="5">
        <v>14474.895856499999</v>
      </c>
      <c r="BM24" s="5">
        <v>5428.0020375000004</v>
      </c>
      <c r="BN24" s="5">
        <v>16127.987429500001</v>
      </c>
      <c r="BO24" s="5">
        <v>21512.786824499999</v>
      </c>
      <c r="BP24" s="5">
        <v>1000</v>
      </c>
      <c r="BQ24" s="5">
        <v>22136.9098615</v>
      </c>
      <c r="BR24" s="5">
        <v>13828.17647</v>
      </c>
      <c r="BS24" s="5">
        <v>5507.9059440000001</v>
      </c>
      <c r="BT24" s="5">
        <v>14591.45873</v>
      </c>
      <c r="BU24" s="5">
        <v>18827.834444</v>
      </c>
      <c r="BV24" s="5">
        <v>5500</v>
      </c>
      <c r="BW24" s="5">
        <v>18983.362186999999</v>
      </c>
      <c r="BX24" s="5">
        <v>4</v>
      </c>
      <c r="BY24" s="5">
        <v>45</v>
      </c>
      <c r="CD24" s="143">
        <v>0.37116020793950844</v>
      </c>
      <c r="CE24" s="143">
        <v>8.2748815165876843E-2</v>
      </c>
      <c r="CF24" s="143">
        <v>102397970.85000001</v>
      </c>
      <c r="CG24" s="144">
        <v>80.2</v>
      </c>
      <c r="CH24" s="144">
        <v>9.8000000000000007</v>
      </c>
      <c r="CI24" s="144">
        <v>3.3</v>
      </c>
      <c r="CJ24" s="144">
        <v>67.599999999999994</v>
      </c>
      <c r="CK24" s="144">
        <v>14.6</v>
      </c>
      <c r="CL24" s="144">
        <v>6.6</v>
      </c>
      <c r="CM24" s="144">
        <v>93.3</v>
      </c>
      <c r="CN24" s="144">
        <v>88.8</v>
      </c>
    </row>
    <row r="25" spans="1:92" ht="15" x14ac:dyDescent="0.25">
      <c r="A25">
        <v>311</v>
      </c>
      <c r="B25" s="1">
        <v>2.9348463999999999E-4</v>
      </c>
      <c r="C25" s="1">
        <v>7.2392878099999999E-3</v>
      </c>
      <c r="D25" s="1">
        <v>-1.4275082870000001E-2</v>
      </c>
      <c r="E25" s="1">
        <v>1.7793112770000001E-2</v>
      </c>
      <c r="F25" s="2">
        <v>2583</v>
      </c>
      <c r="G25" s="2">
        <v>1960</v>
      </c>
      <c r="H25" s="2">
        <v>280</v>
      </c>
      <c r="I25" s="2">
        <v>150</v>
      </c>
      <c r="J25" s="2">
        <v>3451</v>
      </c>
      <c r="K25" s="2">
        <v>960</v>
      </c>
      <c r="L25" s="4">
        <v>165</v>
      </c>
      <c r="M25" s="4">
        <v>604</v>
      </c>
      <c r="N25" s="4">
        <v>415</v>
      </c>
      <c r="O25" s="4">
        <v>0</v>
      </c>
      <c r="Q25" s="4">
        <v>2281</v>
      </c>
      <c r="R25" s="4">
        <v>12748</v>
      </c>
      <c r="S25" s="4">
        <v>4710</v>
      </c>
      <c r="T25" s="4">
        <v>0</v>
      </c>
      <c r="V25" s="4">
        <f t="shared" si="0"/>
        <v>0.6494932432432432</v>
      </c>
      <c r="W25" s="4">
        <f t="shared" si="1"/>
        <v>119</v>
      </c>
      <c r="X25" s="4">
        <v>0</v>
      </c>
      <c r="Y25" s="4">
        <v>0</v>
      </c>
      <c r="Z25" s="4">
        <v>0</v>
      </c>
      <c r="AA25" s="4">
        <v>0</v>
      </c>
      <c r="AC25" s="4">
        <v>1974</v>
      </c>
      <c r="AD25" s="4">
        <v>8285</v>
      </c>
      <c r="AE25" s="4">
        <v>7544</v>
      </c>
      <c r="AF25" s="4">
        <v>900</v>
      </c>
      <c r="AH25" s="4" t="str">
        <f t="shared" si="2"/>
        <v>N/A</v>
      </c>
      <c r="AI25" s="4" t="str">
        <f t="shared" si="3"/>
        <v>N/A</v>
      </c>
      <c r="AJ25" s="4">
        <v>377</v>
      </c>
      <c r="AK25" s="4">
        <v>522</v>
      </c>
      <c r="AL25" s="4">
        <v>255</v>
      </c>
      <c r="AM25" s="4">
        <v>30</v>
      </c>
      <c r="AN25" s="4">
        <f t="shared" si="4"/>
        <v>0.32668977469670712</v>
      </c>
      <c r="AO25" s="4">
        <f t="shared" si="5"/>
        <v>43</v>
      </c>
      <c r="AP25" s="4">
        <v>4284</v>
      </c>
      <c r="AQ25" s="4">
        <v>8545</v>
      </c>
      <c r="AR25" s="4">
        <v>3916</v>
      </c>
      <c r="AS25" s="4">
        <v>2994</v>
      </c>
      <c r="AT25" s="4">
        <v>0</v>
      </c>
      <c r="AU25" s="4">
        <v>0</v>
      </c>
      <c r="AV25" s="4">
        <v>0</v>
      </c>
      <c r="AW25" s="4">
        <v>0</v>
      </c>
      <c r="AX25" s="4" t="str">
        <f t="shared" si="6"/>
        <v>N/A</v>
      </c>
      <c r="AY25" s="4" t="str">
        <f t="shared" si="7"/>
        <v>N/A</v>
      </c>
      <c r="AZ25" s="4">
        <v>2724</v>
      </c>
      <c r="BA25" s="4">
        <v>8574</v>
      </c>
      <c r="BB25" s="4">
        <v>7405</v>
      </c>
      <c r="BC25" s="4">
        <v>0</v>
      </c>
      <c r="BD25" s="5">
        <v>6926.4453780000003</v>
      </c>
      <c r="BE25" s="5">
        <v>2801.5150640000002</v>
      </c>
      <c r="BG25" s="5">
        <f t="shared" si="8"/>
        <v>39</v>
      </c>
      <c r="BK25" s="5" t="str">
        <f t="shared" si="9"/>
        <v>N/A</v>
      </c>
      <c r="BL25" s="5">
        <v>11461.366818</v>
      </c>
      <c r="BM25" s="5">
        <v>4372.1777769999999</v>
      </c>
      <c r="BN25" s="5">
        <v>15375.9167655</v>
      </c>
      <c r="BO25" s="5">
        <v>4361.0070319999995</v>
      </c>
      <c r="BP25" s="5">
        <v>0</v>
      </c>
      <c r="BQ25" s="5">
        <v>0</v>
      </c>
      <c r="BR25" s="5">
        <v>13828.17647</v>
      </c>
      <c r="BS25" s="5">
        <v>5507.9059440000001</v>
      </c>
      <c r="BT25" s="5">
        <v>14591.45873</v>
      </c>
      <c r="BU25" s="5">
        <v>18827.834444</v>
      </c>
      <c r="BV25" s="5">
        <v>5500</v>
      </c>
      <c r="BW25" s="5">
        <v>18983.362186999999</v>
      </c>
      <c r="BX25" s="5">
        <v>17</v>
      </c>
      <c r="BY25" s="5">
        <v>27</v>
      </c>
      <c r="CD25" s="143">
        <v>0.25470671455000549</v>
      </c>
      <c r="CE25" s="143">
        <v>3.3551820364721818E-2</v>
      </c>
      <c r="CF25" s="143">
        <v>81052318.24000001</v>
      </c>
      <c r="CG25" s="144">
        <v>86.5</v>
      </c>
      <c r="CH25" s="144">
        <v>6.8</v>
      </c>
      <c r="CI25" s="144">
        <v>2.1</v>
      </c>
      <c r="CJ25" s="144">
        <v>76.8</v>
      </c>
      <c r="CK25" s="144">
        <v>11.4</v>
      </c>
      <c r="CL25" s="144">
        <v>4.2</v>
      </c>
      <c r="CM25" s="144">
        <v>95.4</v>
      </c>
      <c r="CN25" s="144">
        <v>92.4</v>
      </c>
    </row>
    <row r="26" spans="1:92" ht="15" x14ac:dyDescent="0.25">
      <c r="A26">
        <v>312</v>
      </c>
      <c r="B26" s="1">
        <v>2.1451080139999999E-2</v>
      </c>
      <c r="C26" s="1">
        <v>1.9362921899999999E-3</v>
      </c>
      <c r="D26" s="1">
        <v>-5.1076485399999998E-3</v>
      </c>
      <c r="E26" s="1">
        <v>1.564621452E-2</v>
      </c>
      <c r="F26" s="2">
        <v>7670</v>
      </c>
      <c r="G26" s="2">
        <v>1612</v>
      </c>
      <c r="H26" s="2">
        <v>350</v>
      </c>
      <c r="I26" s="2">
        <v>50</v>
      </c>
      <c r="J26" s="2">
        <v>630</v>
      </c>
      <c r="K26" s="2">
        <v>1012</v>
      </c>
      <c r="L26" s="4">
        <v>148</v>
      </c>
      <c r="M26" s="4">
        <v>1262</v>
      </c>
      <c r="N26" s="4">
        <v>308</v>
      </c>
      <c r="O26" s="4">
        <v>0</v>
      </c>
      <c r="Q26" s="4">
        <v>3814</v>
      </c>
      <c r="R26" s="4">
        <v>16247</v>
      </c>
      <c r="S26" s="4">
        <v>6096</v>
      </c>
      <c r="T26" s="4">
        <v>0</v>
      </c>
      <c r="V26" s="4">
        <f t="shared" si="0"/>
        <v>0.82072176949941789</v>
      </c>
      <c r="W26" s="4">
        <f t="shared" si="1"/>
        <v>88</v>
      </c>
      <c r="X26" s="4">
        <v>138</v>
      </c>
      <c r="Y26" s="4">
        <v>400</v>
      </c>
      <c r="Z26" s="4">
        <v>0</v>
      </c>
      <c r="AA26" s="4">
        <v>0</v>
      </c>
      <c r="AC26" s="4">
        <v>6866</v>
      </c>
      <c r="AD26" s="4">
        <v>9813</v>
      </c>
      <c r="AE26" s="4">
        <v>3461</v>
      </c>
      <c r="AF26" s="4">
        <v>1150</v>
      </c>
      <c r="AH26" s="4">
        <f t="shared" si="2"/>
        <v>1</v>
      </c>
      <c r="AI26" s="4">
        <f t="shared" si="3"/>
        <v>1</v>
      </c>
      <c r="AJ26" s="4">
        <v>674</v>
      </c>
      <c r="AK26" s="4">
        <v>1044</v>
      </c>
      <c r="AL26" s="4">
        <v>0</v>
      </c>
      <c r="AM26" s="4">
        <v>0</v>
      </c>
      <c r="AN26" s="4">
        <f t="shared" si="4"/>
        <v>0.39231664726426074</v>
      </c>
      <c r="AO26" s="4">
        <f t="shared" si="5"/>
        <v>35</v>
      </c>
      <c r="AP26" s="4">
        <v>7870</v>
      </c>
      <c r="AQ26" s="4">
        <v>13287</v>
      </c>
      <c r="AR26" s="4">
        <v>1449</v>
      </c>
      <c r="AS26" s="4">
        <v>3551</v>
      </c>
      <c r="AT26" s="4">
        <v>400</v>
      </c>
      <c r="AU26" s="4">
        <v>138</v>
      </c>
      <c r="AV26" s="4">
        <v>0</v>
      </c>
      <c r="AW26" s="4">
        <v>0</v>
      </c>
      <c r="AX26" s="4">
        <f t="shared" si="6"/>
        <v>0.74349442379182151</v>
      </c>
      <c r="AY26" s="4">
        <f t="shared" si="7"/>
        <v>39</v>
      </c>
      <c r="AZ26" s="4">
        <v>8572</v>
      </c>
      <c r="BA26" s="4">
        <v>8107</v>
      </c>
      <c r="BB26" s="4">
        <v>4611</v>
      </c>
      <c r="BC26" s="4">
        <v>0</v>
      </c>
      <c r="BD26" s="5">
        <v>15709.877667000001</v>
      </c>
      <c r="BE26" s="5">
        <v>13362.026666</v>
      </c>
      <c r="BF26" s="5">
        <v>14591.45873</v>
      </c>
      <c r="BG26" s="5">
        <f t="shared" si="8"/>
        <v>130</v>
      </c>
      <c r="BK26" s="5" t="str">
        <f t="shared" si="9"/>
        <v>N/A</v>
      </c>
      <c r="BL26" s="5">
        <v>12112.2948865</v>
      </c>
      <c r="BM26" s="5">
        <v>5239.4141020000006</v>
      </c>
      <c r="BN26" s="5">
        <v>14899.863224000001</v>
      </c>
      <c r="BO26" s="5">
        <v>17590.521110499998</v>
      </c>
      <c r="BP26" s="5">
        <v>1000</v>
      </c>
      <c r="BQ26" s="5">
        <v>20629.066874</v>
      </c>
      <c r="BR26" s="5">
        <v>13828.17647</v>
      </c>
      <c r="BS26" s="5">
        <v>5507.9059440000001</v>
      </c>
      <c r="BT26" s="5">
        <v>14591.45873</v>
      </c>
      <c r="BU26" s="5">
        <v>18827.834444</v>
      </c>
      <c r="BV26" s="5">
        <v>5500</v>
      </c>
      <c r="BW26" s="5">
        <v>18983.362186999999</v>
      </c>
      <c r="BX26" s="5">
        <v>26</v>
      </c>
      <c r="BY26" s="5">
        <v>4</v>
      </c>
      <c r="BZ26" s="5">
        <v>2</v>
      </c>
      <c r="CD26" s="143">
        <v>0.31107094441934025</v>
      </c>
      <c r="CE26" s="143">
        <v>0.21878453038674039</v>
      </c>
      <c r="CF26" s="143">
        <v>97651638.86999999</v>
      </c>
      <c r="CG26" s="144">
        <v>87.8</v>
      </c>
      <c r="CH26" s="144">
        <v>7.3</v>
      </c>
      <c r="CI26" s="144">
        <v>3.3</v>
      </c>
      <c r="CJ26" s="144">
        <v>76.7</v>
      </c>
      <c r="CK26" s="144">
        <v>13.1</v>
      </c>
      <c r="CL26" s="144">
        <v>5.7</v>
      </c>
      <c r="CM26" s="144">
        <v>98.3</v>
      </c>
      <c r="CN26" s="144">
        <v>95.5</v>
      </c>
    </row>
    <row r="27" spans="1:92" ht="15" x14ac:dyDescent="0.25">
      <c r="A27">
        <v>313</v>
      </c>
      <c r="B27" s="1">
        <v>4.4315275510000002E-2</v>
      </c>
      <c r="C27" s="1">
        <v>1.153220181E-2</v>
      </c>
      <c r="D27" s="1">
        <v>1.1550011549999999E-2</v>
      </c>
      <c r="E27" s="1">
        <v>-3.77300377E-3</v>
      </c>
      <c r="F27" s="2">
        <v>6223</v>
      </c>
      <c r="G27" s="2">
        <v>2034</v>
      </c>
      <c r="H27" s="2">
        <v>190</v>
      </c>
      <c r="I27" s="2">
        <v>0</v>
      </c>
      <c r="J27" s="2">
        <v>2070</v>
      </c>
      <c r="K27" s="2">
        <v>471</v>
      </c>
      <c r="L27" s="4">
        <v>654</v>
      </c>
      <c r="M27" s="4">
        <v>571</v>
      </c>
      <c r="N27" s="4">
        <v>354</v>
      </c>
      <c r="P27" s="4">
        <v>0</v>
      </c>
      <c r="Q27" s="4">
        <v>4266</v>
      </c>
      <c r="R27" s="4">
        <v>13309</v>
      </c>
      <c r="S27" s="4">
        <v>2856</v>
      </c>
      <c r="U27" s="4">
        <v>870</v>
      </c>
      <c r="V27" s="4">
        <f t="shared" si="0"/>
        <v>0.77580747308423048</v>
      </c>
      <c r="W27" s="4">
        <f t="shared" si="1"/>
        <v>101</v>
      </c>
      <c r="X27" s="4">
        <v>0</v>
      </c>
      <c r="Y27" s="4">
        <v>0</v>
      </c>
      <c r="Z27" s="4">
        <v>0</v>
      </c>
      <c r="AB27" s="4">
        <v>0</v>
      </c>
      <c r="AC27" s="4">
        <v>9637</v>
      </c>
      <c r="AD27" s="4">
        <v>7318</v>
      </c>
      <c r="AE27" s="4">
        <v>1006</v>
      </c>
      <c r="AG27" s="4">
        <v>0</v>
      </c>
      <c r="AH27" s="4" t="str">
        <f t="shared" si="2"/>
        <v>N/A</v>
      </c>
      <c r="AI27" s="4" t="str">
        <f t="shared" si="3"/>
        <v>N/A</v>
      </c>
      <c r="AJ27" s="4">
        <v>742</v>
      </c>
      <c r="AK27" s="4">
        <v>690</v>
      </c>
      <c r="AL27" s="4">
        <v>16</v>
      </c>
      <c r="AM27" s="4">
        <v>131</v>
      </c>
      <c r="AN27" s="4">
        <f t="shared" si="4"/>
        <v>0.51243093922651939</v>
      </c>
      <c r="AO27" s="4">
        <f t="shared" si="5"/>
        <v>25</v>
      </c>
      <c r="AP27" s="4">
        <v>9998</v>
      </c>
      <c r="AQ27" s="4">
        <v>8150</v>
      </c>
      <c r="AR27" s="4">
        <v>344</v>
      </c>
      <c r="AS27" s="4">
        <v>2809</v>
      </c>
      <c r="AT27" s="4">
        <v>0</v>
      </c>
      <c r="AU27" s="4">
        <v>0</v>
      </c>
      <c r="AV27" s="4">
        <v>0</v>
      </c>
      <c r="AW27" s="4">
        <v>0</v>
      </c>
      <c r="AX27" s="4" t="str">
        <f t="shared" si="6"/>
        <v>N/A</v>
      </c>
      <c r="AY27" s="4" t="str">
        <f t="shared" si="7"/>
        <v>N/A</v>
      </c>
      <c r="AZ27" s="4">
        <v>11988</v>
      </c>
      <c r="BA27" s="4">
        <v>4699</v>
      </c>
      <c r="BB27" s="4">
        <v>1274</v>
      </c>
      <c r="BC27" s="4">
        <v>0</v>
      </c>
      <c r="BD27" s="5">
        <v>18268.042159000001</v>
      </c>
      <c r="BE27" s="5">
        <v>3431.112318</v>
      </c>
      <c r="BG27" s="5">
        <f t="shared" si="8"/>
        <v>139</v>
      </c>
      <c r="BK27" s="5" t="str">
        <f t="shared" si="9"/>
        <v>N/A</v>
      </c>
      <c r="BL27" s="5">
        <v>12112.2948865</v>
      </c>
      <c r="BM27" s="5">
        <v>5239.4141020000006</v>
      </c>
      <c r="BN27" s="5">
        <v>14591.45873</v>
      </c>
      <c r="BO27" s="5">
        <v>19469.668888</v>
      </c>
      <c r="BP27" s="5">
        <v>1000</v>
      </c>
      <c r="BQ27" s="5">
        <v>20629.066874</v>
      </c>
      <c r="BR27" s="5">
        <v>13828.17647</v>
      </c>
      <c r="BS27" s="5">
        <v>5507.9059440000001</v>
      </c>
      <c r="BT27" s="5">
        <v>14591.45873</v>
      </c>
      <c r="BU27" s="5">
        <v>18827.834444</v>
      </c>
      <c r="BV27" s="5">
        <v>5500</v>
      </c>
      <c r="BW27" s="5">
        <v>18983.362186999999</v>
      </c>
      <c r="BX27" s="5">
        <v>24</v>
      </c>
      <c r="BY27" s="5">
        <v>43</v>
      </c>
      <c r="CD27" s="143">
        <v>0.38015099994236645</v>
      </c>
      <c r="CE27" s="143">
        <v>6.8440491444938578E-2</v>
      </c>
      <c r="CF27" s="143">
        <v>126013533.61000001</v>
      </c>
      <c r="CG27" s="144">
        <v>78.5</v>
      </c>
      <c r="CH27" s="144">
        <v>10.8</v>
      </c>
      <c r="CI27" s="144">
        <v>4.2</v>
      </c>
      <c r="CJ27" s="144">
        <v>67.2</v>
      </c>
      <c r="CK27" s="144">
        <v>14.5</v>
      </c>
      <c r="CL27" s="144">
        <v>5.8</v>
      </c>
      <c r="CM27" s="144">
        <v>93.6</v>
      </c>
      <c r="CN27" s="144">
        <v>87.5</v>
      </c>
    </row>
    <row r="28" spans="1:92" ht="15" x14ac:dyDescent="0.25">
      <c r="A28">
        <v>314</v>
      </c>
      <c r="B28" s="1">
        <v>2.5339154839999999E-2</v>
      </c>
      <c r="C28" s="1">
        <v>2.9393419609999999E-2</v>
      </c>
      <c r="D28" s="1">
        <v>3.0287068699999999E-3</v>
      </c>
      <c r="E28" s="1">
        <v>5.2673162999999999E-3</v>
      </c>
      <c r="F28" s="2">
        <v>2990</v>
      </c>
      <c r="G28" s="2">
        <v>518</v>
      </c>
      <c r="H28" s="2">
        <v>200</v>
      </c>
      <c r="I28" s="2">
        <v>0</v>
      </c>
      <c r="J28" s="2">
        <v>960</v>
      </c>
      <c r="K28" s="2">
        <v>720</v>
      </c>
      <c r="L28" s="4">
        <v>106</v>
      </c>
      <c r="M28" s="4">
        <v>237</v>
      </c>
      <c r="N28" s="4">
        <v>0</v>
      </c>
      <c r="Q28" s="4">
        <v>4030</v>
      </c>
      <c r="R28" s="4">
        <v>9013</v>
      </c>
      <c r="S28" s="4">
        <v>476</v>
      </c>
      <c r="V28" s="4">
        <f t="shared" si="0"/>
        <v>1</v>
      </c>
      <c r="W28" s="4">
        <f t="shared" si="1"/>
        <v>1</v>
      </c>
      <c r="X28" s="4">
        <v>141</v>
      </c>
      <c r="Y28" s="4">
        <v>203</v>
      </c>
      <c r="Z28" s="4">
        <v>98</v>
      </c>
      <c r="AC28" s="4">
        <v>5368</v>
      </c>
      <c r="AD28" s="4">
        <v>4087</v>
      </c>
      <c r="AE28" s="4">
        <v>1052</v>
      </c>
      <c r="AH28" s="4">
        <f t="shared" si="2"/>
        <v>0.77828054298642535</v>
      </c>
      <c r="AI28" s="4">
        <f t="shared" si="3"/>
        <v>75</v>
      </c>
      <c r="AJ28" s="4">
        <v>106</v>
      </c>
      <c r="AK28" s="4">
        <v>222</v>
      </c>
      <c r="AL28" s="4">
        <v>0</v>
      </c>
      <c r="AM28" s="4">
        <v>15</v>
      </c>
      <c r="AN28" s="4">
        <f t="shared" si="4"/>
        <v>0.32317073170731708</v>
      </c>
      <c r="AO28" s="4">
        <f t="shared" si="5"/>
        <v>44</v>
      </c>
      <c r="AP28" s="4">
        <v>1990</v>
      </c>
      <c r="AQ28" s="4">
        <v>8426</v>
      </c>
      <c r="AR28" s="4">
        <v>1139</v>
      </c>
      <c r="AS28" s="4">
        <v>1964</v>
      </c>
      <c r="AT28" s="4">
        <v>239</v>
      </c>
      <c r="AU28" s="4">
        <v>203</v>
      </c>
      <c r="AW28" s="4">
        <v>0</v>
      </c>
      <c r="AX28" s="4">
        <f t="shared" si="6"/>
        <v>0.54072398190045246</v>
      </c>
      <c r="AY28" s="4">
        <f t="shared" si="7"/>
        <v>50</v>
      </c>
      <c r="AZ28" s="4">
        <v>7808</v>
      </c>
      <c r="BA28" s="4">
        <v>2699</v>
      </c>
      <c r="BC28" s="4">
        <v>0</v>
      </c>
      <c r="BD28" s="5">
        <v>16797.107115999999</v>
      </c>
      <c r="BE28" s="5">
        <v>7499.0209519999999</v>
      </c>
      <c r="BF28" s="5">
        <v>21078.726618000001</v>
      </c>
      <c r="BG28" s="5">
        <f t="shared" si="8"/>
        <v>135</v>
      </c>
      <c r="BK28" s="5" t="str">
        <f t="shared" si="9"/>
        <v>N/A</v>
      </c>
      <c r="BL28" s="5">
        <v>12944.1568245</v>
      </c>
      <c r="BM28" s="5">
        <v>5562.1615380000003</v>
      </c>
      <c r="BN28" s="5">
        <v>21982.147618499999</v>
      </c>
      <c r="BO28" s="5">
        <v>16498.609211999999</v>
      </c>
      <c r="BP28" s="5">
        <v>23429.45</v>
      </c>
      <c r="BQ28" s="5">
        <v>0</v>
      </c>
      <c r="BR28" s="5">
        <v>13828.17647</v>
      </c>
      <c r="BS28" s="5">
        <v>5507.9059440000001</v>
      </c>
      <c r="BT28" s="5">
        <v>14591.45873</v>
      </c>
      <c r="BU28" s="5">
        <v>18827.834444</v>
      </c>
      <c r="BV28" s="5">
        <v>5500</v>
      </c>
      <c r="BW28" s="5">
        <v>18983.362186999999</v>
      </c>
      <c r="BX28" s="5">
        <v>18</v>
      </c>
      <c r="BY28" s="5">
        <v>19</v>
      </c>
      <c r="BZ28" s="5">
        <v>3</v>
      </c>
      <c r="CD28" s="143">
        <v>0.23453538014351905</v>
      </c>
      <c r="CE28" s="143">
        <v>7.5454306031077056E-2</v>
      </c>
      <c r="CF28" s="143">
        <v>48500660.579999998</v>
      </c>
      <c r="CG28" s="144">
        <v>82</v>
      </c>
      <c r="CH28" s="144">
        <v>7.7</v>
      </c>
      <c r="CI28" s="144">
        <v>2.5</v>
      </c>
      <c r="CJ28" s="144">
        <v>71.900000000000006</v>
      </c>
      <c r="CK28" s="144">
        <v>17.2</v>
      </c>
      <c r="CL28" s="144">
        <v>6.3</v>
      </c>
      <c r="CM28" s="144">
        <v>92.2</v>
      </c>
      <c r="CN28" s="144">
        <v>95.3</v>
      </c>
    </row>
    <row r="29" spans="1:92" ht="15" x14ac:dyDescent="0.25">
      <c r="A29">
        <v>315</v>
      </c>
      <c r="B29" s="1">
        <v>4.8025678289999998E-2</v>
      </c>
      <c r="C29" s="1">
        <v>1.6291182170000001E-2</v>
      </c>
      <c r="D29" s="1">
        <v>4.5448360319999999E-2</v>
      </c>
      <c r="E29" s="1">
        <v>1.3607293500000001E-3</v>
      </c>
      <c r="F29" s="2">
        <v>3794</v>
      </c>
      <c r="G29" s="2">
        <v>45</v>
      </c>
      <c r="H29" s="2">
        <v>130</v>
      </c>
      <c r="I29" s="2">
        <v>80</v>
      </c>
      <c r="J29" s="2">
        <v>1680</v>
      </c>
      <c r="K29" s="2">
        <v>0</v>
      </c>
      <c r="L29" s="4">
        <v>212</v>
      </c>
      <c r="M29" s="4">
        <v>198</v>
      </c>
      <c r="N29" s="4">
        <v>0</v>
      </c>
      <c r="Q29" s="4">
        <v>2943</v>
      </c>
      <c r="R29" s="4">
        <v>10702</v>
      </c>
      <c r="S29" s="4">
        <v>3325</v>
      </c>
      <c r="V29" s="4">
        <f t="shared" si="0"/>
        <v>1</v>
      </c>
      <c r="W29" s="4">
        <f t="shared" si="1"/>
        <v>1</v>
      </c>
      <c r="X29" s="4">
        <v>56</v>
      </c>
      <c r="Y29" s="4">
        <v>0</v>
      </c>
      <c r="Z29" s="4">
        <v>110</v>
      </c>
      <c r="AC29" s="4">
        <v>2405</v>
      </c>
      <c r="AD29" s="4">
        <v>6061</v>
      </c>
      <c r="AE29" s="4">
        <v>1344</v>
      </c>
      <c r="AH29" s="4">
        <f t="shared" si="2"/>
        <v>0.33734939759036142</v>
      </c>
      <c r="AI29" s="4">
        <f t="shared" si="3"/>
        <v>84</v>
      </c>
      <c r="AJ29" s="4">
        <v>242</v>
      </c>
      <c r="AK29" s="4">
        <v>168</v>
      </c>
      <c r="AL29" s="4">
        <v>0</v>
      </c>
      <c r="AM29" s="4">
        <v>0</v>
      </c>
      <c r="AN29" s="4">
        <f t="shared" si="4"/>
        <v>0.59024390243902436</v>
      </c>
      <c r="AO29" s="4">
        <f t="shared" si="5"/>
        <v>17</v>
      </c>
      <c r="AP29" s="4">
        <v>9241</v>
      </c>
      <c r="AQ29" s="4">
        <v>6589</v>
      </c>
      <c r="AR29" s="4">
        <v>1140</v>
      </c>
      <c r="AS29" s="4">
        <v>0</v>
      </c>
      <c r="AT29" s="4">
        <v>166</v>
      </c>
      <c r="AU29" s="4">
        <v>0</v>
      </c>
      <c r="AW29" s="4">
        <v>0</v>
      </c>
      <c r="AX29" s="4">
        <f t="shared" si="6"/>
        <v>1</v>
      </c>
      <c r="AY29" s="4">
        <f t="shared" si="7"/>
        <v>1</v>
      </c>
      <c r="AZ29" s="4">
        <v>7765</v>
      </c>
      <c r="BA29" s="4">
        <v>2045</v>
      </c>
      <c r="BC29" s="4">
        <v>0</v>
      </c>
      <c r="BD29" s="5">
        <v>12648.399603</v>
      </c>
      <c r="BE29" s="5">
        <v>5562.1615380000003</v>
      </c>
      <c r="BG29" s="5">
        <f t="shared" si="8"/>
        <v>116</v>
      </c>
      <c r="BK29" s="5" t="str">
        <f t="shared" si="9"/>
        <v>N/A</v>
      </c>
      <c r="BL29" s="5">
        <v>15858.673763499999</v>
      </c>
      <c r="BM29" s="5">
        <v>6909.9246925000007</v>
      </c>
      <c r="BN29" s="5">
        <v>14591.45873</v>
      </c>
      <c r="BO29" s="5">
        <v>19469.668888</v>
      </c>
      <c r="BP29" s="5">
        <v>1000</v>
      </c>
      <c r="BQ29" s="5">
        <v>28552.272727</v>
      </c>
      <c r="BR29" s="5">
        <v>13828.17647</v>
      </c>
      <c r="BS29" s="5">
        <v>5507.9059440000001</v>
      </c>
      <c r="BT29" s="5">
        <v>14591.45873</v>
      </c>
      <c r="BU29" s="5">
        <v>18827.834444</v>
      </c>
      <c r="BV29" s="5">
        <v>5500</v>
      </c>
      <c r="BW29" s="5">
        <v>18983.362186999999</v>
      </c>
      <c r="BX29" s="5">
        <v>12</v>
      </c>
      <c r="BY29" s="5">
        <v>7</v>
      </c>
      <c r="CD29" s="143">
        <v>0.35342526690391463</v>
      </c>
      <c r="CE29" s="143">
        <v>0.26887312844759648</v>
      </c>
      <c r="CF29" s="143">
        <v>78585936.960000008</v>
      </c>
      <c r="CG29" s="144">
        <v>81.400000000000006</v>
      </c>
      <c r="CH29" s="144">
        <v>7</v>
      </c>
      <c r="CI29" s="144">
        <v>3</v>
      </c>
      <c r="CJ29" s="144">
        <v>62.8</v>
      </c>
      <c r="CK29" s="144">
        <v>17.100000000000001</v>
      </c>
      <c r="CL29" s="144">
        <v>8.5</v>
      </c>
      <c r="CM29" s="144">
        <v>91.4</v>
      </c>
      <c r="CN29" s="144">
        <v>88.3</v>
      </c>
    </row>
    <row r="30" spans="1:92" x14ac:dyDescent="0.3">
      <c r="A30">
        <v>316</v>
      </c>
      <c r="B30" s="1">
        <v>6.6318474429999996E-2</v>
      </c>
      <c r="C30" s="1">
        <v>5.3382728040000001E-2</v>
      </c>
      <c r="D30" s="1">
        <v>2.6884611239999998E-2</v>
      </c>
      <c r="E30" s="1">
        <v>3.1562533599999998E-2</v>
      </c>
      <c r="F30" s="2">
        <v>7807</v>
      </c>
      <c r="G30" s="2">
        <v>3583</v>
      </c>
      <c r="H30" s="2">
        <v>960</v>
      </c>
      <c r="I30" s="2">
        <v>0</v>
      </c>
      <c r="J30" s="2">
        <v>2837</v>
      </c>
      <c r="K30" s="2">
        <v>1350</v>
      </c>
      <c r="L30" s="4">
        <v>780</v>
      </c>
      <c r="M30" s="4">
        <v>903</v>
      </c>
      <c r="N30" s="4">
        <v>394</v>
      </c>
      <c r="O30" s="4">
        <v>150</v>
      </c>
      <c r="Q30" s="4">
        <v>8685</v>
      </c>
      <c r="R30" s="4">
        <v>19032</v>
      </c>
      <c r="S30" s="4">
        <v>5111</v>
      </c>
      <c r="T30" s="4">
        <v>690</v>
      </c>
      <c r="V30" s="4">
        <f t="shared" si="0"/>
        <v>0.75572519083969469</v>
      </c>
      <c r="W30" s="4">
        <f t="shared" si="1"/>
        <v>106</v>
      </c>
      <c r="X30" s="4">
        <v>600</v>
      </c>
      <c r="Y30" s="4">
        <v>0</v>
      </c>
      <c r="Z30" s="4">
        <v>0</v>
      </c>
      <c r="AA30" s="4">
        <v>0</v>
      </c>
      <c r="AC30" s="4">
        <v>7891</v>
      </c>
      <c r="AD30" s="4">
        <v>8550</v>
      </c>
      <c r="AE30" s="4">
        <v>2250</v>
      </c>
      <c r="AF30" s="4">
        <v>0</v>
      </c>
      <c r="AH30" s="4">
        <f t="shared" si="2"/>
        <v>1</v>
      </c>
      <c r="AI30" s="4">
        <f t="shared" si="3"/>
        <v>1</v>
      </c>
      <c r="AJ30" s="4">
        <v>1113</v>
      </c>
      <c r="AK30" s="4">
        <v>1024</v>
      </c>
      <c r="AL30" s="4">
        <v>30</v>
      </c>
      <c r="AM30" s="4">
        <v>60</v>
      </c>
      <c r="AN30" s="4">
        <f t="shared" si="4"/>
        <v>0.51361329026303648</v>
      </c>
      <c r="AO30" s="4">
        <f t="shared" si="5"/>
        <v>24</v>
      </c>
      <c r="AP30" s="4">
        <v>16467</v>
      </c>
      <c r="AQ30" s="4">
        <v>14291</v>
      </c>
      <c r="AR30" s="4">
        <v>1200</v>
      </c>
      <c r="AS30" s="4">
        <v>1560</v>
      </c>
      <c r="AT30" s="4">
        <v>300</v>
      </c>
      <c r="AU30" s="4">
        <v>0</v>
      </c>
      <c r="AV30" s="4">
        <v>0</v>
      </c>
      <c r="AW30" s="4">
        <v>300</v>
      </c>
      <c r="AX30" s="4">
        <f t="shared" si="6"/>
        <v>1</v>
      </c>
      <c r="AY30" s="4">
        <f t="shared" si="7"/>
        <v>1</v>
      </c>
      <c r="AZ30" s="4">
        <v>13891</v>
      </c>
      <c r="BA30" s="4">
        <v>2400</v>
      </c>
      <c r="BB30" s="4">
        <v>1500</v>
      </c>
      <c r="BC30" s="4">
        <v>900</v>
      </c>
      <c r="BD30" s="5">
        <v>9690.9871540000004</v>
      </c>
      <c r="BE30" s="5">
        <v>2095.833333</v>
      </c>
      <c r="BG30" s="5">
        <f t="shared" si="8"/>
        <v>78</v>
      </c>
      <c r="BH30" s="5">
        <v>3934.4262290000001</v>
      </c>
      <c r="BK30" s="5">
        <f t="shared" si="9"/>
        <v>6</v>
      </c>
      <c r="BL30" s="5">
        <v>9669.8397284999992</v>
      </c>
      <c r="BM30" s="5">
        <v>6015.5459609999998</v>
      </c>
      <c r="BN30" s="5">
        <v>17664.516129</v>
      </c>
      <c r="BO30" s="5">
        <v>10648.292499499999</v>
      </c>
      <c r="BP30" s="5">
        <v>0</v>
      </c>
      <c r="BQ30" s="5">
        <v>17337.657500000001</v>
      </c>
      <c r="BR30" s="5">
        <v>13828.17647</v>
      </c>
      <c r="BS30" s="5">
        <v>5507.9059440000001</v>
      </c>
      <c r="BT30" s="5">
        <v>14591.45873</v>
      </c>
      <c r="BU30" s="5">
        <v>18827.834444</v>
      </c>
      <c r="BV30" s="5">
        <v>5500</v>
      </c>
      <c r="BW30" s="5">
        <v>18983.362186999999</v>
      </c>
      <c r="BX30" s="5">
        <v>23</v>
      </c>
      <c r="BY30" s="5">
        <v>8</v>
      </c>
      <c r="CA30" s="5">
        <v>1</v>
      </c>
      <c r="CD30" s="143">
        <v>0.382968038167665</v>
      </c>
      <c r="CE30" s="143">
        <v>0.19481771276294158</v>
      </c>
      <c r="CF30" s="143">
        <v>207533274.39000002</v>
      </c>
      <c r="CG30" s="144">
        <v>86.9</v>
      </c>
      <c r="CH30" s="144">
        <v>6.7</v>
      </c>
      <c r="CI30" s="144">
        <v>2.4</v>
      </c>
      <c r="CJ30" s="144">
        <v>74.900000000000006</v>
      </c>
      <c r="CK30" s="144">
        <v>14.2</v>
      </c>
      <c r="CL30" s="144">
        <v>4.7</v>
      </c>
      <c r="CM30" s="144">
        <v>96.1</v>
      </c>
      <c r="CN30" s="144">
        <v>93.8</v>
      </c>
    </row>
    <row r="31" spans="1:92" x14ac:dyDescent="0.3">
      <c r="A31">
        <v>317</v>
      </c>
      <c r="B31" s="1">
        <v>4.4739233140000001E-2</v>
      </c>
      <c r="C31" s="1">
        <v>5.70597855E-3</v>
      </c>
      <c r="D31" s="1">
        <v>1.4094151209999999E-2</v>
      </c>
      <c r="E31" s="1">
        <v>-7.1897289499999999E-3</v>
      </c>
      <c r="F31" s="2">
        <v>5780</v>
      </c>
      <c r="G31" s="2">
        <v>5101</v>
      </c>
      <c r="H31" s="2">
        <v>0</v>
      </c>
      <c r="I31" s="2">
        <v>0</v>
      </c>
      <c r="J31" s="2">
        <v>2730</v>
      </c>
      <c r="K31" s="2">
        <v>900</v>
      </c>
      <c r="L31" s="4">
        <v>30</v>
      </c>
      <c r="M31" s="4">
        <v>473</v>
      </c>
      <c r="N31" s="4">
        <v>0</v>
      </c>
      <c r="Q31" s="4">
        <v>7801</v>
      </c>
      <c r="R31" s="4">
        <v>18875</v>
      </c>
      <c r="S31" s="4">
        <v>2250</v>
      </c>
      <c r="V31" s="4">
        <f t="shared" si="0"/>
        <v>1</v>
      </c>
      <c r="W31" s="4">
        <f t="shared" si="1"/>
        <v>1</v>
      </c>
      <c r="X31" s="4">
        <v>0</v>
      </c>
      <c r="Y31" s="4">
        <v>1260</v>
      </c>
      <c r="Z31" s="4">
        <v>0</v>
      </c>
      <c r="AC31" s="4">
        <v>14455</v>
      </c>
      <c r="AD31" s="4">
        <v>7293</v>
      </c>
      <c r="AE31" s="4">
        <v>2683</v>
      </c>
      <c r="AH31" s="4">
        <f t="shared" si="2"/>
        <v>1</v>
      </c>
      <c r="AI31" s="4">
        <f t="shared" si="3"/>
        <v>1</v>
      </c>
      <c r="AJ31" s="4">
        <v>30</v>
      </c>
      <c r="AK31" s="4">
        <v>251</v>
      </c>
      <c r="AL31" s="4">
        <v>222</v>
      </c>
      <c r="AM31" s="4">
        <v>0</v>
      </c>
      <c r="AN31" s="4">
        <f t="shared" si="4"/>
        <v>5.9642147117296221E-2</v>
      </c>
      <c r="AO31" s="4">
        <f t="shared" si="5"/>
        <v>91</v>
      </c>
      <c r="AP31" s="4">
        <v>12198</v>
      </c>
      <c r="AQ31" s="4">
        <v>11179</v>
      </c>
      <c r="AR31" s="4">
        <v>1908</v>
      </c>
      <c r="AS31" s="4">
        <v>3641</v>
      </c>
      <c r="AT31" s="4">
        <v>0</v>
      </c>
      <c r="AU31" s="4">
        <v>1260</v>
      </c>
      <c r="AW31" s="4">
        <v>0</v>
      </c>
      <c r="AX31" s="4">
        <f t="shared" si="6"/>
        <v>0</v>
      </c>
      <c r="AY31" s="4">
        <f t="shared" si="7"/>
        <v>73</v>
      </c>
      <c r="AZ31" s="4">
        <v>15226</v>
      </c>
      <c r="BA31" s="4">
        <v>7955</v>
      </c>
      <c r="BC31" s="4">
        <v>1250</v>
      </c>
      <c r="BD31" s="5">
        <v>11576.19017</v>
      </c>
      <c r="BE31" s="5">
        <v>3540.0569249999999</v>
      </c>
      <c r="BF31" s="5">
        <v>12135.210319</v>
      </c>
      <c r="BG31" s="5">
        <f t="shared" si="8"/>
        <v>104</v>
      </c>
      <c r="BH31" s="5">
        <v>23555.904761000002</v>
      </c>
      <c r="BI31" s="5">
        <v>1000</v>
      </c>
      <c r="BJ31" s="5">
        <v>20629.066874</v>
      </c>
      <c r="BK31" s="5">
        <f t="shared" si="9"/>
        <v>45</v>
      </c>
      <c r="BL31" s="5">
        <v>12944.1568245</v>
      </c>
      <c r="BM31" s="5">
        <v>5239.4141020000006</v>
      </c>
      <c r="BN31" s="5">
        <v>14591.45873</v>
      </c>
      <c r="BO31" s="5">
        <v>12068.167776999999</v>
      </c>
      <c r="BP31" s="5">
        <v>0</v>
      </c>
      <c r="BQ31" s="5">
        <v>0</v>
      </c>
      <c r="BR31" s="5">
        <v>13828.17647</v>
      </c>
      <c r="BS31" s="5">
        <v>5507.9059440000001</v>
      </c>
      <c r="BT31" s="5">
        <v>14591.45873</v>
      </c>
      <c r="BU31" s="5">
        <v>18827.834444</v>
      </c>
      <c r="BV31" s="5">
        <v>5500</v>
      </c>
      <c r="BW31" s="5">
        <v>18983.362186999999</v>
      </c>
      <c r="BX31" s="5">
        <v>13</v>
      </c>
      <c r="BY31" s="5">
        <v>18</v>
      </c>
      <c r="BZ31" s="5">
        <v>3</v>
      </c>
      <c r="CA31" s="5">
        <v>3</v>
      </c>
      <c r="CB31" s="5">
        <v>1</v>
      </c>
      <c r="CC31" s="5">
        <v>2</v>
      </c>
      <c r="CD31" s="143">
        <v>0.29625837279747436</v>
      </c>
      <c r="CE31" s="143">
        <v>0.19144788938295676</v>
      </c>
      <c r="CF31" s="143">
        <v>179718160.49000001</v>
      </c>
      <c r="CG31" s="144">
        <v>85.7</v>
      </c>
      <c r="CH31" s="144">
        <v>7</v>
      </c>
      <c r="CI31" s="144">
        <v>2.2999999999999998</v>
      </c>
      <c r="CJ31" s="144">
        <v>68.3</v>
      </c>
      <c r="CK31" s="144">
        <v>13.4</v>
      </c>
      <c r="CL31" s="144">
        <v>6.3</v>
      </c>
      <c r="CM31" s="144">
        <v>94.9</v>
      </c>
      <c r="CN31" s="144">
        <v>88</v>
      </c>
    </row>
    <row r="32" spans="1:92" x14ac:dyDescent="0.3">
      <c r="A32">
        <v>318</v>
      </c>
      <c r="B32" s="1">
        <v>-2.0503024509999999E-2</v>
      </c>
      <c r="C32" s="1">
        <v>1.757402101E-2</v>
      </c>
      <c r="D32" s="1">
        <v>1.9246746049999999E-2</v>
      </c>
      <c r="E32" s="1">
        <v>4.3616726660000001E-2</v>
      </c>
      <c r="F32" s="2">
        <v>4008</v>
      </c>
      <c r="G32" s="2">
        <v>1276</v>
      </c>
      <c r="H32" s="2">
        <v>30</v>
      </c>
      <c r="I32" s="2">
        <v>50</v>
      </c>
      <c r="J32" s="2">
        <v>510</v>
      </c>
      <c r="K32" s="2">
        <v>300</v>
      </c>
      <c r="L32" s="4">
        <v>321</v>
      </c>
      <c r="M32" s="4">
        <v>274</v>
      </c>
      <c r="N32" s="4">
        <v>0</v>
      </c>
      <c r="Q32" s="4">
        <v>7884</v>
      </c>
      <c r="R32" s="4">
        <v>6749</v>
      </c>
      <c r="S32" s="4">
        <v>1200</v>
      </c>
      <c r="V32" s="4">
        <f t="shared" si="0"/>
        <v>1</v>
      </c>
      <c r="W32" s="4">
        <f t="shared" si="1"/>
        <v>1</v>
      </c>
      <c r="X32" s="4">
        <v>163</v>
      </c>
      <c r="Y32" s="4">
        <v>0</v>
      </c>
      <c r="Z32" s="4">
        <v>0</v>
      </c>
      <c r="AC32" s="4">
        <v>3950</v>
      </c>
      <c r="AD32" s="4">
        <v>3060</v>
      </c>
      <c r="AE32" s="4">
        <v>2025</v>
      </c>
      <c r="AH32" s="4">
        <f t="shared" si="2"/>
        <v>1</v>
      </c>
      <c r="AI32" s="4">
        <f t="shared" si="3"/>
        <v>1</v>
      </c>
      <c r="AJ32" s="4">
        <v>388</v>
      </c>
      <c r="AK32" s="4">
        <v>172</v>
      </c>
      <c r="AL32" s="4">
        <v>35</v>
      </c>
      <c r="AM32" s="4">
        <v>0</v>
      </c>
      <c r="AN32" s="4">
        <f t="shared" si="4"/>
        <v>0.65210084033613447</v>
      </c>
      <c r="AO32" s="4">
        <f t="shared" si="5"/>
        <v>13</v>
      </c>
      <c r="AP32" s="4">
        <v>7645</v>
      </c>
      <c r="AQ32" s="4">
        <v>4618</v>
      </c>
      <c r="AR32" s="4">
        <v>1470</v>
      </c>
      <c r="AS32" s="4">
        <v>2100</v>
      </c>
      <c r="AT32" s="4">
        <v>163</v>
      </c>
      <c r="AU32" s="4">
        <v>0</v>
      </c>
      <c r="AV32" s="4">
        <v>0</v>
      </c>
      <c r="AW32" s="4">
        <v>0</v>
      </c>
      <c r="AX32" s="4">
        <f t="shared" si="6"/>
        <v>1</v>
      </c>
      <c r="AY32" s="4">
        <f t="shared" si="7"/>
        <v>1</v>
      </c>
      <c r="AZ32" s="4">
        <v>3200</v>
      </c>
      <c r="BA32" s="4">
        <v>4035</v>
      </c>
      <c r="BB32" s="4">
        <v>1050</v>
      </c>
      <c r="BC32" s="4">
        <v>750</v>
      </c>
      <c r="BD32" s="5">
        <v>17377.842809999998</v>
      </c>
      <c r="BE32" s="5">
        <v>5507.9059440000001</v>
      </c>
      <c r="BF32" s="5">
        <v>13669.761904000001</v>
      </c>
      <c r="BG32" s="5">
        <f t="shared" si="8"/>
        <v>137</v>
      </c>
      <c r="BH32" s="5">
        <v>18186</v>
      </c>
      <c r="BK32" s="5">
        <f t="shared" si="9"/>
        <v>39</v>
      </c>
      <c r="BL32" s="5">
        <v>12717.055035000001</v>
      </c>
      <c r="BM32" s="5">
        <v>5376.4754750000002</v>
      </c>
      <c r="BN32" s="5">
        <v>20989.363309</v>
      </c>
      <c r="BO32" s="5">
        <v>12680</v>
      </c>
      <c r="BP32" s="5">
        <v>23429.45</v>
      </c>
      <c r="BQ32" s="5">
        <v>22090.620772499999</v>
      </c>
      <c r="BR32" s="5">
        <v>13828.17647</v>
      </c>
      <c r="BS32" s="5">
        <v>5507.9059440000001</v>
      </c>
      <c r="BT32" s="5">
        <v>14591.45873</v>
      </c>
      <c r="BU32" s="5">
        <v>18827.834444</v>
      </c>
      <c r="BV32" s="5">
        <v>5500</v>
      </c>
      <c r="BW32" s="5">
        <v>18983.362186999999</v>
      </c>
      <c r="BX32" s="5">
        <v>31</v>
      </c>
      <c r="BY32" s="5">
        <v>9</v>
      </c>
      <c r="BZ32" s="5">
        <v>1</v>
      </c>
      <c r="CA32" s="5">
        <v>1</v>
      </c>
      <c r="CD32" s="143">
        <v>0.31144909813512678</v>
      </c>
      <c r="CE32" s="143">
        <v>0.2504128509232848</v>
      </c>
      <c r="CF32" s="143">
        <v>45873037.07</v>
      </c>
      <c r="CG32" s="144">
        <v>81.099999999999994</v>
      </c>
      <c r="CH32" s="144">
        <v>6.8</v>
      </c>
      <c r="CI32" s="144">
        <v>2.6</v>
      </c>
      <c r="CJ32" s="144">
        <v>67.400000000000006</v>
      </c>
      <c r="CK32" s="144">
        <v>11.9</v>
      </c>
      <c r="CL32" s="144">
        <v>6.9</v>
      </c>
      <c r="CM32" s="144">
        <v>90.5</v>
      </c>
      <c r="CN32" s="144">
        <v>86.2</v>
      </c>
    </row>
    <row r="33" spans="1:92" x14ac:dyDescent="0.3">
      <c r="A33">
        <v>319</v>
      </c>
      <c r="B33" s="1">
        <v>2.2111132469999999E-2</v>
      </c>
      <c r="C33" s="1">
        <v>1.7560725499999999E-2</v>
      </c>
      <c r="D33" s="1">
        <v>3.0665887799999998E-3</v>
      </c>
      <c r="E33" s="1">
        <v>1.3434579429999999E-2</v>
      </c>
      <c r="F33" s="2">
        <v>3054</v>
      </c>
      <c r="G33" s="2">
        <v>1143</v>
      </c>
      <c r="H33" s="2">
        <v>610</v>
      </c>
      <c r="I33" s="2">
        <v>0</v>
      </c>
      <c r="J33" s="2">
        <v>615</v>
      </c>
      <c r="K33" s="2">
        <v>1560</v>
      </c>
      <c r="L33" s="4">
        <v>92</v>
      </c>
      <c r="M33" s="4">
        <v>740</v>
      </c>
      <c r="N33" s="4">
        <v>0</v>
      </c>
      <c r="O33" s="4">
        <v>0</v>
      </c>
      <c r="Q33" s="4">
        <v>4499</v>
      </c>
      <c r="R33" s="4">
        <v>9800</v>
      </c>
      <c r="S33" s="4">
        <v>816</v>
      </c>
      <c r="T33" s="4">
        <v>330</v>
      </c>
      <c r="V33" s="4">
        <f t="shared" si="0"/>
        <v>1</v>
      </c>
      <c r="W33" s="4">
        <f t="shared" si="1"/>
        <v>1</v>
      </c>
      <c r="X33" s="4">
        <v>0</v>
      </c>
      <c r="Y33" s="4">
        <v>0</v>
      </c>
      <c r="Z33" s="4">
        <v>0</v>
      </c>
      <c r="AA33" s="4">
        <v>0</v>
      </c>
      <c r="AC33" s="4">
        <v>6759</v>
      </c>
      <c r="AD33" s="4">
        <v>8608</v>
      </c>
      <c r="AE33" s="4">
        <v>2736</v>
      </c>
      <c r="AF33" s="4">
        <v>0</v>
      </c>
      <c r="AH33" s="4" t="str">
        <f t="shared" si="2"/>
        <v>N/A</v>
      </c>
      <c r="AI33" s="4" t="str">
        <f t="shared" si="3"/>
        <v>N/A</v>
      </c>
      <c r="AJ33" s="4">
        <v>575</v>
      </c>
      <c r="AK33" s="4">
        <v>227</v>
      </c>
      <c r="AL33" s="4">
        <v>0</v>
      </c>
      <c r="AM33" s="4">
        <v>30</v>
      </c>
      <c r="AN33" s="4">
        <f t="shared" si="4"/>
        <v>0.71695760598503744</v>
      </c>
      <c r="AO33" s="4">
        <f t="shared" si="5"/>
        <v>8</v>
      </c>
      <c r="AP33" s="4">
        <v>5518</v>
      </c>
      <c r="AQ33" s="4">
        <v>6666</v>
      </c>
      <c r="AR33" s="4">
        <v>1093</v>
      </c>
      <c r="AS33" s="4">
        <v>2168</v>
      </c>
      <c r="AT33" s="4">
        <v>0</v>
      </c>
      <c r="AU33" s="4">
        <v>0</v>
      </c>
      <c r="AW33" s="4">
        <v>0</v>
      </c>
      <c r="AX33" s="4" t="str">
        <f t="shared" si="6"/>
        <v>N/A</v>
      </c>
      <c r="AY33" s="4" t="str">
        <f t="shared" si="7"/>
        <v>N/A</v>
      </c>
      <c r="AZ33" s="4">
        <v>10889</v>
      </c>
      <c r="BA33" s="4">
        <v>7214</v>
      </c>
      <c r="BC33" s="4">
        <v>0</v>
      </c>
      <c r="BD33" s="5">
        <v>13239.914046</v>
      </c>
      <c r="BE33" s="5">
        <v>6567.3629620000002</v>
      </c>
      <c r="BG33" s="5">
        <f t="shared" si="8"/>
        <v>118</v>
      </c>
      <c r="BK33" s="5" t="str">
        <f t="shared" si="9"/>
        <v>N/A</v>
      </c>
      <c r="BL33" s="5">
        <v>12259.516328</v>
      </c>
      <c r="BM33" s="5">
        <v>4856.7219150000001</v>
      </c>
      <c r="BN33" s="5">
        <v>19434.150000000001</v>
      </c>
      <c r="BO33" s="5">
        <v>16498.609211999999</v>
      </c>
      <c r="BP33" s="5">
        <v>0</v>
      </c>
      <c r="BQ33" s="5">
        <v>0</v>
      </c>
      <c r="BR33" s="5">
        <v>13828.17647</v>
      </c>
      <c r="BS33" s="5">
        <v>5507.9059440000001</v>
      </c>
      <c r="BT33" s="5">
        <v>14591.45873</v>
      </c>
      <c r="BU33" s="5">
        <v>18827.834444</v>
      </c>
      <c r="BV33" s="5">
        <v>5500</v>
      </c>
      <c r="BW33" s="5">
        <v>18983.362186999999</v>
      </c>
      <c r="BX33" s="5">
        <v>26</v>
      </c>
      <c r="BY33" s="5">
        <v>9</v>
      </c>
      <c r="CD33" s="143">
        <v>0.29675736116287732</v>
      </c>
      <c r="CE33" s="143">
        <v>0.10029211295034091</v>
      </c>
      <c r="CF33" s="143">
        <v>122292041.63</v>
      </c>
      <c r="CG33" s="144">
        <v>84</v>
      </c>
      <c r="CH33" s="144">
        <v>7.7</v>
      </c>
      <c r="CI33" s="144">
        <v>2.7</v>
      </c>
      <c r="CJ33" s="144">
        <v>74.400000000000006</v>
      </c>
      <c r="CK33" s="144">
        <v>13.9</v>
      </c>
      <c r="CL33" s="144">
        <v>4.5</v>
      </c>
      <c r="CM33" s="144">
        <v>94.4</v>
      </c>
      <c r="CN33" s="144">
        <v>92.9</v>
      </c>
    </row>
    <row r="34" spans="1:92" x14ac:dyDescent="0.3">
      <c r="A34">
        <v>320</v>
      </c>
      <c r="B34" s="1">
        <v>8.7591857420000002E-2</v>
      </c>
      <c r="C34" s="1">
        <v>2.470647858E-2</v>
      </c>
      <c r="D34" s="1">
        <v>7.0824606309999996E-2</v>
      </c>
      <c r="E34" s="1">
        <v>1.8695213709999998E-2</v>
      </c>
      <c r="F34" s="2">
        <v>6058</v>
      </c>
      <c r="G34" s="2">
        <v>709</v>
      </c>
      <c r="H34" s="2">
        <v>720</v>
      </c>
      <c r="I34" s="2">
        <v>0</v>
      </c>
      <c r="J34" s="2">
        <v>1671</v>
      </c>
      <c r="K34" s="2">
        <v>900</v>
      </c>
      <c r="L34" s="4">
        <v>0</v>
      </c>
      <c r="M34" s="4">
        <v>840</v>
      </c>
      <c r="N34" s="4">
        <v>30</v>
      </c>
      <c r="O34" s="4">
        <v>0</v>
      </c>
      <c r="Q34" s="4">
        <v>4290</v>
      </c>
      <c r="R34" s="4">
        <v>16916</v>
      </c>
      <c r="S34" s="4">
        <v>3243</v>
      </c>
      <c r="T34" s="4">
        <v>420</v>
      </c>
      <c r="V34" s="4">
        <f t="shared" ref="V34:V65" si="10">IFERROR(SUM(L34:M34)/SUM(L34:O34),"N/A")</f>
        <v>0.96551724137931039</v>
      </c>
      <c r="W34" s="4">
        <f t="shared" ref="W34:W65" si="11">IFERROR(_xlfn.RANK.EQ(V34,Qual_P_Prop,0),V34)</f>
        <v>55</v>
      </c>
      <c r="X34" s="4">
        <v>0</v>
      </c>
      <c r="Y34" s="4">
        <v>340</v>
      </c>
      <c r="Z34" s="4">
        <v>0</v>
      </c>
      <c r="AA34" s="4">
        <v>0</v>
      </c>
      <c r="AC34" s="4">
        <v>0</v>
      </c>
      <c r="AD34" s="4">
        <v>10476</v>
      </c>
      <c r="AE34" s="4">
        <v>4287</v>
      </c>
      <c r="AF34" s="4">
        <v>0</v>
      </c>
      <c r="AH34" s="4">
        <f t="shared" ref="AH34:AH65" si="12">IFERROR(SUM(X34:Y34)/SUM(X34:AA34),"N/A")</f>
        <v>1</v>
      </c>
      <c r="AI34" s="4">
        <f t="shared" ref="AI34:AI65" si="13">IFERROR(_xlfn.RANK.EQ(AH34,Qual_S_Prop,0),AH34)</f>
        <v>1</v>
      </c>
      <c r="AJ34" s="4">
        <v>690</v>
      </c>
      <c r="AK34" s="4">
        <v>150</v>
      </c>
      <c r="AL34" s="4">
        <v>30</v>
      </c>
      <c r="AM34" s="4">
        <v>0</v>
      </c>
      <c r="AN34" s="4">
        <f t="shared" ref="AN34:AN65" si="14">IFERROR(AJ34/SUM(AJ34:AL34),"N/A")</f>
        <v>0.7931034482758621</v>
      </c>
      <c r="AO34" s="4">
        <f t="shared" ref="AO34:AO65" si="15">IFERROR(_xlfn.RANK.EQ(AN34,Qual_KS2_Prop,0),AN34)</f>
        <v>6</v>
      </c>
      <c r="AP34" s="4">
        <v>13037</v>
      </c>
      <c r="AQ34" s="4">
        <v>8832</v>
      </c>
      <c r="AR34" s="4">
        <v>1860</v>
      </c>
      <c r="AS34" s="4">
        <v>1140</v>
      </c>
      <c r="AT34" s="4">
        <v>340</v>
      </c>
      <c r="AU34" s="4">
        <v>0</v>
      </c>
      <c r="AW34" s="4">
        <v>0</v>
      </c>
      <c r="AX34" s="4">
        <f t="shared" ref="AX34:AX65" si="16">IFERROR(AT34/SUM(AT34:AV34),"N/A")</f>
        <v>1</v>
      </c>
      <c r="AY34" s="4">
        <f t="shared" ref="AY34:AY65" si="17">IFERROR(_xlfn.RANK.EQ(AX34,Qual_KS4_Prop,0),AX34)</f>
        <v>1</v>
      </c>
      <c r="AZ34" s="4">
        <v>10241</v>
      </c>
      <c r="BA34" s="4">
        <v>4522</v>
      </c>
      <c r="BC34" s="4">
        <v>0</v>
      </c>
      <c r="BD34" s="5">
        <v>7219.331862</v>
      </c>
      <c r="BE34" s="5">
        <v>7372.7272720000001</v>
      </c>
      <c r="BF34" s="5">
        <v>15123.484125999999</v>
      </c>
      <c r="BG34" s="5">
        <f t="shared" ref="BG34:BG65" si="18">IFERROR(_xlfn.RANK.EQ(BD34,Cost_P_EP,1),"N/A")</f>
        <v>45</v>
      </c>
      <c r="BK34" s="5" t="str">
        <f t="shared" ref="BK34:BK65" si="19">IFERROR(_xlfn.RANK.EQ(BH34,Cost_S_EP,1),"N/A")</f>
        <v>N/A</v>
      </c>
      <c r="BL34" s="5">
        <v>12311.858674499999</v>
      </c>
      <c r="BM34" s="5">
        <v>5574.2184070000003</v>
      </c>
      <c r="BN34" s="5">
        <v>17664.516129</v>
      </c>
      <c r="BO34" s="5">
        <v>8677.536666</v>
      </c>
      <c r="BP34" s="5">
        <v>0</v>
      </c>
      <c r="BQ34" s="5">
        <v>17337.657500000001</v>
      </c>
      <c r="BR34" s="5">
        <v>13828.17647</v>
      </c>
      <c r="BS34" s="5">
        <v>5507.9059440000001</v>
      </c>
      <c r="BT34" s="5">
        <v>14591.45873</v>
      </c>
      <c r="BU34" s="5">
        <v>18827.834444</v>
      </c>
      <c r="BV34" s="5">
        <v>5500</v>
      </c>
      <c r="BW34" s="5">
        <v>18983.362186999999</v>
      </c>
      <c r="BX34" s="5">
        <v>19</v>
      </c>
      <c r="BY34" s="5">
        <v>8</v>
      </c>
      <c r="BZ34" s="5">
        <v>2</v>
      </c>
      <c r="CD34" s="143">
        <v>0.28955898241823008</v>
      </c>
      <c r="CE34" s="143">
        <v>0.12282150821838611</v>
      </c>
      <c r="CF34" s="143">
        <v>175914828.5</v>
      </c>
      <c r="CG34" s="144">
        <v>85.3</v>
      </c>
      <c r="CH34" s="144">
        <v>7.8</v>
      </c>
      <c r="CI34" s="144">
        <v>3.1</v>
      </c>
      <c r="CJ34" s="144">
        <v>77.2</v>
      </c>
      <c r="CK34" s="144">
        <v>11.9</v>
      </c>
      <c r="CL34" s="144">
        <v>4.3</v>
      </c>
      <c r="CM34" s="144">
        <v>96.1</v>
      </c>
      <c r="CN34" s="144">
        <v>93.4</v>
      </c>
    </row>
    <row r="35" spans="1:92" x14ac:dyDescent="0.3">
      <c r="A35">
        <v>330</v>
      </c>
      <c r="B35" s="1">
        <v>-1.0697810429999999E-2</v>
      </c>
      <c r="C35" s="1">
        <v>2.7263379299999999E-3</v>
      </c>
      <c r="D35" s="1">
        <v>-8.7638979700000001E-3</v>
      </c>
      <c r="E35" s="1">
        <v>1.9637017650000001E-2</v>
      </c>
      <c r="F35" s="2">
        <v>13308</v>
      </c>
      <c r="G35" s="2">
        <v>8270</v>
      </c>
      <c r="H35" s="2">
        <v>3740</v>
      </c>
      <c r="I35" s="2">
        <v>1440</v>
      </c>
      <c r="J35" s="2">
        <v>1318</v>
      </c>
      <c r="K35" s="2">
        <v>1807</v>
      </c>
      <c r="L35" s="4">
        <v>300</v>
      </c>
      <c r="M35" s="4">
        <v>370</v>
      </c>
      <c r="N35" s="4">
        <v>420</v>
      </c>
      <c r="O35" s="4">
        <v>0</v>
      </c>
      <c r="Q35" s="4">
        <v>20870</v>
      </c>
      <c r="R35" s="4">
        <v>63367</v>
      </c>
      <c r="S35" s="4">
        <v>18761</v>
      </c>
      <c r="T35" s="4">
        <v>6120</v>
      </c>
      <c r="V35" s="4">
        <f t="shared" si="10"/>
        <v>0.61467889908256879</v>
      </c>
      <c r="W35" s="4">
        <f t="shared" si="11"/>
        <v>123</v>
      </c>
      <c r="X35" s="4">
        <v>120</v>
      </c>
      <c r="Y35" s="4">
        <v>0</v>
      </c>
      <c r="Z35" s="4">
        <v>0</v>
      </c>
      <c r="AA35" s="4">
        <v>0</v>
      </c>
      <c r="AC35" s="4">
        <v>24763</v>
      </c>
      <c r="AD35" s="4">
        <v>27252</v>
      </c>
      <c r="AE35" s="4">
        <v>11880</v>
      </c>
      <c r="AF35" s="4">
        <v>9155</v>
      </c>
      <c r="AH35" s="4">
        <f t="shared" si="12"/>
        <v>1</v>
      </c>
      <c r="AI35" s="4">
        <f t="shared" si="13"/>
        <v>1</v>
      </c>
      <c r="AJ35" s="4">
        <v>60</v>
      </c>
      <c r="AK35" s="4">
        <v>430</v>
      </c>
      <c r="AL35" s="4">
        <v>600</v>
      </c>
      <c r="AM35" s="4">
        <v>0</v>
      </c>
      <c r="AN35" s="4">
        <f t="shared" si="14"/>
        <v>5.5045871559633031E-2</v>
      </c>
      <c r="AO35" s="4">
        <f t="shared" si="15"/>
        <v>92</v>
      </c>
      <c r="AP35" s="4">
        <v>24783</v>
      </c>
      <c r="AQ35" s="4">
        <v>48861</v>
      </c>
      <c r="AR35" s="4">
        <v>28404</v>
      </c>
      <c r="AS35" s="4">
        <v>7070</v>
      </c>
      <c r="AT35" s="4">
        <v>0</v>
      </c>
      <c r="AU35" s="4">
        <v>0</v>
      </c>
      <c r="AV35" s="4">
        <v>0</v>
      </c>
      <c r="AW35" s="4">
        <v>120</v>
      </c>
      <c r="AX35" s="4" t="str">
        <f t="shared" si="16"/>
        <v>N/A</v>
      </c>
      <c r="AY35" s="4" t="str">
        <f t="shared" si="17"/>
        <v>N/A</v>
      </c>
      <c r="AZ35" s="4">
        <v>30778</v>
      </c>
      <c r="BA35" s="4">
        <v>26133</v>
      </c>
      <c r="BB35" s="4">
        <v>16139</v>
      </c>
      <c r="BC35" s="4">
        <v>0</v>
      </c>
      <c r="BD35" s="5">
        <v>9507.6137319999998</v>
      </c>
      <c r="BE35" s="5">
        <v>3327.0468139999998</v>
      </c>
      <c r="BG35" s="5">
        <f t="shared" si="18"/>
        <v>74</v>
      </c>
      <c r="BH35" s="5">
        <v>8677.536666</v>
      </c>
      <c r="BJ35" s="5">
        <v>17276.650324999999</v>
      </c>
      <c r="BK35" s="5">
        <f t="shared" si="19"/>
        <v>16</v>
      </c>
      <c r="BL35" s="5">
        <v>9108.5074749999985</v>
      </c>
      <c r="BM35" s="5">
        <v>7372.7272720000001</v>
      </c>
      <c r="BN35" s="5">
        <v>15123.484125999999</v>
      </c>
      <c r="BO35" s="5">
        <v>11008.771929</v>
      </c>
      <c r="BP35" s="5">
        <v>0</v>
      </c>
      <c r="BQ35" s="5">
        <v>28552.272727</v>
      </c>
      <c r="BR35" s="5">
        <v>9741.1953059999996</v>
      </c>
      <c r="BS35" s="5">
        <v>3330.1900734999999</v>
      </c>
      <c r="BT35" s="5">
        <v>17819.047618500001</v>
      </c>
      <c r="BU35" s="5">
        <v>11195.911189999999</v>
      </c>
      <c r="BV35" s="5">
        <v>0</v>
      </c>
      <c r="BW35" s="5">
        <v>17276.650324999999</v>
      </c>
      <c r="BX35" s="5">
        <v>49</v>
      </c>
      <c r="BY35" s="5">
        <v>13</v>
      </c>
      <c r="CA35" s="5">
        <v>2</v>
      </c>
      <c r="CC35" s="5">
        <v>3</v>
      </c>
      <c r="CD35" s="143">
        <v>0.21515913254654673</v>
      </c>
      <c r="CE35" s="143">
        <v>0.14113835406084951</v>
      </c>
      <c r="CF35" s="143">
        <v>216714102.34</v>
      </c>
      <c r="CG35" s="144">
        <v>85</v>
      </c>
      <c r="CH35" s="144">
        <v>7.1</v>
      </c>
      <c r="CI35" s="144">
        <v>2.8</v>
      </c>
      <c r="CJ35" s="144">
        <v>68.3</v>
      </c>
      <c r="CK35" s="144">
        <v>13</v>
      </c>
      <c r="CL35" s="144">
        <v>6.1</v>
      </c>
      <c r="CM35" s="144">
        <v>94.9</v>
      </c>
      <c r="CN35" s="144">
        <v>87.4</v>
      </c>
    </row>
    <row r="36" spans="1:92" x14ac:dyDescent="0.3">
      <c r="A36">
        <v>331</v>
      </c>
      <c r="B36" s="1">
        <v>-1.2803211100000001E-3</v>
      </c>
      <c r="C36" s="1">
        <v>-1.76476694E-3</v>
      </c>
      <c r="D36" s="1">
        <v>1.7027772799999999E-3</v>
      </c>
      <c r="E36" s="1">
        <v>-5.9890787299999998E-3</v>
      </c>
      <c r="F36" s="2">
        <v>6478</v>
      </c>
      <c r="G36" s="2">
        <v>2885</v>
      </c>
      <c r="H36" s="2">
        <v>50</v>
      </c>
      <c r="I36" s="2">
        <v>20</v>
      </c>
      <c r="J36" s="2">
        <v>915</v>
      </c>
      <c r="K36" s="2">
        <v>2285</v>
      </c>
      <c r="L36" s="4">
        <v>0</v>
      </c>
      <c r="M36" s="4">
        <v>2220</v>
      </c>
      <c r="N36" s="4">
        <v>30</v>
      </c>
      <c r="O36" s="4">
        <v>0</v>
      </c>
      <c r="Q36" s="4">
        <v>1680</v>
      </c>
      <c r="R36" s="4">
        <v>23731</v>
      </c>
      <c r="S36" s="4">
        <v>5111</v>
      </c>
      <c r="T36" s="4">
        <v>0</v>
      </c>
      <c r="V36" s="4">
        <f t="shared" si="10"/>
        <v>0.98666666666666669</v>
      </c>
      <c r="W36" s="4">
        <f t="shared" si="11"/>
        <v>53</v>
      </c>
      <c r="X36" s="4">
        <v>0</v>
      </c>
      <c r="Y36" s="4">
        <v>0</v>
      </c>
      <c r="Z36" s="4">
        <v>46</v>
      </c>
      <c r="AA36" s="4">
        <v>0</v>
      </c>
      <c r="AC36" s="4">
        <v>6795</v>
      </c>
      <c r="AD36" s="4">
        <v>5094</v>
      </c>
      <c r="AE36" s="4">
        <v>7593</v>
      </c>
      <c r="AF36" s="4">
        <v>2766</v>
      </c>
      <c r="AH36" s="4">
        <f t="shared" si="12"/>
        <v>0</v>
      </c>
      <c r="AI36" s="4">
        <f t="shared" si="13"/>
        <v>90</v>
      </c>
      <c r="AJ36" s="4">
        <v>150</v>
      </c>
      <c r="AK36" s="4">
        <v>1470</v>
      </c>
      <c r="AL36" s="4">
        <v>630</v>
      </c>
      <c r="AM36" s="4">
        <v>0</v>
      </c>
      <c r="AN36" s="4">
        <f t="shared" si="14"/>
        <v>6.6666666666666666E-2</v>
      </c>
      <c r="AO36" s="4">
        <f t="shared" si="15"/>
        <v>90</v>
      </c>
      <c r="AP36" s="4">
        <v>5825</v>
      </c>
      <c r="AQ36" s="4">
        <v>18746</v>
      </c>
      <c r="AR36" s="4">
        <v>5771</v>
      </c>
      <c r="AS36" s="4">
        <v>180</v>
      </c>
      <c r="AT36" s="4">
        <v>46</v>
      </c>
      <c r="AU36" s="4">
        <v>0</v>
      </c>
      <c r="AV36" s="4">
        <v>0</v>
      </c>
      <c r="AW36" s="4">
        <v>0</v>
      </c>
      <c r="AX36" s="4">
        <f t="shared" si="16"/>
        <v>1</v>
      </c>
      <c r="AY36" s="4">
        <f t="shared" si="17"/>
        <v>1</v>
      </c>
      <c r="AZ36" s="4">
        <v>7904</v>
      </c>
      <c r="BA36" s="4">
        <v>9023</v>
      </c>
      <c r="BB36" s="4">
        <v>5321</v>
      </c>
      <c r="BC36" s="4">
        <v>0</v>
      </c>
      <c r="BD36" s="5">
        <v>11427.187164000001</v>
      </c>
      <c r="BF36" s="5">
        <v>7206.0317459999997</v>
      </c>
      <c r="BG36" s="5">
        <f t="shared" si="18"/>
        <v>102</v>
      </c>
      <c r="BK36" s="5" t="str">
        <f t="shared" si="19"/>
        <v>N/A</v>
      </c>
      <c r="BL36" s="5">
        <v>8937.3521639999999</v>
      </c>
      <c r="BM36" s="5">
        <v>4962.8864950000007</v>
      </c>
      <c r="BN36" s="5">
        <v>13501.807142</v>
      </c>
      <c r="BO36" s="5">
        <v>11008.771929</v>
      </c>
      <c r="BP36" s="5">
        <v>0</v>
      </c>
      <c r="BQ36" s="5">
        <v>22877.14</v>
      </c>
      <c r="BR36" s="5">
        <v>9741.1953059999996</v>
      </c>
      <c r="BS36" s="5">
        <v>3330.1900734999999</v>
      </c>
      <c r="BT36" s="5">
        <v>17819.047618500001</v>
      </c>
      <c r="BU36" s="5">
        <v>11195.911189999999</v>
      </c>
      <c r="BV36" s="5">
        <v>0</v>
      </c>
      <c r="BW36" s="5">
        <v>17276.650324999999</v>
      </c>
      <c r="BX36" s="5">
        <v>30</v>
      </c>
      <c r="BZ36" s="5">
        <v>2</v>
      </c>
      <c r="CD36" s="143">
        <v>0.24786256809957452</v>
      </c>
      <c r="CE36" s="143">
        <v>8.3771800177357303E-2</v>
      </c>
      <c r="CF36" s="143">
        <v>48445861.100000001</v>
      </c>
      <c r="CG36" s="144">
        <v>90.1</v>
      </c>
      <c r="CH36" s="144">
        <v>6.5</v>
      </c>
      <c r="CI36" s="144">
        <v>1.5</v>
      </c>
      <c r="CJ36" s="144">
        <v>84.6</v>
      </c>
      <c r="CK36" s="144">
        <v>8.1</v>
      </c>
      <c r="CL36" s="144">
        <v>2.8</v>
      </c>
      <c r="CM36" s="144">
        <v>98.1</v>
      </c>
      <c r="CN36" s="144">
        <v>95.6</v>
      </c>
    </row>
    <row r="37" spans="1:92" x14ac:dyDescent="0.3">
      <c r="A37">
        <v>332</v>
      </c>
      <c r="B37" s="1">
        <v>-1.9989848899999999E-2</v>
      </c>
      <c r="C37" s="1">
        <v>3.9433100300000001E-3</v>
      </c>
      <c r="D37" s="1">
        <v>8.3502811339999997E-2</v>
      </c>
      <c r="E37" s="1">
        <v>4.486182557E-2</v>
      </c>
      <c r="F37" s="2">
        <v>33</v>
      </c>
      <c r="G37" s="2">
        <v>88</v>
      </c>
      <c r="H37" s="2">
        <v>130</v>
      </c>
      <c r="I37" s="2">
        <v>90</v>
      </c>
      <c r="J37" s="2">
        <v>915</v>
      </c>
      <c r="K37" s="2">
        <v>0</v>
      </c>
      <c r="L37" s="4">
        <v>0</v>
      </c>
      <c r="M37" s="4">
        <v>0</v>
      </c>
      <c r="N37" s="4">
        <v>0</v>
      </c>
      <c r="O37" s="4">
        <v>38</v>
      </c>
      <c r="Q37" s="4">
        <v>2188</v>
      </c>
      <c r="R37" s="4">
        <v>21571</v>
      </c>
      <c r="S37" s="4">
        <v>2667</v>
      </c>
      <c r="T37" s="4">
        <v>1115</v>
      </c>
      <c r="V37" s="4">
        <f t="shared" si="10"/>
        <v>0</v>
      </c>
      <c r="W37" s="4">
        <f t="shared" si="11"/>
        <v>140</v>
      </c>
      <c r="X37" s="4">
        <v>0</v>
      </c>
      <c r="Y37" s="4">
        <v>0</v>
      </c>
      <c r="Z37" s="4">
        <v>35</v>
      </c>
      <c r="AA37" s="4">
        <v>0</v>
      </c>
      <c r="AC37" s="4">
        <v>3396</v>
      </c>
      <c r="AD37" s="4">
        <v>8158</v>
      </c>
      <c r="AE37" s="4">
        <v>7212</v>
      </c>
      <c r="AF37" s="4">
        <v>1210</v>
      </c>
      <c r="AH37" s="4">
        <f t="shared" si="12"/>
        <v>0</v>
      </c>
      <c r="AI37" s="4">
        <f t="shared" si="13"/>
        <v>90</v>
      </c>
      <c r="AJ37" s="4">
        <v>0</v>
      </c>
      <c r="AK37" s="4">
        <v>0</v>
      </c>
      <c r="AL37" s="4">
        <v>38</v>
      </c>
      <c r="AM37" s="4">
        <v>0</v>
      </c>
      <c r="AN37" s="4">
        <f t="shared" si="14"/>
        <v>0</v>
      </c>
      <c r="AO37" s="4">
        <f t="shared" si="15"/>
        <v>100</v>
      </c>
      <c r="AP37" s="4">
        <v>2866</v>
      </c>
      <c r="AQ37" s="4">
        <v>16359</v>
      </c>
      <c r="AR37" s="4">
        <v>8316</v>
      </c>
      <c r="AS37" s="4">
        <v>0</v>
      </c>
      <c r="AU37" s="4">
        <v>0</v>
      </c>
      <c r="AV37" s="4">
        <v>35</v>
      </c>
      <c r="AW37" s="4">
        <v>0</v>
      </c>
      <c r="AX37" s="4">
        <f t="shared" si="16"/>
        <v>0</v>
      </c>
      <c r="AY37" s="4">
        <f t="shared" si="17"/>
        <v>73</v>
      </c>
      <c r="BA37" s="4">
        <v>8604</v>
      </c>
      <c r="BB37" s="4">
        <v>11372</v>
      </c>
      <c r="BC37" s="4">
        <v>0</v>
      </c>
      <c r="BD37" s="5">
        <v>5904.4503100000002</v>
      </c>
      <c r="BG37" s="5">
        <f t="shared" si="18"/>
        <v>21</v>
      </c>
      <c r="BK37" s="5" t="str">
        <f t="shared" si="19"/>
        <v>N/A</v>
      </c>
      <c r="BL37" s="5">
        <v>9425.3244004999997</v>
      </c>
      <c r="BM37" s="5">
        <v>5487.1794870000003</v>
      </c>
      <c r="BN37" s="5">
        <v>17834.569641499998</v>
      </c>
      <c r="BO37" s="5">
        <v>4444.4444439999997</v>
      </c>
      <c r="BP37" s="5">
        <v>0</v>
      </c>
      <c r="BQ37" s="5">
        <v>22877.14</v>
      </c>
      <c r="BR37" s="5">
        <v>9741.1953059999996</v>
      </c>
      <c r="BS37" s="5">
        <v>3330.1900734999999</v>
      </c>
      <c r="BT37" s="5">
        <v>17819.047618500001</v>
      </c>
      <c r="BU37" s="5">
        <v>11195.911189999999</v>
      </c>
      <c r="BV37" s="5">
        <v>0</v>
      </c>
      <c r="BW37" s="5">
        <v>17276.650324999999</v>
      </c>
      <c r="BX37" s="5">
        <v>4</v>
      </c>
      <c r="CD37" s="143">
        <v>0.10414708886618995</v>
      </c>
      <c r="CE37" s="143">
        <v>-9.5302361796003154E-2</v>
      </c>
      <c r="CF37" s="143">
        <v>23762767.969999999</v>
      </c>
      <c r="CG37" s="144">
        <v>89.5</v>
      </c>
      <c r="CH37" s="144">
        <v>5.6</v>
      </c>
      <c r="CI37" s="144">
        <v>1.8</v>
      </c>
      <c r="CJ37" s="144">
        <v>84.3</v>
      </c>
      <c r="CK37" s="144">
        <v>9.1</v>
      </c>
      <c r="CL37" s="144">
        <v>2.2000000000000002</v>
      </c>
      <c r="CM37" s="144">
        <v>96.9</v>
      </c>
      <c r="CN37" s="144">
        <v>95.6</v>
      </c>
    </row>
    <row r="38" spans="1:92" x14ac:dyDescent="0.3">
      <c r="A38">
        <v>333</v>
      </c>
      <c r="B38" s="1">
        <v>-1.6459147800000001E-2</v>
      </c>
      <c r="C38" s="1">
        <v>-1.7411872900000001E-3</v>
      </c>
      <c r="D38" s="1">
        <v>-1.1658687690000001E-2</v>
      </c>
      <c r="E38" s="1">
        <v>-3.8299070600000002E-3</v>
      </c>
      <c r="F38" s="2">
        <v>3001</v>
      </c>
      <c r="G38" s="2">
        <v>1067</v>
      </c>
      <c r="H38" s="2">
        <v>420</v>
      </c>
      <c r="I38" s="2">
        <v>140</v>
      </c>
      <c r="J38" s="2">
        <v>1541</v>
      </c>
      <c r="K38" s="2">
        <v>1450</v>
      </c>
      <c r="L38" s="4">
        <v>90</v>
      </c>
      <c r="M38" s="4">
        <v>666</v>
      </c>
      <c r="N38" s="4">
        <v>30</v>
      </c>
      <c r="O38" s="4">
        <v>31</v>
      </c>
      <c r="Q38" s="4">
        <v>5272</v>
      </c>
      <c r="R38" s="4">
        <v>20705</v>
      </c>
      <c r="S38" s="4">
        <v>4922</v>
      </c>
      <c r="T38" s="4">
        <v>330</v>
      </c>
      <c r="V38" s="4">
        <f t="shared" si="10"/>
        <v>0.92533659730722151</v>
      </c>
      <c r="W38" s="4">
        <f t="shared" si="11"/>
        <v>65</v>
      </c>
      <c r="X38" s="4">
        <v>0</v>
      </c>
      <c r="Y38" s="4">
        <v>394</v>
      </c>
      <c r="Z38" s="4">
        <v>78</v>
      </c>
      <c r="AA38" s="4">
        <v>0</v>
      </c>
      <c r="AC38" s="4">
        <v>3990</v>
      </c>
      <c r="AD38" s="4">
        <v>7940</v>
      </c>
      <c r="AE38" s="4">
        <v>7850</v>
      </c>
      <c r="AF38" s="4">
        <v>1438</v>
      </c>
      <c r="AH38" s="4">
        <f t="shared" si="12"/>
        <v>0.8347457627118644</v>
      </c>
      <c r="AI38" s="4">
        <f t="shared" si="13"/>
        <v>72</v>
      </c>
      <c r="AJ38" s="4">
        <v>459</v>
      </c>
      <c r="AK38" s="4">
        <v>208</v>
      </c>
      <c r="AL38" s="4">
        <v>30</v>
      </c>
      <c r="AM38" s="4">
        <v>120</v>
      </c>
      <c r="AN38" s="4">
        <f t="shared" si="14"/>
        <v>0.65853658536585369</v>
      </c>
      <c r="AO38" s="4">
        <f t="shared" si="15"/>
        <v>12</v>
      </c>
      <c r="AP38" s="4">
        <v>8988</v>
      </c>
      <c r="AQ38" s="4">
        <v>14769</v>
      </c>
      <c r="AR38" s="4">
        <v>5524</v>
      </c>
      <c r="AS38" s="4">
        <v>1948</v>
      </c>
      <c r="AT38" s="4">
        <v>394</v>
      </c>
      <c r="AU38" s="4">
        <v>78</v>
      </c>
      <c r="AV38" s="4">
        <v>0</v>
      </c>
      <c r="AW38" s="4">
        <v>0</v>
      </c>
      <c r="AX38" s="4">
        <f t="shared" si="16"/>
        <v>0.8347457627118644</v>
      </c>
      <c r="AY38" s="4">
        <f t="shared" si="17"/>
        <v>33</v>
      </c>
      <c r="AZ38" s="4">
        <v>2300</v>
      </c>
      <c r="BA38" s="4">
        <v>11977</v>
      </c>
      <c r="BB38" s="4">
        <v>6941</v>
      </c>
      <c r="BC38" s="4">
        <v>0</v>
      </c>
      <c r="BD38" s="5">
        <v>9640.3439149999995</v>
      </c>
      <c r="BE38" s="5">
        <v>7651.1111110000002</v>
      </c>
      <c r="BF38" s="5">
        <v>15771.428571</v>
      </c>
      <c r="BG38" s="5">
        <f t="shared" si="18"/>
        <v>77</v>
      </c>
      <c r="BK38" s="5" t="str">
        <f t="shared" si="19"/>
        <v>N/A</v>
      </c>
      <c r="BL38" s="5">
        <v>8937.0238085000001</v>
      </c>
      <c r="BM38" s="5">
        <v>3327.0468139999998</v>
      </c>
      <c r="BN38" s="5">
        <v>13543.155000000001</v>
      </c>
      <c r="BO38" s="5">
        <v>10201.958284</v>
      </c>
      <c r="BP38" s="5">
        <v>0</v>
      </c>
      <c r="BQ38" s="5">
        <v>20217.2726625</v>
      </c>
      <c r="BR38" s="5">
        <v>9741.1953059999996</v>
      </c>
      <c r="BS38" s="5">
        <v>3330.1900734999999</v>
      </c>
      <c r="BT38" s="5">
        <v>17819.047618500001</v>
      </c>
      <c r="BU38" s="5">
        <v>11195.911189999999</v>
      </c>
      <c r="BV38" s="5">
        <v>0</v>
      </c>
      <c r="BW38" s="5">
        <v>17276.650324999999</v>
      </c>
      <c r="BX38" s="5">
        <v>15</v>
      </c>
      <c r="BY38" s="5">
        <v>3</v>
      </c>
      <c r="BZ38" s="5">
        <v>1</v>
      </c>
      <c r="CD38" s="143">
        <v>0.26863968350578205</v>
      </c>
      <c r="CE38" s="143">
        <v>0.476605504587156</v>
      </c>
      <c r="CF38" s="143">
        <v>80736271.629999995</v>
      </c>
      <c r="CG38" s="144">
        <v>90.8</v>
      </c>
      <c r="CH38" s="144">
        <v>4.5999999999999996</v>
      </c>
      <c r="CI38" s="144">
        <v>1.5</v>
      </c>
      <c r="CJ38" s="144">
        <v>75</v>
      </c>
      <c r="CK38" s="144">
        <v>10.6</v>
      </c>
      <c r="CL38" s="144">
        <v>4.7</v>
      </c>
      <c r="CM38" s="144">
        <v>96.8</v>
      </c>
      <c r="CN38" s="144">
        <v>90.3</v>
      </c>
    </row>
    <row r="39" spans="1:92" x14ac:dyDescent="0.3">
      <c r="A39">
        <v>334</v>
      </c>
      <c r="B39" s="1">
        <v>6.7065735499999999E-3</v>
      </c>
      <c r="C39" s="1">
        <v>6.7065735499999999E-3</v>
      </c>
      <c r="D39" s="1">
        <v>2.244817113E-2</v>
      </c>
      <c r="E39" s="1">
        <v>1.7100224479999999E-2</v>
      </c>
      <c r="F39" s="2">
        <v>0</v>
      </c>
      <c r="G39" s="2">
        <v>341</v>
      </c>
      <c r="H39" s="2">
        <v>180</v>
      </c>
      <c r="I39" s="2">
        <v>20</v>
      </c>
      <c r="J39" s="2">
        <v>810</v>
      </c>
      <c r="K39" s="2">
        <v>150</v>
      </c>
      <c r="L39" s="4">
        <v>0</v>
      </c>
      <c r="M39" s="4">
        <v>120</v>
      </c>
      <c r="N39" s="4">
        <v>0</v>
      </c>
      <c r="O39" s="4">
        <v>0</v>
      </c>
      <c r="P39" s="4">
        <v>0</v>
      </c>
      <c r="Q39" s="4">
        <v>5697</v>
      </c>
      <c r="R39" s="4">
        <v>10240</v>
      </c>
      <c r="S39" s="4">
        <v>2010</v>
      </c>
      <c r="T39" s="4">
        <v>180</v>
      </c>
      <c r="U39" s="4">
        <v>630</v>
      </c>
      <c r="V39" s="4">
        <f t="shared" si="10"/>
        <v>1</v>
      </c>
      <c r="W39" s="4">
        <f t="shared" si="11"/>
        <v>1</v>
      </c>
      <c r="X39" s="4">
        <v>0</v>
      </c>
      <c r="Y39" s="4">
        <v>0</v>
      </c>
      <c r="Z39" s="4">
        <v>0</v>
      </c>
      <c r="AA39" s="4">
        <v>0</v>
      </c>
      <c r="AB39" s="4">
        <v>0</v>
      </c>
      <c r="AC39" s="4">
        <v>5603</v>
      </c>
      <c r="AD39" s="4">
        <v>8894</v>
      </c>
      <c r="AE39" s="4">
        <v>1350</v>
      </c>
      <c r="AF39" s="4">
        <v>2780</v>
      </c>
      <c r="AG39" s="4">
        <v>0</v>
      </c>
      <c r="AH39" s="4" t="str">
        <f t="shared" si="12"/>
        <v>N/A</v>
      </c>
      <c r="AI39" s="4" t="str">
        <f t="shared" si="13"/>
        <v>N/A</v>
      </c>
      <c r="AJ39" s="4">
        <v>0</v>
      </c>
      <c r="AK39" s="4">
        <v>30</v>
      </c>
      <c r="AL39" s="4">
        <v>90</v>
      </c>
      <c r="AM39" s="4">
        <v>0</v>
      </c>
      <c r="AN39" s="4">
        <f t="shared" si="14"/>
        <v>0</v>
      </c>
      <c r="AO39" s="4">
        <f t="shared" si="15"/>
        <v>100</v>
      </c>
      <c r="AP39" s="4">
        <v>1864</v>
      </c>
      <c r="AQ39" s="4">
        <v>7968</v>
      </c>
      <c r="AR39" s="4">
        <v>6735</v>
      </c>
      <c r="AS39" s="4">
        <v>2190</v>
      </c>
      <c r="AT39" s="4">
        <v>0</v>
      </c>
      <c r="AU39" s="4">
        <v>0</v>
      </c>
      <c r="AV39" s="4">
        <v>0</v>
      </c>
      <c r="AW39" s="4">
        <v>0</v>
      </c>
      <c r="AX39" s="4" t="str">
        <f t="shared" si="16"/>
        <v>N/A</v>
      </c>
      <c r="AY39" s="4" t="str">
        <f t="shared" si="17"/>
        <v>N/A</v>
      </c>
      <c r="AZ39" s="4">
        <v>5487</v>
      </c>
      <c r="BA39" s="4">
        <v>6060</v>
      </c>
      <c r="BB39" s="4">
        <v>7080</v>
      </c>
      <c r="BC39" s="4">
        <v>0</v>
      </c>
      <c r="BD39" s="5">
        <v>5666.6666660000001</v>
      </c>
      <c r="BE39" s="5">
        <v>6833.3333329999996</v>
      </c>
      <c r="BG39" s="5">
        <f t="shared" si="18"/>
        <v>17</v>
      </c>
      <c r="BK39" s="5" t="str">
        <f t="shared" si="19"/>
        <v>N/A</v>
      </c>
      <c r="BL39" s="5">
        <v>9731.841399500001</v>
      </c>
      <c r="BM39" s="5">
        <v>3820.5902274999999</v>
      </c>
      <c r="BN39" s="5">
        <v>16013.935952</v>
      </c>
      <c r="BO39" s="5">
        <v>12819.774294000001</v>
      </c>
      <c r="BP39" s="5">
        <v>0</v>
      </c>
      <c r="BQ39" s="5">
        <v>0</v>
      </c>
      <c r="BR39" s="5">
        <v>9741.1953059999996</v>
      </c>
      <c r="BS39" s="5">
        <v>3330.1900734999999</v>
      </c>
      <c r="BT39" s="5">
        <v>17819.047618500001</v>
      </c>
      <c r="BU39" s="5">
        <v>11195.911189999999</v>
      </c>
      <c r="BV39" s="5">
        <v>0</v>
      </c>
      <c r="BW39" s="5">
        <v>17276.650324999999</v>
      </c>
      <c r="BX39" s="5">
        <v>1</v>
      </c>
      <c r="BY39" s="5">
        <v>3</v>
      </c>
      <c r="CD39" s="143">
        <v>0.11771247951299468</v>
      </c>
      <c r="CE39" s="143">
        <v>0.29931807111544084</v>
      </c>
      <c r="CF39" s="143">
        <v>24592459.889999997</v>
      </c>
      <c r="CG39" s="144">
        <v>87.4</v>
      </c>
      <c r="CH39" s="144">
        <v>6.1</v>
      </c>
      <c r="CI39" s="144">
        <v>1.8</v>
      </c>
      <c r="CJ39" s="144">
        <v>81.599999999999994</v>
      </c>
      <c r="CK39" s="144">
        <v>9.6999999999999993</v>
      </c>
      <c r="CL39" s="144">
        <v>3.8</v>
      </c>
      <c r="CM39" s="144">
        <v>95.3</v>
      </c>
      <c r="CN39" s="144">
        <v>95</v>
      </c>
    </row>
    <row r="40" spans="1:92" x14ac:dyDescent="0.3">
      <c r="A40">
        <v>335</v>
      </c>
      <c r="B40" s="1">
        <v>-1.810848961E-2</v>
      </c>
      <c r="C40" s="1">
        <v>-2.173825368E-2</v>
      </c>
      <c r="D40" s="1">
        <v>-5.9982862000000003E-3</v>
      </c>
      <c r="E40" s="1">
        <v>-1.0527604350000001E-2</v>
      </c>
      <c r="F40" s="2">
        <v>1063</v>
      </c>
      <c r="G40" s="2">
        <v>0</v>
      </c>
      <c r="H40" s="2">
        <v>830</v>
      </c>
      <c r="I40" s="2">
        <v>170</v>
      </c>
      <c r="J40" s="2">
        <v>810</v>
      </c>
      <c r="K40" s="2">
        <v>230</v>
      </c>
      <c r="L40" s="4">
        <v>0</v>
      </c>
      <c r="M40" s="4">
        <v>27</v>
      </c>
      <c r="N40" s="4">
        <v>180</v>
      </c>
      <c r="O40" s="4">
        <v>0</v>
      </c>
      <c r="Q40" s="4">
        <v>3495</v>
      </c>
      <c r="R40" s="4">
        <v>14256</v>
      </c>
      <c r="S40" s="4">
        <v>5841</v>
      </c>
      <c r="T40" s="4">
        <v>2250</v>
      </c>
      <c r="V40" s="4">
        <f t="shared" si="10"/>
        <v>0.13043478260869565</v>
      </c>
      <c r="W40" s="4">
        <f t="shared" si="11"/>
        <v>139</v>
      </c>
      <c r="X40" s="4">
        <v>0</v>
      </c>
      <c r="Y40" s="4">
        <v>0</v>
      </c>
      <c r="Z40" s="4">
        <v>0</v>
      </c>
      <c r="AA40" s="4">
        <v>0</v>
      </c>
      <c r="AC40" s="4">
        <v>4429</v>
      </c>
      <c r="AD40" s="4">
        <v>10208</v>
      </c>
      <c r="AE40" s="4">
        <v>5479</v>
      </c>
      <c r="AF40" s="4">
        <v>2128</v>
      </c>
      <c r="AH40" s="4" t="str">
        <f t="shared" si="12"/>
        <v>N/A</v>
      </c>
      <c r="AI40" s="4" t="str">
        <f t="shared" si="13"/>
        <v>N/A</v>
      </c>
      <c r="AJ40" s="4">
        <v>0</v>
      </c>
      <c r="AK40" s="4">
        <v>27</v>
      </c>
      <c r="AL40" s="4">
        <v>180</v>
      </c>
      <c r="AM40" s="4">
        <v>0</v>
      </c>
      <c r="AN40" s="4">
        <f t="shared" si="14"/>
        <v>0</v>
      </c>
      <c r="AO40" s="4">
        <f t="shared" si="15"/>
        <v>100</v>
      </c>
      <c r="AP40" s="4">
        <v>1607</v>
      </c>
      <c r="AQ40" s="4">
        <v>13401</v>
      </c>
      <c r="AR40" s="4">
        <v>8589</v>
      </c>
      <c r="AS40" s="4">
        <v>2245</v>
      </c>
      <c r="AT40" s="4">
        <v>0</v>
      </c>
      <c r="AU40" s="4">
        <v>0</v>
      </c>
      <c r="AV40" s="4">
        <v>0</v>
      </c>
      <c r="AW40" s="4">
        <v>0</v>
      </c>
      <c r="AX40" s="4" t="str">
        <f t="shared" si="16"/>
        <v>N/A</v>
      </c>
      <c r="AY40" s="4" t="str">
        <f t="shared" si="17"/>
        <v>N/A</v>
      </c>
      <c r="AZ40" s="4">
        <v>2296</v>
      </c>
      <c r="BA40" s="4">
        <v>9166</v>
      </c>
      <c r="BB40" s="4">
        <v>10782</v>
      </c>
      <c r="BC40" s="4">
        <v>0</v>
      </c>
      <c r="BD40" s="5">
        <v>8289.6393929999995</v>
      </c>
      <c r="BG40" s="5">
        <f t="shared" si="18"/>
        <v>58</v>
      </c>
      <c r="BK40" s="5" t="str">
        <f t="shared" si="19"/>
        <v>N/A</v>
      </c>
      <c r="BL40" s="5">
        <v>8419.9670509999996</v>
      </c>
      <c r="BM40" s="5">
        <v>4340.5333330000003</v>
      </c>
      <c r="BN40" s="5">
        <v>17086.310000000001</v>
      </c>
      <c r="BO40" s="5">
        <v>10605.365106500001</v>
      </c>
      <c r="BP40" s="5">
        <v>0</v>
      </c>
      <c r="BQ40" s="5">
        <v>23017.517500000002</v>
      </c>
      <c r="BR40" s="5">
        <v>9741.1953059999996</v>
      </c>
      <c r="BS40" s="5">
        <v>3330.1900734999999</v>
      </c>
      <c r="BT40" s="5">
        <v>17819.047618500001</v>
      </c>
      <c r="BU40" s="5">
        <v>11195.911189999999</v>
      </c>
      <c r="BV40" s="5">
        <v>0</v>
      </c>
      <c r="BW40" s="5">
        <v>17276.650324999999</v>
      </c>
      <c r="BX40" s="5">
        <v>2</v>
      </c>
      <c r="CD40" s="143">
        <v>0.18667078062326437</v>
      </c>
      <c r="CE40" s="143">
        <v>0.17647458087287049</v>
      </c>
      <c r="CF40" s="143">
        <v>41792401.350000001</v>
      </c>
      <c r="CG40" s="144">
        <v>89.6</v>
      </c>
      <c r="CH40" s="144">
        <v>5.3</v>
      </c>
      <c r="CI40" s="144">
        <v>1.1000000000000001</v>
      </c>
      <c r="CJ40" s="144">
        <v>77.599999999999994</v>
      </c>
      <c r="CK40" s="144">
        <v>11.7</v>
      </c>
      <c r="CL40" s="144">
        <v>3.8</v>
      </c>
      <c r="CM40" s="144">
        <v>96</v>
      </c>
      <c r="CN40" s="144">
        <v>93.1</v>
      </c>
    </row>
    <row r="41" spans="1:92" x14ac:dyDescent="0.3">
      <c r="A41">
        <v>336</v>
      </c>
      <c r="B41" s="1">
        <v>-2.349197435E-2</v>
      </c>
      <c r="C41" s="1">
        <v>3.3693668300000001E-3</v>
      </c>
      <c r="D41" s="1">
        <v>-8.9406881099999991E-3</v>
      </c>
      <c r="E41" s="1">
        <v>2.0755168799999999E-3</v>
      </c>
      <c r="F41" s="2">
        <v>1092</v>
      </c>
      <c r="G41" s="2">
        <v>324</v>
      </c>
      <c r="H41" s="2">
        <v>370</v>
      </c>
      <c r="I41" s="2">
        <v>0</v>
      </c>
      <c r="J41" s="2">
        <v>915</v>
      </c>
      <c r="K41" s="2">
        <v>660</v>
      </c>
      <c r="L41" s="4">
        <v>0</v>
      </c>
      <c r="M41" s="4">
        <v>535</v>
      </c>
      <c r="N41" s="4">
        <v>191</v>
      </c>
      <c r="O41" s="4">
        <v>51</v>
      </c>
      <c r="Q41" s="4">
        <v>1900</v>
      </c>
      <c r="R41" s="4">
        <v>13975</v>
      </c>
      <c r="S41" s="4">
        <v>5003</v>
      </c>
      <c r="T41" s="4">
        <v>665</v>
      </c>
      <c r="V41" s="4">
        <f t="shared" si="10"/>
        <v>0.68854568854568854</v>
      </c>
      <c r="W41" s="4">
        <f t="shared" si="11"/>
        <v>114</v>
      </c>
      <c r="X41" s="4">
        <v>0</v>
      </c>
      <c r="Y41" s="4">
        <v>346</v>
      </c>
      <c r="Z41" s="4">
        <v>34</v>
      </c>
      <c r="AA41" s="4">
        <v>0</v>
      </c>
      <c r="AC41" s="4">
        <v>3319</v>
      </c>
      <c r="AD41" s="4">
        <v>9210</v>
      </c>
      <c r="AE41" s="4">
        <v>3399</v>
      </c>
      <c r="AF41" s="4">
        <v>805</v>
      </c>
      <c r="AH41" s="4">
        <f t="shared" si="12"/>
        <v>0.91052631578947374</v>
      </c>
      <c r="AI41" s="4">
        <f t="shared" si="13"/>
        <v>66</v>
      </c>
      <c r="AJ41" s="4">
        <v>493</v>
      </c>
      <c r="AK41" s="4">
        <v>284</v>
      </c>
      <c r="AL41" s="4">
        <v>0</v>
      </c>
      <c r="AM41" s="4">
        <v>0</v>
      </c>
      <c r="AN41" s="4">
        <f t="shared" si="14"/>
        <v>0.63449163449163448</v>
      </c>
      <c r="AO41" s="4">
        <f t="shared" si="15"/>
        <v>14</v>
      </c>
      <c r="AP41" s="4">
        <v>8205</v>
      </c>
      <c r="AQ41" s="4">
        <v>8964</v>
      </c>
      <c r="AR41" s="4">
        <v>3317</v>
      </c>
      <c r="AS41" s="4">
        <v>1057</v>
      </c>
      <c r="AT41" s="4">
        <v>0</v>
      </c>
      <c r="AU41" s="4">
        <v>78</v>
      </c>
      <c r="AV41" s="4">
        <v>302</v>
      </c>
      <c r="AW41" s="4">
        <v>0</v>
      </c>
      <c r="AX41" s="4">
        <f t="shared" si="16"/>
        <v>0</v>
      </c>
      <c r="AY41" s="4">
        <f t="shared" si="17"/>
        <v>73</v>
      </c>
      <c r="AZ41" s="4">
        <v>5598</v>
      </c>
      <c r="BA41" s="4">
        <v>3128</v>
      </c>
      <c r="BB41" s="4">
        <v>8007</v>
      </c>
      <c r="BC41" s="4">
        <v>0</v>
      </c>
      <c r="BD41" s="5">
        <v>14894.049424999999</v>
      </c>
      <c r="BF41" s="5">
        <v>34733.132743000002</v>
      </c>
      <c r="BG41" s="5">
        <f t="shared" si="18"/>
        <v>128</v>
      </c>
      <c r="BK41" s="5" t="str">
        <f t="shared" si="19"/>
        <v>N/A</v>
      </c>
      <c r="BL41" s="5">
        <v>9546.3393335000001</v>
      </c>
      <c r="BM41" s="5">
        <v>3327.0468139999998</v>
      </c>
      <c r="BN41" s="5">
        <v>13501.807142</v>
      </c>
      <c r="BO41" s="5">
        <v>10605.365106500001</v>
      </c>
      <c r="BP41" s="5">
        <v>0</v>
      </c>
      <c r="BQ41" s="5">
        <v>21896.833331999998</v>
      </c>
      <c r="BR41" s="5">
        <v>9741.1953059999996</v>
      </c>
      <c r="BS41" s="5">
        <v>3330.1900734999999</v>
      </c>
      <c r="BT41" s="5">
        <v>17819.047618500001</v>
      </c>
      <c r="BU41" s="5">
        <v>11195.911189999999</v>
      </c>
      <c r="BV41" s="5">
        <v>0</v>
      </c>
      <c r="BW41" s="5">
        <v>17276.650324999999</v>
      </c>
      <c r="BX41" s="5">
        <v>5</v>
      </c>
      <c r="BZ41" s="5">
        <v>1</v>
      </c>
      <c r="CD41" s="143">
        <v>0.21438256153525237</v>
      </c>
      <c r="CE41" s="143">
        <v>0.1326124075128059</v>
      </c>
      <c r="CF41" s="143">
        <v>22446886.620000001</v>
      </c>
      <c r="CG41" s="144">
        <v>88.9</v>
      </c>
      <c r="CH41" s="144">
        <v>6.5</v>
      </c>
      <c r="CI41" s="144">
        <v>1.4</v>
      </c>
      <c r="CJ41" s="144">
        <v>82.6</v>
      </c>
      <c r="CK41" s="144">
        <v>8.9</v>
      </c>
      <c r="CL41" s="144">
        <v>3.3</v>
      </c>
      <c r="CM41" s="144">
        <v>96.7</v>
      </c>
      <c r="CN41" s="144">
        <v>94.8</v>
      </c>
    </row>
    <row r="42" spans="1:92" x14ac:dyDescent="0.3">
      <c r="A42">
        <v>340</v>
      </c>
      <c r="B42" s="1">
        <v>-9.6758586999999997E-4</v>
      </c>
      <c r="C42" s="1">
        <v>-2.5802289899999999E-3</v>
      </c>
      <c r="D42" s="1">
        <v>0.10473484848</v>
      </c>
      <c r="E42" s="1">
        <v>2.765151515E-2</v>
      </c>
      <c r="F42" s="2">
        <v>0</v>
      </c>
      <c r="G42" s="2">
        <v>0</v>
      </c>
      <c r="H42" s="2">
        <v>0</v>
      </c>
      <c r="I42" s="2">
        <v>0</v>
      </c>
      <c r="J42" s="2">
        <v>0</v>
      </c>
      <c r="K42" s="2">
        <v>0</v>
      </c>
      <c r="L42" s="4">
        <v>0</v>
      </c>
      <c r="M42" s="4">
        <v>0</v>
      </c>
      <c r="N42" s="4">
        <v>0</v>
      </c>
      <c r="O42" s="4">
        <v>0</v>
      </c>
      <c r="Q42" s="4">
        <v>1684</v>
      </c>
      <c r="R42" s="4">
        <v>10820</v>
      </c>
      <c r="S42" s="4">
        <v>1185</v>
      </c>
      <c r="T42" s="4">
        <v>0</v>
      </c>
      <c r="V42" s="4" t="str">
        <f t="shared" si="10"/>
        <v>N/A</v>
      </c>
      <c r="W42" s="4" t="str">
        <f t="shared" si="11"/>
        <v>N/A</v>
      </c>
      <c r="X42" s="4">
        <v>0</v>
      </c>
      <c r="Y42" s="4">
        <v>0</v>
      </c>
      <c r="Z42" s="4">
        <v>0</v>
      </c>
      <c r="AA42" s="4">
        <v>0</v>
      </c>
      <c r="AC42" s="4">
        <v>0</v>
      </c>
      <c r="AD42" s="4">
        <v>0</v>
      </c>
      <c r="AE42" s="4">
        <v>3450</v>
      </c>
      <c r="AF42" s="4">
        <v>2522</v>
      </c>
      <c r="AH42" s="4" t="str">
        <f t="shared" si="12"/>
        <v>N/A</v>
      </c>
      <c r="AI42" s="4" t="str">
        <f t="shared" si="13"/>
        <v>N/A</v>
      </c>
      <c r="AJ42" s="4">
        <v>0</v>
      </c>
      <c r="AK42" s="4">
        <v>0</v>
      </c>
      <c r="AL42" s="4">
        <v>0</v>
      </c>
      <c r="AM42" s="4">
        <v>0</v>
      </c>
      <c r="AN42" s="4" t="str">
        <f t="shared" si="14"/>
        <v>N/A</v>
      </c>
      <c r="AO42" s="4" t="str">
        <f t="shared" si="15"/>
        <v>N/A</v>
      </c>
      <c r="AP42" s="4">
        <v>4337</v>
      </c>
      <c r="AQ42" s="4">
        <v>7083</v>
      </c>
      <c r="AR42" s="4">
        <v>1909</v>
      </c>
      <c r="AS42" s="4">
        <v>360</v>
      </c>
      <c r="AV42" s="4">
        <v>0</v>
      </c>
      <c r="AW42" s="4">
        <v>0</v>
      </c>
      <c r="AX42" s="4" t="str">
        <f t="shared" si="16"/>
        <v>N/A</v>
      </c>
      <c r="AY42" s="4" t="str">
        <f t="shared" si="17"/>
        <v>N/A</v>
      </c>
      <c r="BB42" s="4">
        <v>5972</v>
      </c>
      <c r="BC42" s="4">
        <v>0</v>
      </c>
      <c r="BD42" s="5">
        <v>4902.5</v>
      </c>
      <c r="BG42" s="5">
        <f t="shared" si="18"/>
        <v>11</v>
      </c>
      <c r="BH42" s="5">
        <v>11808.333333</v>
      </c>
      <c r="BK42" s="5">
        <f t="shared" si="19"/>
        <v>23</v>
      </c>
      <c r="BL42" s="5">
        <v>6463.7354104999995</v>
      </c>
      <c r="BM42" s="5">
        <v>3773.4487174999999</v>
      </c>
      <c r="BN42" s="5">
        <v>3248.4145015000004</v>
      </c>
      <c r="BO42" s="5">
        <v>14428.571427999999</v>
      </c>
      <c r="BP42" s="5">
        <v>0</v>
      </c>
      <c r="BQ42" s="5">
        <v>0</v>
      </c>
      <c r="BR42" s="5">
        <v>8841.4634729999998</v>
      </c>
      <c r="BS42" s="5">
        <v>4134.5523805000003</v>
      </c>
      <c r="BT42" s="5">
        <v>8932.2095234999997</v>
      </c>
      <c r="BU42" s="5">
        <v>12154.166666500001</v>
      </c>
      <c r="BV42" s="5">
        <v>0</v>
      </c>
      <c r="BW42" s="5">
        <v>22877.14</v>
      </c>
      <c r="BX42" s="5">
        <v>2</v>
      </c>
      <c r="CA42" s="5">
        <v>1</v>
      </c>
      <c r="CD42" s="143">
        <v>4.1195409890200541E-2</v>
      </c>
      <c r="CE42" s="143">
        <v>-0.27491029533535749</v>
      </c>
      <c r="CF42" s="143">
        <v>2412898.8600000003</v>
      </c>
      <c r="CG42" s="144">
        <v>89.8</v>
      </c>
      <c r="CH42" s="144">
        <v>4.5</v>
      </c>
      <c r="CI42" s="144">
        <v>1.8</v>
      </c>
      <c r="CJ42" s="144">
        <v>84.4</v>
      </c>
      <c r="CK42" s="144">
        <v>10</v>
      </c>
      <c r="CL42" s="144">
        <v>2.6</v>
      </c>
      <c r="CM42" s="144">
        <v>96</v>
      </c>
      <c r="CN42" s="144">
        <v>97</v>
      </c>
    </row>
    <row r="43" spans="1:92" x14ac:dyDescent="0.3">
      <c r="A43">
        <v>341</v>
      </c>
      <c r="B43" s="1">
        <v>3.3167009E-3</v>
      </c>
      <c r="C43" s="1">
        <v>3.7863222700000002E-3</v>
      </c>
      <c r="D43" s="1">
        <v>-1.8445890610000001E-2</v>
      </c>
      <c r="E43" s="1">
        <v>2.4996767600000002E-3</v>
      </c>
      <c r="F43" s="2">
        <v>1546</v>
      </c>
      <c r="G43" s="2">
        <v>0</v>
      </c>
      <c r="H43" s="2">
        <v>860</v>
      </c>
      <c r="I43" s="2">
        <v>0</v>
      </c>
      <c r="J43" s="2">
        <v>1480</v>
      </c>
      <c r="K43" s="2">
        <v>550</v>
      </c>
      <c r="L43" s="4">
        <v>0</v>
      </c>
      <c r="M43" s="4">
        <v>0</v>
      </c>
      <c r="N43" s="4">
        <v>0</v>
      </c>
      <c r="O43" s="4">
        <v>0</v>
      </c>
      <c r="P43" s="4">
        <v>0</v>
      </c>
      <c r="Q43" s="4">
        <v>6362</v>
      </c>
      <c r="R43" s="4">
        <v>23421</v>
      </c>
      <c r="S43" s="4">
        <v>5374</v>
      </c>
      <c r="T43" s="4">
        <v>413</v>
      </c>
      <c r="U43" s="4">
        <v>1404</v>
      </c>
      <c r="V43" s="4" t="str">
        <f t="shared" si="10"/>
        <v>N/A</v>
      </c>
      <c r="W43" s="4" t="str">
        <f t="shared" si="11"/>
        <v>N/A</v>
      </c>
      <c r="X43" s="4">
        <v>0</v>
      </c>
      <c r="Y43" s="4">
        <v>0</v>
      </c>
      <c r="Z43" s="4">
        <v>0</v>
      </c>
      <c r="AA43" s="4">
        <v>0</v>
      </c>
      <c r="AB43" s="4">
        <v>0</v>
      </c>
      <c r="AC43" s="4">
        <v>4776</v>
      </c>
      <c r="AD43" s="4">
        <v>13586</v>
      </c>
      <c r="AE43" s="4">
        <v>12966</v>
      </c>
      <c r="AF43" s="4">
        <v>2000</v>
      </c>
      <c r="AG43" s="4">
        <v>0</v>
      </c>
      <c r="AH43" s="4" t="str">
        <f t="shared" si="12"/>
        <v>N/A</v>
      </c>
      <c r="AI43" s="4" t="str">
        <f t="shared" si="13"/>
        <v>N/A</v>
      </c>
      <c r="AJ43" s="4">
        <v>0</v>
      </c>
      <c r="AK43" s="4">
        <v>0</v>
      </c>
      <c r="AL43" s="4">
        <v>0</v>
      </c>
      <c r="AM43" s="4">
        <v>0</v>
      </c>
      <c r="AN43" s="4" t="str">
        <f t="shared" si="14"/>
        <v>N/A</v>
      </c>
      <c r="AO43" s="4" t="str">
        <f t="shared" si="15"/>
        <v>N/A</v>
      </c>
      <c r="AP43" s="4">
        <v>11545</v>
      </c>
      <c r="AQ43" s="4">
        <v>16758</v>
      </c>
      <c r="AR43" s="4">
        <v>5621</v>
      </c>
      <c r="AS43" s="4">
        <v>3050</v>
      </c>
      <c r="AT43" s="4">
        <v>0</v>
      </c>
      <c r="AU43" s="4">
        <v>0</v>
      </c>
      <c r="AV43" s="4">
        <v>0</v>
      </c>
      <c r="AW43" s="4">
        <v>0</v>
      </c>
      <c r="AX43" s="4" t="str">
        <f t="shared" si="16"/>
        <v>N/A</v>
      </c>
      <c r="AY43" s="4" t="str">
        <f t="shared" si="17"/>
        <v>N/A</v>
      </c>
      <c r="AZ43" s="4">
        <v>1921</v>
      </c>
      <c r="BA43" s="4">
        <v>8931</v>
      </c>
      <c r="BB43" s="4">
        <v>22476</v>
      </c>
      <c r="BC43" s="4">
        <v>0</v>
      </c>
      <c r="BD43" s="5">
        <v>10600</v>
      </c>
      <c r="BG43" s="5">
        <f t="shared" si="18"/>
        <v>92</v>
      </c>
      <c r="BK43" s="5" t="str">
        <f t="shared" si="19"/>
        <v>N/A</v>
      </c>
      <c r="BL43" s="5">
        <v>6441.5225549999996</v>
      </c>
      <c r="BM43" s="5">
        <v>5441.9384055</v>
      </c>
      <c r="BN43" s="5">
        <v>10141.924602499999</v>
      </c>
      <c r="BO43" s="5">
        <v>13118.452380499999</v>
      </c>
      <c r="BP43" s="5">
        <v>0</v>
      </c>
      <c r="BQ43" s="5">
        <v>0</v>
      </c>
      <c r="BR43" s="5">
        <v>8841.4634729999998</v>
      </c>
      <c r="BS43" s="5">
        <v>4134.5523805000003</v>
      </c>
      <c r="BT43" s="5">
        <v>8932.2095234999997</v>
      </c>
      <c r="BU43" s="5">
        <v>12154.166666500001</v>
      </c>
      <c r="BV43" s="5">
        <v>0</v>
      </c>
      <c r="BW43" s="5">
        <v>22877.14</v>
      </c>
      <c r="BX43" s="5">
        <v>1</v>
      </c>
      <c r="CD43" s="143">
        <v>0.15824820279984864</v>
      </c>
      <c r="CE43" s="143">
        <v>3.7514705241601609E-2</v>
      </c>
      <c r="CF43" s="143">
        <v>39843475.810000002</v>
      </c>
      <c r="CG43" s="144">
        <v>88.1</v>
      </c>
      <c r="CH43" s="144">
        <v>6.1</v>
      </c>
      <c r="CI43" s="144">
        <v>2.2000000000000002</v>
      </c>
      <c r="CJ43" s="144">
        <v>78.5</v>
      </c>
      <c r="CK43" s="144">
        <v>12.6</v>
      </c>
      <c r="CL43" s="144">
        <v>4.3</v>
      </c>
      <c r="CM43" s="144">
        <v>96.4</v>
      </c>
      <c r="CN43" s="144">
        <v>95.3</v>
      </c>
    </row>
    <row r="44" spans="1:92" x14ac:dyDescent="0.3">
      <c r="A44">
        <v>342</v>
      </c>
      <c r="B44" s="1">
        <v>9.0941135000000006E-3</v>
      </c>
      <c r="C44" s="1">
        <v>3.1723651700000001E-3</v>
      </c>
      <c r="D44" s="1">
        <v>1.1899416249999999E-2</v>
      </c>
      <c r="E44" s="1">
        <v>1.4032330480000001E-2</v>
      </c>
      <c r="F44" s="2">
        <v>842</v>
      </c>
      <c r="G44" s="2">
        <v>369</v>
      </c>
      <c r="H44" s="2">
        <v>160</v>
      </c>
      <c r="I44" s="2">
        <v>0</v>
      </c>
      <c r="J44" s="2">
        <v>480</v>
      </c>
      <c r="K44" s="2">
        <v>0</v>
      </c>
      <c r="L44" s="4">
        <v>150</v>
      </c>
      <c r="M44" s="4">
        <v>100</v>
      </c>
      <c r="N44" s="4">
        <v>117</v>
      </c>
      <c r="O44" s="4">
        <v>0</v>
      </c>
      <c r="Q44" s="4">
        <v>4126</v>
      </c>
      <c r="R44" s="4">
        <v>9493</v>
      </c>
      <c r="S44" s="4">
        <v>1563</v>
      </c>
      <c r="T44" s="4">
        <v>0</v>
      </c>
      <c r="V44" s="4">
        <f t="shared" si="10"/>
        <v>0.68119891008174382</v>
      </c>
      <c r="W44" s="4">
        <f t="shared" si="11"/>
        <v>116</v>
      </c>
      <c r="X44" s="4">
        <v>0</v>
      </c>
      <c r="Y44" s="4">
        <v>0</v>
      </c>
      <c r="Z44" s="4">
        <v>0</v>
      </c>
      <c r="AA44" s="4">
        <v>0</v>
      </c>
      <c r="AC44" s="4">
        <v>0</v>
      </c>
      <c r="AD44" s="4">
        <v>6238</v>
      </c>
      <c r="AE44" s="4">
        <v>2460</v>
      </c>
      <c r="AF44" s="4">
        <v>2850</v>
      </c>
      <c r="AH44" s="4" t="str">
        <f t="shared" si="12"/>
        <v>N/A</v>
      </c>
      <c r="AI44" s="4" t="str">
        <f t="shared" si="13"/>
        <v>N/A</v>
      </c>
      <c r="AJ44" s="4">
        <v>117</v>
      </c>
      <c r="AK44" s="4">
        <v>150</v>
      </c>
      <c r="AL44" s="4">
        <v>0</v>
      </c>
      <c r="AM44" s="4">
        <v>100</v>
      </c>
      <c r="AN44" s="4">
        <f t="shared" si="14"/>
        <v>0.43820224719101125</v>
      </c>
      <c r="AO44" s="4">
        <f t="shared" si="15"/>
        <v>29</v>
      </c>
      <c r="AP44" s="4">
        <v>4078</v>
      </c>
      <c r="AQ44" s="4">
        <v>8497</v>
      </c>
      <c r="AR44" s="4">
        <v>2107</v>
      </c>
      <c r="AS44" s="4">
        <v>500</v>
      </c>
      <c r="AU44" s="4">
        <v>0</v>
      </c>
      <c r="AV44" s="4">
        <v>0</v>
      </c>
      <c r="AW44" s="4">
        <v>0</v>
      </c>
      <c r="AX44" s="4" t="str">
        <f t="shared" si="16"/>
        <v>N/A</v>
      </c>
      <c r="AY44" s="4" t="str">
        <f t="shared" si="17"/>
        <v>N/A</v>
      </c>
      <c r="BA44" s="4">
        <v>4980</v>
      </c>
      <c r="BB44" s="4">
        <v>6568</v>
      </c>
      <c r="BC44" s="4">
        <v>0</v>
      </c>
      <c r="BD44" s="5">
        <v>2875.2558949999998</v>
      </c>
      <c r="BG44" s="5">
        <f t="shared" si="18"/>
        <v>3</v>
      </c>
      <c r="BK44" s="5" t="str">
        <f t="shared" si="19"/>
        <v>N/A</v>
      </c>
      <c r="BL44" s="5">
        <v>7138.3061925000002</v>
      </c>
      <c r="BM44" s="5">
        <v>4900</v>
      </c>
      <c r="BN44" s="5">
        <v>3248.4145015000004</v>
      </c>
      <c r="BO44" s="5">
        <v>14428.571427999999</v>
      </c>
      <c r="BP44" s="5">
        <v>0</v>
      </c>
      <c r="BQ44" s="5">
        <v>0</v>
      </c>
      <c r="BR44" s="5">
        <v>8841.4634729999998</v>
      </c>
      <c r="BS44" s="5">
        <v>4134.5523805000003</v>
      </c>
      <c r="BT44" s="5">
        <v>8932.2095234999997</v>
      </c>
      <c r="BU44" s="5">
        <v>12154.166666500001</v>
      </c>
      <c r="BV44" s="5">
        <v>0</v>
      </c>
      <c r="BW44" s="5">
        <v>22877.14</v>
      </c>
      <c r="BX44" s="5">
        <v>8</v>
      </c>
      <c r="CD44" s="143">
        <v>8.1917340654448223E-2</v>
      </c>
      <c r="CE44" s="143">
        <v>-7.7654844380105503E-2</v>
      </c>
      <c r="CF44" s="143">
        <v>12644029.65</v>
      </c>
      <c r="CG44" s="144">
        <v>90.5</v>
      </c>
      <c r="CH44" s="144">
        <v>5</v>
      </c>
      <c r="CI44" s="144">
        <v>1.4</v>
      </c>
      <c r="CJ44" s="144">
        <v>95.6</v>
      </c>
      <c r="CK44" s="144">
        <v>3.1</v>
      </c>
      <c r="CL44" s="144">
        <v>0.4</v>
      </c>
      <c r="CM44" s="144">
        <v>96.9</v>
      </c>
      <c r="CN44" s="144">
        <v>99.1</v>
      </c>
    </row>
    <row r="45" spans="1:92" x14ac:dyDescent="0.3">
      <c r="A45">
        <v>343</v>
      </c>
      <c r="B45" s="1">
        <v>-2.0776650999999998E-3</v>
      </c>
      <c r="C45" s="1">
        <v>-8.3601286099999998E-3</v>
      </c>
      <c r="D45" s="1">
        <v>3.7944770769999997E-2</v>
      </c>
      <c r="E45" s="1">
        <v>1.08702991E-2</v>
      </c>
      <c r="F45" s="2">
        <v>0</v>
      </c>
      <c r="G45" s="2">
        <v>0</v>
      </c>
      <c r="H45" s="2">
        <v>20</v>
      </c>
      <c r="I45" s="2">
        <v>0</v>
      </c>
      <c r="J45" s="2">
        <v>195</v>
      </c>
      <c r="K45" s="2">
        <v>0</v>
      </c>
      <c r="L45" s="4">
        <v>0</v>
      </c>
      <c r="M45" s="4">
        <v>48</v>
      </c>
      <c r="N45" s="4">
        <v>73</v>
      </c>
      <c r="Q45" s="4">
        <v>3350</v>
      </c>
      <c r="R45" s="4">
        <v>14825</v>
      </c>
      <c r="S45" s="4">
        <v>3592</v>
      </c>
      <c r="V45" s="4">
        <f t="shared" si="10"/>
        <v>0.39669421487603307</v>
      </c>
      <c r="W45" s="4">
        <f t="shared" si="11"/>
        <v>134</v>
      </c>
      <c r="X45" s="4">
        <v>0</v>
      </c>
      <c r="Y45" s="4">
        <v>20</v>
      </c>
      <c r="Z45" s="4">
        <v>48</v>
      </c>
      <c r="AC45" s="4">
        <v>3998</v>
      </c>
      <c r="AD45" s="4">
        <v>7443</v>
      </c>
      <c r="AE45" s="4">
        <v>4745</v>
      </c>
      <c r="AH45" s="4">
        <f t="shared" si="12"/>
        <v>0.29411764705882354</v>
      </c>
      <c r="AI45" s="4">
        <f t="shared" si="13"/>
        <v>87</v>
      </c>
      <c r="AJ45" s="4">
        <v>0</v>
      </c>
      <c r="AK45" s="4">
        <v>48</v>
      </c>
      <c r="AL45" s="4">
        <v>73</v>
      </c>
      <c r="AM45" s="4">
        <v>0</v>
      </c>
      <c r="AN45" s="4">
        <f t="shared" si="14"/>
        <v>0</v>
      </c>
      <c r="AO45" s="4">
        <f t="shared" si="15"/>
        <v>100</v>
      </c>
      <c r="AP45" s="4">
        <v>3925</v>
      </c>
      <c r="AQ45" s="4">
        <v>13498</v>
      </c>
      <c r="AR45" s="4">
        <v>3429</v>
      </c>
      <c r="AS45" s="4">
        <v>915</v>
      </c>
      <c r="AT45" s="4">
        <v>20</v>
      </c>
      <c r="AU45" s="4">
        <v>0</v>
      </c>
      <c r="AV45" s="4">
        <v>48</v>
      </c>
      <c r="AW45" s="4">
        <v>0</v>
      </c>
      <c r="AX45" s="4">
        <f t="shared" si="16"/>
        <v>0.29411764705882354</v>
      </c>
      <c r="AY45" s="4">
        <f t="shared" si="17"/>
        <v>60</v>
      </c>
      <c r="AZ45" s="4">
        <v>2720</v>
      </c>
      <c r="BA45" s="4">
        <v>6041</v>
      </c>
      <c r="BB45" s="4">
        <v>7425</v>
      </c>
      <c r="BC45" s="4">
        <v>0</v>
      </c>
      <c r="BD45" s="5">
        <v>12142.666665999999</v>
      </c>
      <c r="BG45" s="5">
        <f t="shared" si="18"/>
        <v>111</v>
      </c>
      <c r="BK45" s="5" t="str">
        <f t="shared" si="19"/>
        <v>N/A</v>
      </c>
      <c r="BL45" s="5">
        <v>7678.4460405</v>
      </c>
      <c r="BM45" s="5">
        <v>4900</v>
      </c>
      <c r="BN45" s="5">
        <v>15480.723383</v>
      </c>
      <c r="BO45" s="5">
        <v>4697.4444439999997</v>
      </c>
      <c r="BP45" s="5">
        <v>0</v>
      </c>
      <c r="BQ45" s="5">
        <v>3386.6666660000001</v>
      </c>
      <c r="BR45" s="5">
        <v>8841.4634729999998</v>
      </c>
      <c r="BS45" s="5">
        <v>4134.5523805000003</v>
      </c>
      <c r="BT45" s="5">
        <v>8932.2095234999997</v>
      </c>
      <c r="BU45" s="5">
        <v>12154.166666500001</v>
      </c>
      <c r="BV45" s="5">
        <v>0</v>
      </c>
      <c r="BW45" s="5">
        <v>22877.14</v>
      </c>
      <c r="BX45" s="5">
        <v>1</v>
      </c>
      <c r="CD45" s="143">
        <v>3.9442332065906305E-2</v>
      </c>
      <c r="CE45" s="143">
        <v>-0.12941527446300716</v>
      </c>
      <c r="CF45" s="143">
        <v>6976748.3499999996</v>
      </c>
      <c r="CG45" s="144">
        <v>89.5</v>
      </c>
      <c r="CH45" s="144">
        <v>5.9</v>
      </c>
      <c r="CI45" s="144">
        <v>1.2</v>
      </c>
      <c r="CJ45" s="144">
        <v>92.2</v>
      </c>
      <c r="CK45" s="144">
        <v>4.8</v>
      </c>
      <c r="CL45" s="144">
        <v>0.6</v>
      </c>
      <c r="CM45" s="144">
        <v>96.7</v>
      </c>
      <c r="CN45" s="144">
        <v>97.6</v>
      </c>
    </row>
    <row r="46" spans="1:92" x14ac:dyDescent="0.3">
      <c r="A46">
        <v>344</v>
      </c>
      <c r="B46" s="1">
        <v>0</v>
      </c>
      <c r="C46" s="1">
        <v>1.7795705299999999E-3</v>
      </c>
      <c r="D46" s="1">
        <v>1.1834319520000001E-2</v>
      </c>
      <c r="E46" s="1">
        <v>1.0311090280000001E-2</v>
      </c>
      <c r="F46" s="2">
        <v>324</v>
      </c>
      <c r="G46" s="2">
        <v>0</v>
      </c>
      <c r="H46" s="2">
        <v>90</v>
      </c>
      <c r="I46" s="2">
        <v>0</v>
      </c>
      <c r="J46" s="2">
        <v>438</v>
      </c>
      <c r="K46" s="2">
        <v>62</v>
      </c>
      <c r="L46" s="4">
        <v>0</v>
      </c>
      <c r="M46" s="4">
        <v>238</v>
      </c>
      <c r="N46" s="4">
        <v>78</v>
      </c>
      <c r="Q46" s="4">
        <v>4682</v>
      </c>
      <c r="R46" s="4">
        <v>19129</v>
      </c>
      <c r="S46" s="4">
        <v>3682</v>
      </c>
      <c r="V46" s="4">
        <f t="shared" si="10"/>
        <v>0.75316455696202533</v>
      </c>
      <c r="W46" s="4">
        <f t="shared" si="11"/>
        <v>107</v>
      </c>
      <c r="X46" s="4">
        <v>28</v>
      </c>
      <c r="Y46" s="4">
        <v>28</v>
      </c>
      <c r="Z46" s="4">
        <v>15</v>
      </c>
      <c r="AC46" s="4">
        <v>7716</v>
      </c>
      <c r="AD46" s="4">
        <v>8355</v>
      </c>
      <c r="AE46" s="4">
        <v>8455</v>
      </c>
      <c r="AH46" s="4">
        <f t="shared" si="12"/>
        <v>0.78873239436619713</v>
      </c>
      <c r="AI46" s="4">
        <f t="shared" si="13"/>
        <v>74</v>
      </c>
      <c r="AJ46" s="4">
        <v>50</v>
      </c>
      <c r="AK46" s="4">
        <v>247</v>
      </c>
      <c r="AL46" s="4">
        <v>19</v>
      </c>
      <c r="AM46" s="4">
        <v>0</v>
      </c>
      <c r="AN46" s="4">
        <f t="shared" si="14"/>
        <v>0.15822784810126583</v>
      </c>
      <c r="AO46" s="4">
        <f t="shared" si="15"/>
        <v>65</v>
      </c>
      <c r="AP46" s="4">
        <v>5629</v>
      </c>
      <c r="AQ46" s="4">
        <v>16430</v>
      </c>
      <c r="AR46" s="4">
        <v>4170</v>
      </c>
      <c r="AS46" s="4">
        <v>1264</v>
      </c>
      <c r="AT46" s="4">
        <v>56</v>
      </c>
      <c r="AU46" s="4">
        <v>0</v>
      </c>
      <c r="AV46" s="4">
        <v>15</v>
      </c>
      <c r="AW46" s="4">
        <v>0</v>
      </c>
      <c r="AX46" s="4">
        <f t="shared" si="16"/>
        <v>0.78873239436619713</v>
      </c>
      <c r="AY46" s="4">
        <f t="shared" si="17"/>
        <v>34</v>
      </c>
      <c r="AZ46" s="4">
        <v>12234</v>
      </c>
      <c r="BA46" s="4">
        <v>7344</v>
      </c>
      <c r="BB46" s="4">
        <v>4948</v>
      </c>
      <c r="BC46" s="4">
        <v>0</v>
      </c>
      <c r="BD46" s="5">
        <v>5000</v>
      </c>
      <c r="BE46" s="5">
        <v>3333.333333</v>
      </c>
      <c r="BG46" s="5">
        <f t="shared" si="18"/>
        <v>12</v>
      </c>
      <c r="BK46" s="5" t="str">
        <f t="shared" si="19"/>
        <v>N/A</v>
      </c>
      <c r="BL46" s="5">
        <v>7883.0623850000002</v>
      </c>
      <c r="BM46" s="5">
        <v>5833.3333329999996</v>
      </c>
      <c r="BN46" s="5">
        <v>12384.419046999999</v>
      </c>
      <c r="BO46" s="5">
        <v>31960.6</v>
      </c>
      <c r="BP46" s="5">
        <v>0</v>
      </c>
      <c r="BQ46" s="5">
        <v>0</v>
      </c>
      <c r="BR46" s="5">
        <v>8841.4634729999998</v>
      </c>
      <c r="BS46" s="5">
        <v>4134.5523805000003</v>
      </c>
      <c r="BT46" s="5">
        <v>8932.2095234999997</v>
      </c>
      <c r="BU46" s="5">
        <v>12154.166666500001</v>
      </c>
      <c r="BV46" s="5">
        <v>0</v>
      </c>
      <c r="BW46" s="5">
        <v>22877.14</v>
      </c>
      <c r="BX46" s="5">
        <v>2</v>
      </c>
      <c r="BY46" s="5">
        <v>1</v>
      </c>
      <c r="CD46" s="143">
        <v>9.6240855850141749E-2</v>
      </c>
      <c r="CE46" s="143">
        <v>-4.0012977181788645E-2</v>
      </c>
      <c r="CF46" s="143">
        <v>8169668.21</v>
      </c>
      <c r="CG46" s="144">
        <v>89.1</v>
      </c>
      <c r="CH46" s="144">
        <v>5.6</v>
      </c>
      <c r="CI46" s="144">
        <v>1.7</v>
      </c>
      <c r="CJ46" s="144">
        <v>86.2</v>
      </c>
      <c r="CK46" s="144">
        <v>9.1</v>
      </c>
      <c r="CL46" s="144">
        <v>1.8</v>
      </c>
      <c r="CM46" s="144">
        <v>96.5</v>
      </c>
      <c r="CN46" s="144">
        <v>97.1</v>
      </c>
    </row>
    <row r="47" spans="1:92" x14ac:dyDescent="0.3">
      <c r="A47">
        <v>350</v>
      </c>
      <c r="B47" s="1">
        <v>-2.2961142680000001E-2</v>
      </c>
      <c r="C47" s="1">
        <v>-9.5607433499999995E-3</v>
      </c>
      <c r="D47" s="1">
        <v>-1.6427354499999999E-3</v>
      </c>
      <c r="E47" s="1">
        <v>-3.163786809E-2</v>
      </c>
      <c r="F47" s="2">
        <v>3836</v>
      </c>
      <c r="G47" s="2">
        <v>1403</v>
      </c>
      <c r="H47" s="2">
        <v>670</v>
      </c>
      <c r="I47" s="2">
        <v>0</v>
      </c>
      <c r="J47" s="2">
        <v>274</v>
      </c>
      <c r="K47" s="2">
        <v>430</v>
      </c>
      <c r="L47" s="4">
        <v>0</v>
      </c>
      <c r="M47" s="4">
        <v>30</v>
      </c>
      <c r="N47" s="4">
        <v>60</v>
      </c>
      <c r="Q47" s="4">
        <v>4820</v>
      </c>
      <c r="R47" s="4">
        <v>18410</v>
      </c>
      <c r="S47" s="4">
        <v>3737</v>
      </c>
      <c r="V47" s="4">
        <f t="shared" si="10"/>
        <v>0.33333333333333331</v>
      </c>
      <c r="W47" s="4">
        <f t="shared" si="11"/>
        <v>137</v>
      </c>
      <c r="X47" s="4">
        <v>20</v>
      </c>
      <c r="Y47" s="4">
        <v>21</v>
      </c>
      <c r="Z47" s="4">
        <v>0</v>
      </c>
      <c r="AC47" s="4">
        <v>3152</v>
      </c>
      <c r="AD47" s="4">
        <v>11464</v>
      </c>
      <c r="AE47" s="4">
        <v>5376</v>
      </c>
      <c r="AH47" s="4">
        <f t="shared" si="12"/>
        <v>1</v>
      </c>
      <c r="AI47" s="4">
        <f t="shared" si="13"/>
        <v>1</v>
      </c>
      <c r="AJ47" s="4">
        <v>30</v>
      </c>
      <c r="AK47" s="4">
        <v>60</v>
      </c>
      <c r="AL47" s="4">
        <v>0</v>
      </c>
      <c r="AM47" s="4">
        <v>0</v>
      </c>
      <c r="AN47" s="4">
        <f t="shared" si="14"/>
        <v>0.33333333333333331</v>
      </c>
      <c r="AO47" s="4">
        <f t="shared" si="15"/>
        <v>41</v>
      </c>
      <c r="AP47" s="4">
        <v>8355</v>
      </c>
      <c r="AQ47" s="4">
        <v>16682</v>
      </c>
      <c r="AR47" s="4">
        <v>1750</v>
      </c>
      <c r="AS47" s="4">
        <v>180</v>
      </c>
      <c r="AT47" s="4">
        <v>0</v>
      </c>
      <c r="AU47" s="4">
        <v>20</v>
      </c>
      <c r="AV47" s="4">
        <v>21</v>
      </c>
      <c r="AW47" s="4">
        <v>0</v>
      </c>
      <c r="AX47" s="4">
        <f t="shared" si="16"/>
        <v>0</v>
      </c>
      <c r="AY47" s="4">
        <f t="shared" si="17"/>
        <v>73</v>
      </c>
      <c r="AZ47" s="4">
        <v>3721</v>
      </c>
      <c r="BA47" s="4">
        <v>6264</v>
      </c>
      <c r="BB47" s="4">
        <v>10007</v>
      </c>
      <c r="BC47" s="4">
        <v>0</v>
      </c>
      <c r="BD47" s="5">
        <v>10009.185328</v>
      </c>
      <c r="BE47" s="5">
        <v>11529.93</v>
      </c>
      <c r="BG47" s="5">
        <f t="shared" si="18"/>
        <v>85</v>
      </c>
      <c r="BK47" s="5" t="str">
        <f t="shared" si="19"/>
        <v>N/A</v>
      </c>
      <c r="BL47" s="5">
        <v>8937.3521639999999</v>
      </c>
      <c r="BM47" s="5">
        <v>4340.5333330000003</v>
      </c>
      <c r="BN47" s="5">
        <v>13501.807142</v>
      </c>
      <c r="BO47" s="5">
        <v>11008.771929</v>
      </c>
      <c r="BP47" s="5">
        <v>0</v>
      </c>
      <c r="BQ47" s="5">
        <v>21896.833331999998</v>
      </c>
      <c r="BR47" s="5">
        <v>8841.4634729999998</v>
      </c>
      <c r="BS47" s="5">
        <v>4134.5523805000003</v>
      </c>
      <c r="BT47" s="5">
        <v>8932.2095234999997</v>
      </c>
      <c r="BU47" s="5">
        <v>12154.166666500001</v>
      </c>
      <c r="BV47" s="5">
        <v>0</v>
      </c>
      <c r="BW47" s="5">
        <v>22877.14</v>
      </c>
      <c r="BX47" s="5">
        <v>19</v>
      </c>
      <c r="BY47" s="5">
        <v>4</v>
      </c>
      <c r="CD47" s="143">
        <v>0.22140562425736032</v>
      </c>
      <c r="CE47" s="143">
        <v>9.4799084435401859E-2</v>
      </c>
      <c r="CF47" s="143">
        <v>40506602.560000002</v>
      </c>
      <c r="CG47" s="144">
        <v>90.5</v>
      </c>
      <c r="CH47" s="144">
        <v>6</v>
      </c>
      <c r="CI47" s="144">
        <v>1.4</v>
      </c>
      <c r="CJ47" s="144">
        <v>85.6</v>
      </c>
      <c r="CK47" s="144">
        <v>8.3000000000000007</v>
      </c>
      <c r="CL47" s="144">
        <v>2</v>
      </c>
      <c r="CM47" s="144">
        <v>97.9</v>
      </c>
      <c r="CN47" s="144">
        <v>95.9</v>
      </c>
    </row>
    <row r="48" spans="1:92" x14ac:dyDescent="0.3">
      <c r="A48">
        <v>351</v>
      </c>
      <c r="B48" s="1">
        <v>8.7611930600000002E-3</v>
      </c>
      <c r="C48" s="1">
        <v>2.4673065769999999E-2</v>
      </c>
      <c r="D48" s="1">
        <v>1.86758801E-2</v>
      </c>
      <c r="E48" s="1">
        <v>1.027173405E-2</v>
      </c>
      <c r="F48" s="2">
        <v>297</v>
      </c>
      <c r="G48" s="2">
        <v>153</v>
      </c>
      <c r="H48" s="2">
        <v>420</v>
      </c>
      <c r="I48" s="2">
        <v>50</v>
      </c>
      <c r="J48" s="2">
        <v>225</v>
      </c>
      <c r="K48" s="2">
        <v>0</v>
      </c>
      <c r="L48" s="4">
        <v>61</v>
      </c>
      <c r="M48" s="4">
        <v>255</v>
      </c>
      <c r="N48" s="4">
        <v>77</v>
      </c>
      <c r="P48" s="4">
        <v>0</v>
      </c>
      <c r="Q48" s="4">
        <v>2349</v>
      </c>
      <c r="R48" s="4">
        <v>10227</v>
      </c>
      <c r="S48" s="4">
        <v>2072</v>
      </c>
      <c r="U48" s="4">
        <v>0</v>
      </c>
      <c r="V48" s="4">
        <f t="shared" si="10"/>
        <v>0.80407124681933839</v>
      </c>
      <c r="W48" s="4">
        <f t="shared" si="11"/>
        <v>93</v>
      </c>
      <c r="X48" s="4">
        <v>0</v>
      </c>
      <c r="Y48" s="4">
        <v>0</v>
      </c>
      <c r="Z48" s="4">
        <v>0</v>
      </c>
      <c r="AB48" s="4">
        <v>0</v>
      </c>
      <c r="AC48" s="4">
        <v>3395</v>
      </c>
      <c r="AD48" s="4">
        <v>4351</v>
      </c>
      <c r="AE48" s="4">
        <v>3285</v>
      </c>
      <c r="AG48" s="4">
        <v>910</v>
      </c>
      <c r="AH48" s="4" t="str">
        <f t="shared" si="12"/>
        <v>N/A</v>
      </c>
      <c r="AI48" s="4" t="str">
        <f t="shared" si="13"/>
        <v>N/A</v>
      </c>
      <c r="AJ48" s="4">
        <v>119</v>
      </c>
      <c r="AK48" s="4">
        <v>157</v>
      </c>
      <c r="AL48" s="4">
        <v>117</v>
      </c>
      <c r="AM48" s="4">
        <v>0</v>
      </c>
      <c r="AN48" s="4">
        <f t="shared" si="14"/>
        <v>0.30279898218829515</v>
      </c>
      <c r="AO48" s="4">
        <f t="shared" si="15"/>
        <v>50</v>
      </c>
      <c r="AP48" s="4">
        <v>2596</v>
      </c>
      <c r="AQ48" s="4">
        <v>8579</v>
      </c>
      <c r="AR48" s="4">
        <v>3473</v>
      </c>
      <c r="AS48" s="4">
        <v>0</v>
      </c>
      <c r="AT48" s="4">
        <v>0</v>
      </c>
      <c r="AU48" s="4">
        <v>0</v>
      </c>
      <c r="AV48" s="4">
        <v>0</v>
      </c>
      <c r="AW48" s="4">
        <v>0</v>
      </c>
      <c r="AX48" s="4" t="str">
        <f t="shared" si="16"/>
        <v>N/A</v>
      </c>
      <c r="AY48" s="4" t="str">
        <f t="shared" si="17"/>
        <v>N/A</v>
      </c>
      <c r="AZ48" s="4">
        <v>2787</v>
      </c>
      <c r="BA48" s="4">
        <v>7489</v>
      </c>
      <c r="BB48" s="4">
        <v>1665</v>
      </c>
      <c r="BC48" s="4">
        <v>0</v>
      </c>
      <c r="BD48" s="5">
        <v>11894.736842</v>
      </c>
      <c r="BG48" s="5">
        <f t="shared" si="18"/>
        <v>108</v>
      </c>
      <c r="BK48" s="5" t="str">
        <f t="shared" si="19"/>
        <v>N/A</v>
      </c>
      <c r="BL48" s="5">
        <v>7298.4969970000002</v>
      </c>
      <c r="BM48" s="5">
        <v>5183.3333329999996</v>
      </c>
      <c r="BN48" s="5">
        <v>17244.835086999999</v>
      </c>
      <c r="BO48" s="5">
        <v>4444.4444439999997</v>
      </c>
      <c r="BP48" s="5">
        <v>0</v>
      </c>
      <c r="BQ48" s="5">
        <v>3386.6666660000001</v>
      </c>
      <c r="BR48" s="5">
        <v>8841.4634729999998</v>
      </c>
      <c r="BS48" s="5">
        <v>4134.5523805000003</v>
      </c>
      <c r="BT48" s="5">
        <v>8932.2095234999997</v>
      </c>
      <c r="BU48" s="5">
        <v>12154.166666500001</v>
      </c>
      <c r="BV48" s="5">
        <v>0</v>
      </c>
      <c r="BW48" s="5">
        <v>22877.14</v>
      </c>
      <c r="BX48" s="5">
        <v>5</v>
      </c>
      <c r="CD48" s="143">
        <v>0.11463615184322329</v>
      </c>
      <c r="CE48" s="143">
        <v>4.8578625404822606E-3</v>
      </c>
      <c r="CF48" s="143">
        <v>17186638.399999999</v>
      </c>
      <c r="CG48" s="144">
        <v>84.8</v>
      </c>
      <c r="CH48" s="144">
        <v>7.2</v>
      </c>
      <c r="CI48" s="144">
        <v>2.7</v>
      </c>
      <c r="CJ48" s="144">
        <v>89.3</v>
      </c>
      <c r="CK48" s="144">
        <v>6.3</v>
      </c>
      <c r="CL48" s="144">
        <v>1.5</v>
      </c>
      <c r="CM48" s="144">
        <v>94.7</v>
      </c>
      <c r="CN48" s="144">
        <v>97</v>
      </c>
    </row>
    <row r="49" spans="1:92" x14ac:dyDescent="0.3">
      <c r="A49">
        <v>352</v>
      </c>
      <c r="B49" s="1">
        <v>5.4367419600000001E-2</v>
      </c>
      <c r="C49" s="1">
        <v>1.484366306E-2</v>
      </c>
      <c r="D49" s="1">
        <v>-2.1640429399999998E-3</v>
      </c>
      <c r="E49" s="1">
        <v>3.0466330029999999E-2</v>
      </c>
      <c r="F49" s="2">
        <v>9403</v>
      </c>
      <c r="G49" s="2">
        <v>1842</v>
      </c>
      <c r="H49" s="2">
        <v>2370</v>
      </c>
      <c r="I49" s="2">
        <v>770</v>
      </c>
      <c r="J49" s="2">
        <v>1385</v>
      </c>
      <c r="K49" s="2">
        <v>1950</v>
      </c>
      <c r="L49" s="4">
        <v>100</v>
      </c>
      <c r="M49" s="4">
        <v>160</v>
      </c>
      <c r="N49" s="4">
        <v>0</v>
      </c>
      <c r="O49" s="4">
        <v>0</v>
      </c>
      <c r="Q49" s="4">
        <v>9968</v>
      </c>
      <c r="R49" s="4">
        <v>31786</v>
      </c>
      <c r="S49" s="4">
        <v>4095</v>
      </c>
      <c r="T49" s="4">
        <v>735</v>
      </c>
      <c r="V49" s="4">
        <f t="shared" si="10"/>
        <v>1</v>
      </c>
      <c r="W49" s="4">
        <f t="shared" si="11"/>
        <v>1</v>
      </c>
      <c r="X49" s="4">
        <v>0</v>
      </c>
      <c r="Y49" s="4">
        <v>135</v>
      </c>
      <c r="Z49" s="4">
        <v>0</v>
      </c>
      <c r="AA49" s="4">
        <v>0</v>
      </c>
      <c r="AC49" s="4">
        <v>2000</v>
      </c>
      <c r="AD49" s="4">
        <v>16363</v>
      </c>
      <c r="AE49" s="4">
        <v>3704</v>
      </c>
      <c r="AF49" s="4">
        <v>3000</v>
      </c>
      <c r="AH49" s="4">
        <f t="shared" si="12"/>
        <v>1</v>
      </c>
      <c r="AI49" s="4">
        <f t="shared" si="13"/>
        <v>1</v>
      </c>
      <c r="AJ49" s="4">
        <v>175</v>
      </c>
      <c r="AK49" s="4">
        <v>55</v>
      </c>
      <c r="AL49" s="4">
        <v>30</v>
      </c>
      <c r="AM49" s="4">
        <v>0</v>
      </c>
      <c r="AN49" s="4">
        <f t="shared" si="14"/>
        <v>0.67307692307692313</v>
      </c>
      <c r="AO49" s="4">
        <f t="shared" si="15"/>
        <v>10</v>
      </c>
      <c r="AP49" s="4">
        <v>21668</v>
      </c>
      <c r="AQ49" s="4">
        <v>20255</v>
      </c>
      <c r="AR49" s="4">
        <v>4241</v>
      </c>
      <c r="AS49" s="4">
        <v>420</v>
      </c>
      <c r="AT49" s="4">
        <v>105</v>
      </c>
      <c r="AU49" s="4">
        <v>0</v>
      </c>
      <c r="AV49" s="4">
        <v>30</v>
      </c>
      <c r="AW49" s="4">
        <v>0</v>
      </c>
      <c r="AX49" s="4">
        <f t="shared" si="16"/>
        <v>0.77777777777777779</v>
      </c>
      <c r="AY49" s="4">
        <f t="shared" si="17"/>
        <v>35</v>
      </c>
      <c r="AZ49" s="4">
        <v>10115</v>
      </c>
      <c r="BA49" s="4">
        <v>5165</v>
      </c>
      <c r="BB49" s="4">
        <v>9787</v>
      </c>
      <c r="BC49" s="4">
        <v>0</v>
      </c>
      <c r="BD49" s="5">
        <v>11816.863475</v>
      </c>
      <c r="BE49" s="5">
        <v>9254.741935</v>
      </c>
      <c r="BF49" s="5">
        <v>21787.232272000001</v>
      </c>
      <c r="BG49" s="5">
        <f t="shared" si="18"/>
        <v>106</v>
      </c>
      <c r="BK49" s="5" t="str">
        <f t="shared" si="19"/>
        <v>N/A</v>
      </c>
      <c r="BL49" s="5">
        <v>8174.5890799999997</v>
      </c>
      <c r="BM49" s="5">
        <v>3738.5641019999998</v>
      </c>
      <c r="BN49" s="5">
        <v>14377.781642</v>
      </c>
      <c r="BO49" s="5">
        <v>8677.536666</v>
      </c>
      <c r="BP49" s="5">
        <v>0</v>
      </c>
      <c r="BQ49" s="5">
        <v>17276.650324999999</v>
      </c>
      <c r="BR49" s="5">
        <v>8841.4634729999998</v>
      </c>
      <c r="BS49" s="5">
        <v>4134.5523805000003</v>
      </c>
      <c r="BT49" s="5">
        <v>8932.2095234999997</v>
      </c>
      <c r="BU49" s="5">
        <v>12154.166666500001</v>
      </c>
      <c r="BV49" s="5">
        <v>0</v>
      </c>
      <c r="BW49" s="5">
        <v>22877.14</v>
      </c>
      <c r="BX49" s="5">
        <v>39</v>
      </c>
      <c r="BY49" s="5">
        <v>8</v>
      </c>
      <c r="BZ49" s="5">
        <v>4</v>
      </c>
      <c r="CD49" s="143">
        <v>0.42853151542244072</v>
      </c>
      <c r="CE49" s="143">
        <v>0.52821394884314476</v>
      </c>
      <c r="CF49" s="143">
        <v>285196775.75</v>
      </c>
      <c r="CG49" s="144">
        <v>87.5</v>
      </c>
      <c r="CH49" s="144">
        <v>6.2</v>
      </c>
      <c r="CI49" s="144">
        <v>2</v>
      </c>
      <c r="CJ49" s="144">
        <v>74.8</v>
      </c>
      <c r="CK49" s="144">
        <v>11.1</v>
      </c>
      <c r="CL49" s="144">
        <v>4.9000000000000004</v>
      </c>
      <c r="CM49" s="144">
        <v>95.7</v>
      </c>
      <c r="CN49" s="144">
        <v>90.8</v>
      </c>
    </row>
    <row r="50" spans="1:92" x14ac:dyDescent="0.3">
      <c r="A50">
        <v>353</v>
      </c>
      <c r="B50" s="1">
        <v>-3.425599587E-2</v>
      </c>
      <c r="C50" s="1">
        <v>-5.02879738E-3</v>
      </c>
      <c r="D50" s="1">
        <v>1.4416507239999999E-2</v>
      </c>
      <c r="E50" s="1">
        <v>-1.9814156800000001E-3</v>
      </c>
      <c r="F50" s="2">
        <v>1402</v>
      </c>
      <c r="G50" s="2">
        <v>508</v>
      </c>
      <c r="H50" s="2">
        <v>320</v>
      </c>
      <c r="I50" s="2">
        <v>480</v>
      </c>
      <c r="J50" s="2">
        <v>1540</v>
      </c>
      <c r="K50" s="2">
        <v>150</v>
      </c>
      <c r="L50" s="4">
        <v>360</v>
      </c>
      <c r="M50" s="4">
        <v>565</v>
      </c>
      <c r="N50" s="4">
        <v>0</v>
      </c>
      <c r="O50" s="4">
        <v>0</v>
      </c>
      <c r="P50" s="4">
        <v>0</v>
      </c>
      <c r="Q50" s="4">
        <v>4363</v>
      </c>
      <c r="R50" s="4">
        <v>14508</v>
      </c>
      <c r="S50" s="4">
        <v>2820</v>
      </c>
      <c r="T50" s="4">
        <v>420</v>
      </c>
      <c r="U50" s="4">
        <v>280</v>
      </c>
      <c r="V50" s="4">
        <f t="shared" si="10"/>
        <v>1</v>
      </c>
      <c r="W50" s="4">
        <f t="shared" si="11"/>
        <v>1</v>
      </c>
      <c r="X50" s="4">
        <v>110</v>
      </c>
      <c r="Y50" s="4">
        <v>0</v>
      </c>
      <c r="Z50" s="4">
        <v>0</v>
      </c>
      <c r="AA50" s="4">
        <v>0</v>
      </c>
      <c r="AB50" s="4">
        <v>0</v>
      </c>
      <c r="AC50" s="4">
        <v>1427</v>
      </c>
      <c r="AD50" s="4">
        <v>4189</v>
      </c>
      <c r="AE50" s="4">
        <v>8250</v>
      </c>
      <c r="AF50" s="4">
        <v>3000</v>
      </c>
      <c r="AG50" s="4">
        <v>0</v>
      </c>
      <c r="AH50" s="4">
        <f t="shared" si="12"/>
        <v>1</v>
      </c>
      <c r="AI50" s="4">
        <f t="shared" si="13"/>
        <v>1</v>
      </c>
      <c r="AJ50" s="4">
        <v>540</v>
      </c>
      <c r="AK50" s="4">
        <v>70</v>
      </c>
      <c r="AL50" s="4">
        <v>315</v>
      </c>
      <c r="AM50" s="4">
        <v>0</v>
      </c>
      <c r="AN50" s="4">
        <f t="shared" si="14"/>
        <v>0.58378378378378382</v>
      </c>
      <c r="AO50" s="4">
        <f t="shared" si="15"/>
        <v>19</v>
      </c>
      <c r="AP50" s="4">
        <v>8066</v>
      </c>
      <c r="AQ50" s="4">
        <v>9605</v>
      </c>
      <c r="AR50" s="4">
        <v>4184</v>
      </c>
      <c r="AS50" s="4">
        <v>536</v>
      </c>
      <c r="AT50" s="4">
        <v>110</v>
      </c>
      <c r="AU50" s="4">
        <v>0</v>
      </c>
      <c r="AV50" s="4">
        <v>0</v>
      </c>
      <c r="AW50" s="4">
        <v>0</v>
      </c>
      <c r="AX50" s="4">
        <f t="shared" si="16"/>
        <v>1</v>
      </c>
      <c r="AY50" s="4">
        <f t="shared" si="17"/>
        <v>1</v>
      </c>
      <c r="AZ50" s="4">
        <v>3677</v>
      </c>
      <c r="BA50" s="4">
        <v>2839</v>
      </c>
      <c r="BB50" s="4">
        <v>10350</v>
      </c>
      <c r="BC50" s="4">
        <v>0</v>
      </c>
      <c r="BD50" s="5">
        <v>10334.709946000001</v>
      </c>
      <c r="BG50" s="5">
        <f t="shared" si="18"/>
        <v>89</v>
      </c>
      <c r="BH50" s="5">
        <v>21818.181818000001</v>
      </c>
      <c r="BK50" s="5">
        <f t="shared" si="19"/>
        <v>44</v>
      </c>
      <c r="BL50" s="5">
        <v>6347.1471270000002</v>
      </c>
      <c r="BM50" s="5">
        <v>6571.658394</v>
      </c>
      <c r="BN50" s="5">
        <v>7809.5904760000003</v>
      </c>
      <c r="BO50" s="5">
        <v>6595.2950550000005</v>
      </c>
      <c r="BP50" s="5">
        <v>0</v>
      </c>
      <c r="BQ50" s="5">
        <v>22877.14</v>
      </c>
      <c r="BR50" s="5">
        <v>8841.4634729999998</v>
      </c>
      <c r="BS50" s="5">
        <v>4134.5523805000003</v>
      </c>
      <c r="BT50" s="5">
        <v>8932.2095234999997</v>
      </c>
      <c r="BU50" s="5">
        <v>12154.166666500001</v>
      </c>
      <c r="BV50" s="5">
        <v>0</v>
      </c>
      <c r="BW50" s="5">
        <v>22877.14</v>
      </c>
      <c r="BX50" s="5">
        <v>7</v>
      </c>
      <c r="CA50" s="5">
        <v>1</v>
      </c>
      <c r="CD50" s="143">
        <v>0.18989612842304071</v>
      </c>
      <c r="CE50" s="143">
        <v>0.10375730217737655</v>
      </c>
      <c r="CF50" s="143">
        <v>64117525.819999993</v>
      </c>
      <c r="CG50" s="144">
        <v>90.4</v>
      </c>
      <c r="CH50" s="144">
        <v>4.5</v>
      </c>
      <c r="CI50" s="144">
        <v>1.2</v>
      </c>
      <c r="CJ50" s="144">
        <v>82</v>
      </c>
      <c r="CK50" s="144">
        <v>8.8000000000000007</v>
      </c>
      <c r="CL50" s="144">
        <v>3</v>
      </c>
      <c r="CM50" s="144">
        <v>96.1</v>
      </c>
      <c r="CN50" s="144">
        <v>93.8</v>
      </c>
    </row>
    <row r="51" spans="1:92" x14ac:dyDescent="0.3">
      <c r="A51">
        <v>354</v>
      </c>
      <c r="B51" s="1">
        <v>-2.58411025E-3</v>
      </c>
      <c r="C51" s="1">
        <v>-2.4827725900000001E-3</v>
      </c>
      <c r="D51" s="1">
        <v>-6.06690934E-3</v>
      </c>
      <c r="E51" s="1">
        <v>-5.2868781400000004E-3</v>
      </c>
      <c r="F51" s="2">
        <v>2055</v>
      </c>
      <c r="G51" s="2">
        <v>0</v>
      </c>
      <c r="H51" s="2">
        <v>330</v>
      </c>
      <c r="I51" s="2">
        <v>0</v>
      </c>
      <c r="J51" s="2">
        <v>435</v>
      </c>
      <c r="K51" s="2">
        <v>560</v>
      </c>
      <c r="L51" s="4">
        <v>120</v>
      </c>
      <c r="M51" s="4">
        <v>629</v>
      </c>
      <c r="N51" s="4">
        <v>173</v>
      </c>
      <c r="Q51" s="4">
        <v>4779</v>
      </c>
      <c r="R51" s="4">
        <v>11573</v>
      </c>
      <c r="S51" s="4">
        <v>3206</v>
      </c>
      <c r="V51" s="4">
        <f t="shared" si="10"/>
        <v>0.81236442516268981</v>
      </c>
      <c r="W51" s="4">
        <f t="shared" si="11"/>
        <v>91</v>
      </c>
      <c r="X51" s="4">
        <v>0</v>
      </c>
      <c r="Y51" s="4">
        <v>0</v>
      </c>
      <c r="Z51" s="4">
        <v>0</v>
      </c>
      <c r="AC51" s="4">
        <v>2557</v>
      </c>
      <c r="AD51" s="4">
        <v>7796</v>
      </c>
      <c r="AE51" s="4">
        <v>3010</v>
      </c>
      <c r="AH51" s="4" t="str">
        <f t="shared" si="12"/>
        <v>N/A</v>
      </c>
      <c r="AI51" s="4" t="str">
        <f t="shared" si="13"/>
        <v>N/A</v>
      </c>
      <c r="AJ51" s="4">
        <v>479</v>
      </c>
      <c r="AK51" s="4">
        <v>321</v>
      </c>
      <c r="AL51" s="4">
        <v>122</v>
      </c>
      <c r="AM51" s="4">
        <v>0</v>
      </c>
      <c r="AN51" s="4">
        <f t="shared" si="14"/>
        <v>0.5195227765726681</v>
      </c>
      <c r="AO51" s="4">
        <f t="shared" si="15"/>
        <v>23</v>
      </c>
      <c r="AP51" s="4">
        <v>7741</v>
      </c>
      <c r="AQ51" s="4">
        <v>9908</v>
      </c>
      <c r="AR51" s="4">
        <v>1909</v>
      </c>
      <c r="AS51" s="4">
        <v>0</v>
      </c>
      <c r="AT51" s="4">
        <v>0</v>
      </c>
      <c r="AU51" s="4">
        <v>0</v>
      </c>
      <c r="AV51" s="4">
        <v>0</v>
      </c>
      <c r="AW51" s="4">
        <v>0</v>
      </c>
      <c r="AX51" s="4" t="str">
        <f t="shared" si="16"/>
        <v>N/A</v>
      </c>
      <c r="AY51" s="4" t="str">
        <f t="shared" si="17"/>
        <v>N/A</v>
      </c>
      <c r="AZ51" s="4">
        <v>3757</v>
      </c>
      <c r="BA51" s="4">
        <v>3296</v>
      </c>
      <c r="BB51" s="4">
        <v>6310</v>
      </c>
      <c r="BC51" s="4">
        <v>0</v>
      </c>
      <c r="BD51" s="5">
        <v>6112.371134</v>
      </c>
      <c r="BE51" s="5">
        <v>6571.658394</v>
      </c>
      <c r="BF51" s="5">
        <v>1369.0476189999999</v>
      </c>
      <c r="BG51" s="5">
        <f t="shared" si="18"/>
        <v>27</v>
      </c>
      <c r="BK51" s="5" t="str">
        <f t="shared" si="19"/>
        <v>N/A</v>
      </c>
      <c r="BL51" s="5">
        <v>7714.9636964999991</v>
      </c>
      <c r="BM51" s="5">
        <v>4340.5333330000003</v>
      </c>
      <c r="BN51" s="5">
        <v>0</v>
      </c>
      <c r="BO51" s="5">
        <v>11008.771929</v>
      </c>
      <c r="BP51" s="5">
        <v>0</v>
      </c>
      <c r="BQ51" s="5">
        <v>22877.14</v>
      </c>
      <c r="BR51" s="5">
        <v>8841.4634729999998</v>
      </c>
      <c r="BS51" s="5">
        <v>4134.5523805000003</v>
      </c>
      <c r="BT51" s="5">
        <v>8932.2095234999997</v>
      </c>
      <c r="BU51" s="5">
        <v>12154.166666500001</v>
      </c>
      <c r="BV51" s="5">
        <v>0</v>
      </c>
      <c r="BW51" s="5">
        <v>22877.14</v>
      </c>
      <c r="BX51" s="5">
        <v>12</v>
      </c>
      <c r="BY51" s="5">
        <v>11</v>
      </c>
      <c r="BZ51" s="5">
        <v>1</v>
      </c>
      <c r="CD51" s="143">
        <v>0.18564952146415181</v>
      </c>
      <c r="CE51" s="143">
        <v>2.6890756302520913E-2</v>
      </c>
      <c r="CF51" s="143">
        <v>34602030.880000003</v>
      </c>
      <c r="CG51" s="144">
        <v>88.8</v>
      </c>
      <c r="CH51" s="144">
        <v>4.9000000000000004</v>
      </c>
      <c r="CI51" s="144">
        <v>2.2000000000000002</v>
      </c>
      <c r="CJ51" s="144">
        <v>90.9</v>
      </c>
      <c r="CK51" s="144">
        <v>5.9</v>
      </c>
      <c r="CL51" s="144">
        <v>0.9</v>
      </c>
      <c r="CM51" s="144">
        <v>96</v>
      </c>
      <c r="CN51" s="144">
        <v>97.7</v>
      </c>
    </row>
    <row r="52" spans="1:92" x14ac:dyDescent="0.3">
      <c r="A52">
        <v>355</v>
      </c>
      <c r="B52" s="1">
        <v>-4.1125432499999996E-3</v>
      </c>
      <c r="C52" s="1">
        <v>-1.55474196E-3</v>
      </c>
      <c r="D52" s="1">
        <v>-1.0582524269999999E-2</v>
      </c>
      <c r="E52" s="1">
        <v>-2.9126213500000001E-3</v>
      </c>
      <c r="F52" s="2">
        <v>2764</v>
      </c>
      <c r="G52" s="2">
        <v>0</v>
      </c>
      <c r="H52" s="2">
        <v>300</v>
      </c>
      <c r="I52" s="2">
        <v>0</v>
      </c>
      <c r="J52" s="2">
        <v>1461</v>
      </c>
      <c r="K52" s="2">
        <v>250</v>
      </c>
      <c r="L52" s="4">
        <v>0</v>
      </c>
      <c r="M52" s="4">
        <v>705</v>
      </c>
      <c r="N52" s="4">
        <v>0</v>
      </c>
      <c r="O52" s="4">
        <v>0</v>
      </c>
      <c r="Q52" s="4">
        <v>2835</v>
      </c>
      <c r="R52" s="4">
        <v>14587</v>
      </c>
      <c r="S52" s="4">
        <v>3654</v>
      </c>
      <c r="T52" s="4">
        <v>0</v>
      </c>
      <c r="V52" s="4">
        <f t="shared" si="10"/>
        <v>1</v>
      </c>
      <c r="W52" s="4">
        <f t="shared" si="11"/>
        <v>1</v>
      </c>
      <c r="X52" s="4">
        <v>0</v>
      </c>
      <c r="Y52" s="4">
        <v>0</v>
      </c>
      <c r="Z52" s="4">
        <v>0</v>
      </c>
      <c r="AA52" s="4">
        <v>0</v>
      </c>
      <c r="AC52" s="4">
        <v>1950</v>
      </c>
      <c r="AD52" s="4">
        <v>5250</v>
      </c>
      <c r="AE52" s="4">
        <v>2425</v>
      </c>
      <c r="AF52" s="4">
        <v>2825</v>
      </c>
      <c r="AH52" s="4" t="str">
        <f t="shared" si="12"/>
        <v>N/A</v>
      </c>
      <c r="AI52" s="4" t="str">
        <f t="shared" si="13"/>
        <v>N/A</v>
      </c>
      <c r="AJ52" s="4">
        <v>150</v>
      </c>
      <c r="AK52" s="4">
        <v>525</v>
      </c>
      <c r="AL52" s="4">
        <v>30</v>
      </c>
      <c r="AM52" s="4">
        <v>0</v>
      </c>
      <c r="AN52" s="4">
        <f t="shared" si="14"/>
        <v>0.21276595744680851</v>
      </c>
      <c r="AO52" s="4">
        <f t="shared" si="15"/>
        <v>60</v>
      </c>
      <c r="AP52" s="4">
        <v>4085</v>
      </c>
      <c r="AQ52" s="4">
        <v>13151</v>
      </c>
      <c r="AR52" s="4">
        <v>3570</v>
      </c>
      <c r="AS52" s="4">
        <v>270</v>
      </c>
      <c r="AT52" s="4">
        <v>0</v>
      </c>
      <c r="AU52" s="4">
        <v>0</v>
      </c>
      <c r="AV52" s="4">
        <v>0</v>
      </c>
      <c r="AW52" s="4">
        <v>0</v>
      </c>
      <c r="AX52" s="4" t="str">
        <f t="shared" si="16"/>
        <v>N/A</v>
      </c>
      <c r="AY52" s="4" t="str">
        <f t="shared" si="17"/>
        <v>N/A</v>
      </c>
      <c r="AZ52" s="4">
        <v>900</v>
      </c>
      <c r="BA52" s="4">
        <v>4475</v>
      </c>
      <c r="BB52" s="4">
        <v>7075</v>
      </c>
      <c r="BC52" s="4">
        <v>0</v>
      </c>
      <c r="BD52" s="5">
        <v>6349.1242890000003</v>
      </c>
      <c r="BE52" s="5">
        <v>3738.5641019999998</v>
      </c>
      <c r="BG52" s="5">
        <f t="shared" si="18"/>
        <v>30</v>
      </c>
      <c r="BK52" s="5" t="str">
        <f t="shared" si="19"/>
        <v>N/A</v>
      </c>
      <c r="BL52" s="5">
        <v>7237.7737199999992</v>
      </c>
      <c r="BM52" s="5">
        <v>7075.5434779999996</v>
      </c>
      <c r="BN52" s="5">
        <v>16617.182539000001</v>
      </c>
      <c r="BO52" s="5">
        <v>13118.452380499999</v>
      </c>
      <c r="BP52" s="5">
        <v>0</v>
      </c>
      <c r="BQ52" s="5">
        <v>22877.14</v>
      </c>
      <c r="BR52" s="5">
        <v>8841.4634729999998</v>
      </c>
      <c r="BS52" s="5">
        <v>4134.5523805000003</v>
      </c>
      <c r="BT52" s="5">
        <v>8932.2095234999997</v>
      </c>
      <c r="BU52" s="5">
        <v>12154.166666500001</v>
      </c>
      <c r="BV52" s="5">
        <v>0</v>
      </c>
      <c r="BW52" s="5">
        <v>22877.14</v>
      </c>
      <c r="BX52" s="5">
        <v>17</v>
      </c>
      <c r="BY52" s="5">
        <v>20</v>
      </c>
      <c r="CD52" s="143">
        <v>0.30089659294680215</v>
      </c>
      <c r="CE52" s="143">
        <v>0.11480796878209087</v>
      </c>
      <c r="CF52" s="143">
        <v>48479140.18</v>
      </c>
      <c r="CG52" s="144">
        <v>84.8</v>
      </c>
      <c r="CH52" s="144">
        <v>5.6</v>
      </c>
      <c r="CI52" s="144">
        <v>1.9</v>
      </c>
      <c r="CJ52" s="144">
        <v>82</v>
      </c>
      <c r="CK52" s="144">
        <v>7.7</v>
      </c>
      <c r="CL52" s="144">
        <v>1.9</v>
      </c>
      <c r="CM52" s="144">
        <v>92.3</v>
      </c>
      <c r="CN52" s="144">
        <v>91.6</v>
      </c>
    </row>
    <row r="53" spans="1:92" x14ac:dyDescent="0.3">
      <c r="A53">
        <v>356</v>
      </c>
      <c r="B53" s="1">
        <v>-6.97404106E-3</v>
      </c>
      <c r="C53" s="1">
        <v>-1.50673726E-3</v>
      </c>
      <c r="D53" s="1">
        <v>1.21171573E-2</v>
      </c>
      <c r="E53" s="1">
        <v>4.4603033000000002E-3</v>
      </c>
      <c r="F53" s="2">
        <v>2628</v>
      </c>
      <c r="G53" s="2">
        <v>93</v>
      </c>
      <c r="H53" s="2">
        <v>240</v>
      </c>
      <c r="I53" s="2">
        <v>0</v>
      </c>
      <c r="J53" s="2">
        <v>1275</v>
      </c>
      <c r="K53" s="2">
        <v>0</v>
      </c>
      <c r="L53" s="4">
        <v>162</v>
      </c>
      <c r="M53" s="4">
        <v>816</v>
      </c>
      <c r="N53" s="4">
        <v>90</v>
      </c>
      <c r="O53" s="4">
        <v>0</v>
      </c>
      <c r="Q53" s="4">
        <v>6314</v>
      </c>
      <c r="R53" s="4">
        <v>15210</v>
      </c>
      <c r="S53" s="4">
        <v>2394</v>
      </c>
      <c r="T53" s="4">
        <v>0</v>
      </c>
      <c r="V53" s="4">
        <f t="shared" si="10"/>
        <v>0.9157303370786517</v>
      </c>
      <c r="W53" s="4">
        <f t="shared" si="11"/>
        <v>68</v>
      </c>
      <c r="X53" s="4">
        <v>242</v>
      </c>
      <c r="Y53" s="4">
        <v>225</v>
      </c>
      <c r="Z53" s="4">
        <v>0</v>
      </c>
      <c r="AA53" s="4">
        <v>0</v>
      </c>
      <c r="AC53" s="4">
        <v>2589</v>
      </c>
      <c r="AD53" s="4">
        <v>9273</v>
      </c>
      <c r="AE53" s="4">
        <v>2409</v>
      </c>
      <c r="AF53" s="4">
        <v>2360</v>
      </c>
      <c r="AH53" s="4">
        <f t="shared" si="12"/>
        <v>1</v>
      </c>
      <c r="AI53" s="4">
        <f t="shared" si="13"/>
        <v>1</v>
      </c>
      <c r="AJ53" s="4">
        <v>150</v>
      </c>
      <c r="AK53" s="4">
        <v>752</v>
      </c>
      <c r="AL53" s="4">
        <v>139</v>
      </c>
      <c r="AM53" s="4">
        <v>27</v>
      </c>
      <c r="AN53" s="4">
        <f t="shared" si="14"/>
        <v>0.14409221902017291</v>
      </c>
      <c r="AO53" s="4">
        <f t="shared" si="15"/>
        <v>70</v>
      </c>
      <c r="AP53" s="4">
        <v>4469</v>
      </c>
      <c r="AQ53" s="4">
        <v>15319</v>
      </c>
      <c r="AR53" s="4">
        <v>2843</v>
      </c>
      <c r="AS53" s="4">
        <v>1287</v>
      </c>
      <c r="AT53" s="4">
        <v>467</v>
      </c>
      <c r="AU53" s="4">
        <v>0</v>
      </c>
      <c r="AV53" s="4">
        <v>0</v>
      </c>
      <c r="AW53" s="4">
        <v>0</v>
      </c>
      <c r="AX53" s="4">
        <f t="shared" si="16"/>
        <v>1</v>
      </c>
      <c r="AY53" s="4">
        <f t="shared" si="17"/>
        <v>1</v>
      </c>
      <c r="AZ53" s="4">
        <v>8672</v>
      </c>
      <c r="BA53" s="4">
        <v>4142</v>
      </c>
      <c r="BB53" s="4">
        <v>3817</v>
      </c>
      <c r="BC53" s="4">
        <v>0</v>
      </c>
      <c r="BD53" s="5">
        <v>7473.8296959999998</v>
      </c>
      <c r="BE53" s="5">
        <v>3712.609027</v>
      </c>
      <c r="BF53" s="5">
        <v>12855.095238</v>
      </c>
      <c r="BG53" s="5">
        <f t="shared" si="18"/>
        <v>50</v>
      </c>
      <c r="BH53" s="5">
        <v>4697.4444439999997</v>
      </c>
      <c r="BK53" s="5">
        <f t="shared" si="19"/>
        <v>11</v>
      </c>
      <c r="BL53" s="5">
        <v>8529.3281449999995</v>
      </c>
      <c r="BM53" s="5">
        <v>4372.1777769999999</v>
      </c>
      <c r="BN53" s="5">
        <v>12757.496825</v>
      </c>
      <c r="BO53" s="5">
        <v>7463.3391529999999</v>
      </c>
      <c r="BP53" s="5">
        <v>0</v>
      </c>
      <c r="BQ53" s="5">
        <v>0</v>
      </c>
      <c r="BR53" s="5">
        <v>8841.4634729999998</v>
      </c>
      <c r="BS53" s="5">
        <v>4134.5523805000003</v>
      </c>
      <c r="BT53" s="5">
        <v>8932.2095234999997</v>
      </c>
      <c r="BU53" s="5">
        <v>12154.166666500001</v>
      </c>
      <c r="BV53" s="5">
        <v>0</v>
      </c>
      <c r="BW53" s="5">
        <v>22877.14</v>
      </c>
      <c r="BX53" s="5">
        <v>19</v>
      </c>
      <c r="BY53" s="5">
        <v>5</v>
      </c>
      <c r="BZ53" s="5">
        <v>2</v>
      </c>
      <c r="CA53" s="5">
        <v>1</v>
      </c>
      <c r="CD53" s="143">
        <v>0.18305880099597771</v>
      </c>
      <c r="CE53" s="143">
        <v>4.923999143652269E-3</v>
      </c>
      <c r="CF53" s="143">
        <v>33472787.859999999</v>
      </c>
      <c r="CG53" s="144">
        <v>87.6</v>
      </c>
      <c r="CH53" s="144">
        <v>5.9</v>
      </c>
      <c r="CI53" s="144">
        <v>2.4</v>
      </c>
      <c r="CJ53" s="144">
        <v>84</v>
      </c>
      <c r="CK53" s="144">
        <v>8.5</v>
      </c>
      <c r="CL53" s="144">
        <v>2.2999999999999998</v>
      </c>
      <c r="CM53" s="144">
        <v>95.9</v>
      </c>
      <c r="CN53" s="144">
        <v>94.7</v>
      </c>
    </row>
    <row r="54" spans="1:92" x14ac:dyDescent="0.3">
      <c r="A54">
        <v>357</v>
      </c>
      <c r="B54" s="1">
        <v>4.8296898799999998E-3</v>
      </c>
      <c r="C54" s="1">
        <v>4.8296898799999998E-3</v>
      </c>
      <c r="D54" s="1">
        <v>4.1189567429999997E-2</v>
      </c>
      <c r="E54" s="1">
        <v>4.1189567429999997E-2</v>
      </c>
      <c r="F54" s="2">
        <v>1913</v>
      </c>
      <c r="G54" s="2">
        <v>15</v>
      </c>
      <c r="H54" s="2">
        <v>120</v>
      </c>
      <c r="I54" s="2">
        <v>0</v>
      </c>
      <c r="J54" s="2">
        <v>1915</v>
      </c>
      <c r="K54" s="2">
        <v>260</v>
      </c>
      <c r="L54" s="4">
        <v>0</v>
      </c>
      <c r="M54" s="4">
        <v>180</v>
      </c>
      <c r="N54" s="4">
        <v>30</v>
      </c>
      <c r="O54" s="4">
        <v>0</v>
      </c>
      <c r="Q54" s="4">
        <v>1673</v>
      </c>
      <c r="R54" s="4">
        <v>14648</v>
      </c>
      <c r="S54" s="4">
        <v>3855</v>
      </c>
      <c r="T54" s="4">
        <v>315</v>
      </c>
      <c r="V54" s="4">
        <f t="shared" si="10"/>
        <v>0.8571428571428571</v>
      </c>
      <c r="W54" s="4">
        <f t="shared" si="11"/>
        <v>79</v>
      </c>
      <c r="X54" s="4">
        <v>30</v>
      </c>
      <c r="Y54" s="4">
        <v>0</v>
      </c>
      <c r="Z54" s="4">
        <v>0</v>
      </c>
      <c r="AA54" s="4">
        <v>0</v>
      </c>
      <c r="AC54" s="4">
        <v>1725</v>
      </c>
      <c r="AD54" s="4">
        <v>5156</v>
      </c>
      <c r="AE54" s="4">
        <v>5576</v>
      </c>
      <c r="AF54" s="4">
        <v>2640</v>
      </c>
      <c r="AH54" s="4">
        <f t="shared" si="12"/>
        <v>1</v>
      </c>
      <c r="AI54" s="4">
        <f t="shared" si="13"/>
        <v>1</v>
      </c>
      <c r="AJ54" s="4">
        <v>0</v>
      </c>
      <c r="AK54" s="4">
        <v>180</v>
      </c>
      <c r="AL54" s="4">
        <v>30</v>
      </c>
      <c r="AM54" s="4">
        <v>0</v>
      </c>
      <c r="AN54" s="4">
        <f t="shared" si="14"/>
        <v>0</v>
      </c>
      <c r="AO54" s="4">
        <f t="shared" si="15"/>
        <v>100</v>
      </c>
      <c r="AP54" s="4">
        <v>5271</v>
      </c>
      <c r="AQ54" s="4">
        <v>12409</v>
      </c>
      <c r="AR54" s="4">
        <v>2631</v>
      </c>
      <c r="AS54" s="4">
        <v>180</v>
      </c>
      <c r="AT54" s="4">
        <v>30</v>
      </c>
      <c r="AU54" s="4">
        <v>0</v>
      </c>
      <c r="AV54" s="4">
        <v>0</v>
      </c>
      <c r="AW54" s="4">
        <v>0</v>
      </c>
      <c r="AX54" s="4">
        <f t="shared" si="16"/>
        <v>1</v>
      </c>
      <c r="AY54" s="4">
        <f t="shared" si="17"/>
        <v>1</v>
      </c>
      <c r="AZ54" s="4">
        <v>2550</v>
      </c>
      <c r="BA54" s="4">
        <v>5641</v>
      </c>
      <c r="BB54" s="4">
        <v>6906</v>
      </c>
      <c r="BC54" s="4">
        <v>0</v>
      </c>
      <c r="BD54" s="5">
        <v>4599.3882119999998</v>
      </c>
      <c r="BE54" s="5">
        <v>4340.5333330000003</v>
      </c>
      <c r="BG54" s="5">
        <f t="shared" si="18"/>
        <v>9</v>
      </c>
      <c r="BJ54" s="5">
        <v>22877.14</v>
      </c>
      <c r="BK54" s="5" t="str">
        <f t="shared" si="19"/>
        <v>N/A</v>
      </c>
      <c r="BL54" s="5">
        <v>6453.8915660000002</v>
      </c>
      <c r="BM54" s="5">
        <v>4900</v>
      </c>
      <c r="BN54" s="5">
        <v>3666.6666660000001</v>
      </c>
      <c r="BO54" s="5">
        <v>0</v>
      </c>
      <c r="BP54" s="5">
        <v>0</v>
      </c>
      <c r="BQ54" s="5">
        <v>0</v>
      </c>
      <c r="BR54" s="5">
        <v>8841.4634729999998</v>
      </c>
      <c r="BS54" s="5">
        <v>4134.5523805000003</v>
      </c>
      <c r="BT54" s="5">
        <v>8932.2095234999997</v>
      </c>
      <c r="BU54" s="5">
        <v>12154.166666500001</v>
      </c>
      <c r="BV54" s="5">
        <v>0</v>
      </c>
      <c r="BW54" s="5">
        <v>22877.14</v>
      </c>
      <c r="BX54" s="5">
        <v>12</v>
      </c>
      <c r="BY54" s="5">
        <v>6</v>
      </c>
      <c r="CC54" s="5">
        <v>1</v>
      </c>
      <c r="CD54" s="143">
        <v>0.24247635425623382</v>
      </c>
      <c r="CE54" s="143">
        <v>0.14523685580426871</v>
      </c>
      <c r="CF54" s="143">
        <v>37902860.909999996</v>
      </c>
      <c r="CG54" s="144">
        <v>88</v>
      </c>
      <c r="CH54" s="144">
        <v>6.1</v>
      </c>
      <c r="CI54" s="144">
        <v>1.6</v>
      </c>
      <c r="CJ54" s="144">
        <v>86.8</v>
      </c>
      <c r="CK54" s="144">
        <v>8.1999999999999993</v>
      </c>
      <c r="CL54" s="144">
        <v>1.8</v>
      </c>
      <c r="CM54" s="144">
        <v>95.6</v>
      </c>
      <c r="CN54" s="144">
        <v>96.8</v>
      </c>
    </row>
    <row r="55" spans="1:92" x14ac:dyDescent="0.3">
      <c r="A55">
        <v>358</v>
      </c>
      <c r="B55" s="1">
        <v>-7.3548189299999997E-3</v>
      </c>
      <c r="C55" s="1">
        <v>-1.8897798600000001E-3</v>
      </c>
      <c r="D55" s="1">
        <v>9.55048111E-3</v>
      </c>
      <c r="E55" s="1">
        <v>7.5398535099999997E-3</v>
      </c>
      <c r="F55" s="2">
        <v>2489</v>
      </c>
      <c r="G55" s="2">
        <v>1181</v>
      </c>
      <c r="H55" s="2">
        <v>230</v>
      </c>
      <c r="I55" s="2">
        <v>190</v>
      </c>
      <c r="J55" s="2">
        <v>735</v>
      </c>
      <c r="K55" s="2">
        <v>0</v>
      </c>
      <c r="L55" s="4">
        <v>619</v>
      </c>
      <c r="M55" s="4">
        <v>349</v>
      </c>
      <c r="N55" s="4">
        <v>0</v>
      </c>
      <c r="Q55" s="4">
        <v>10081</v>
      </c>
      <c r="R55" s="4">
        <v>8631</v>
      </c>
      <c r="S55" s="4">
        <v>1033</v>
      </c>
      <c r="V55" s="4">
        <f t="shared" si="10"/>
        <v>1</v>
      </c>
      <c r="W55" s="4">
        <f t="shared" si="11"/>
        <v>1</v>
      </c>
      <c r="X55" s="4">
        <v>132</v>
      </c>
      <c r="Y55" s="4">
        <v>119</v>
      </c>
      <c r="Z55" s="4">
        <v>0</v>
      </c>
      <c r="AC55" s="4">
        <v>10910</v>
      </c>
      <c r="AD55" s="4">
        <v>6571</v>
      </c>
      <c r="AE55" s="4">
        <v>2197</v>
      </c>
      <c r="AH55" s="4">
        <f t="shared" si="12"/>
        <v>1</v>
      </c>
      <c r="AI55" s="4">
        <f t="shared" si="13"/>
        <v>1</v>
      </c>
      <c r="AJ55" s="4">
        <v>784</v>
      </c>
      <c r="AK55" s="4">
        <v>184</v>
      </c>
      <c r="AL55" s="4">
        <v>0</v>
      </c>
      <c r="AM55" s="4">
        <v>0</v>
      </c>
      <c r="AN55" s="4">
        <f t="shared" si="14"/>
        <v>0.80991735537190079</v>
      </c>
      <c r="AO55" s="4">
        <f t="shared" si="15"/>
        <v>5</v>
      </c>
      <c r="AP55" s="4">
        <v>5729</v>
      </c>
      <c r="AQ55" s="4">
        <v>11772</v>
      </c>
      <c r="AR55" s="4">
        <v>969</v>
      </c>
      <c r="AS55" s="4">
        <v>1275</v>
      </c>
      <c r="AT55" s="4">
        <v>126</v>
      </c>
      <c r="AU55" s="4">
        <v>93</v>
      </c>
      <c r="AV55" s="4">
        <v>32</v>
      </c>
      <c r="AW55" s="4">
        <v>0</v>
      </c>
      <c r="AX55" s="4">
        <f t="shared" si="16"/>
        <v>0.50199203187250996</v>
      </c>
      <c r="AY55" s="4">
        <f t="shared" si="17"/>
        <v>52</v>
      </c>
      <c r="AZ55" s="4">
        <v>10372</v>
      </c>
      <c r="BA55" s="4">
        <v>4665</v>
      </c>
      <c r="BB55" s="4">
        <v>4641</v>
      </c>
      <c r="BC55" s="4">
        <v>0</v>
      </c>
      <c r="BD55" s="5">
        <v>9750.3406589999995</v>
      </c>
      <c r="BE55" s="5">
        <v>3928.5714280000002</v>
      </c>
      <c r="BG55" s="5">
        <f t="shared" si="18"/>
        <v>82</v>
      </c>
      <c r="BH55" s="5">
        <v>12500</v>
      </c>
      <c r="BK55" s="5">
        <f t="shared" si="19"/>
        <v>25</v>
      </c>
      <c r="BL55" s="5">
        <v>9959.1209584999997</v>
      </c>
      <c r="BM55" s="5">
        <v>4134.5911939999996</v>
      </c>
      <c r="BN55" s="5">
        <v>16013.935952</v>
      </c>
      <c r="BO55" s="5">
        <v>13267.030004</v>
      </c>
      <c r="BP55" s="5">
        <v>0</v>
      </c>
      <c r="BQ55" s="5">
        <v>0</v>
      </c>
      <c r="BR55" s="5">
        <v>8841.4634729999998</v>
      </c>
      <c r="BS55" s="5">
        <v>4134.5523805000003</v>
      </c>
      <c r="BT55" s="5">
        <v>8932.2095234999997</v>
      </c>
      <c r="BU55" s="5">
        <v>12154.166666500001</v>
      </c>
      <c r="BV55" s="5">
        <v>0</v>
      </c>
      <c r="BW55" s="5">
        <v>22877.14</v>
      </c>
      <c r="BX55" s="5">
        <v>14</v>
      </c>
      <c r="BY55" s="5">
        <v>1</v>
      </c>
      <c r="CA55" s="5">
        <v>1</v>
      </c>
      <c r="CD55" s="143">
        <v>0.17929061784897016</v>
      </c>
      <c r="CE55" s="143">
        <v>2.3036358590063921E-2</v>
      </c>
      <c r="CF55" s="143">
        <v>51952889.369999997</v>
      </c>
      <c r="CG55" s="144">
        <v>87.1</v>
      </c>
      <c r="CH55" s="144">
        <v>6.4</v>
      </c>
      <c r="CI55" s="144">
        <v>2.1</v>
      </c>
      <c r="CJ55" s="144">
        <v>76.099999999999994</v>
      </c>
      <c r="CK55" s="144">
        <v>13</v>
      </c>
      <c r="CL55" s="144">
        <v>4.5999999999999996</v>
      </c>
      <c r="CM55" s="144">
        <v>95.6</v>
      </c>
      <c r="CN55" s="144">
        <v>93.6</v>
      </c>
    </row>
    <row r="56" spans="1:92" x14ac:dyDescent="0.3">
      <c r="A56">
        <v>359</v>
      </c>
      <c r="B56" s="1">
        <v>1.21544795E-3</v>
      </c>
      <c r="C56" s="1">
        <v>-1.72515193E-3</v>
      </c>
      <c r="D56" s="1">
        <v>1.24941342E-2</v>
      </c>
      <c r="E56" s="1">
        <v>4.0473955799999999E-3</v>
      </c>
      <c r="F56" s="2">
        <v>1086</v>
      </c>
      <c r="G56" s="2">
        <v>0</v>
      </c>
      <c r="H56" s="2">
        <v>450</v>
      </c>
      <c r="I56" s="2">
        <v>180</v>
      </c>
      <c r="J56" s="2">
        <v>209</v>
      </c>
      <c r="K56" s="2">
        <v>570</v>
      </c>
      <c r="L56" s="4">
        <v>39</v>
      </c>
      <c r="M56" s="4">
        <v>303</v>
      </c>
      <c r="N56" s="4">
        <v>0</v>
      </c>
      <c r="O56" s="4">
        <v>0</v>
      </c>
      <c r="Q56" s="4">
        <v>7569</v>
      </c>
      <c r="R56" s="4">
        <v>16554</v>
      </c>
      <c r="S56" s="4">
        <v>1879</v>
      </c>
      <c r="T56" s="4">
        <v>603</v>
      </c>
      <c r="V56" s="4">
        <f t="shared" si="10"/>
        <v>1</v>
      </c>
      <c r="W56" s="4">
        <f t="shared" si="11"/>
        <v>1</v>
      </c>
      <c r="X56" s="4">
        <v>0</v>
      </c>
      <c r="Y56" s="4">
        <v>0</v>
      </c>
      <c r="Z56" s="4">
        <v>0</v>
      </c>
      <c r="AA56" s="4">
        <v>0</v>
      </c>
      <c r="AC56" s="4">
        <v>3107</v>
      </c>
      <c r="AD56" s="4">
        <v>10351</v>
      </c>
      <c r="AE56" s="4">
        <v>5179</v>
      </c>
      <c r="AF56" s="4">
        <v>0</v>
      </c>
      <c r="AH56" s="4" t="str">
        <f t="shared" si="12"/>
        <v>N/A</v>
      </c>
      <c r="AI56" s="4" t="str">
        <f t="shared" si="13"/>
        <v>N/A</v>
      </c>
      <c r="AJ56" s="4">
        <v>207</v>
      </c>
      <c r="AK56" s="4">
        <v>118</v>
      </c>
      <c r="AL56" s="4">
        <v>17</v>
      </c>
      <c r="AM56" s="4">
        <v>0</v>
      </c>
      <c r="AN56" s="4">
        <f t="shared" si="14"/>
        <v>0.60526315789473684</v>
      </c>
      <c r="AO56" s="4">
        <f t="shared" si="15"/>
        <v>16</v>
      </c>
      <c r="AP56" s="4">
        <v>8777</v>
      </c>
      <c r="AQ56" s="4">
        <v>14148</v>
      </c>
      <c r="AR56" s="4">
        <v>3356</v>
      </c>
      <c r="AS56" s="4">
        <v>324</v>
      </c>
      <c r="AT56" s="4">
        <v>0</v>
      </c>
      <c r="AU56" s="4">
        <v>0</v>
      </c>
      <c r="AV56" s="4">
        <v>0</v>
      </c>
      <c r="AW56" s="4">
        <v>0</v>
      </c>
      <c r="AX56" s="4" t="str">
        <f t="shared" si="16"/>
        <v>N/A</v>
      </c>
      <c r="AY56" s="4" t="str">
        <f t="shared" si="17"/>
        <v>N/A</v>
      </c>
      <c r="AZ56" s="4">
        <v>5771</v>
      </c>
      <c r="BA56" s="4">
        <v>4347</v>
      </c>
      <c r="BB56" s="4">
        <v>8519</v>
      </c>
      <c r="BC56" s="4">
        <v>0</v>
      </c>
      <c r="BD56" s="5">
        <v>8841.4634729999998</v>
      </c>
      <c r="BE56" s="5">
        <v>4900</v>
      </c>
      <c r="BF56" s="5">
        <v>12384.419046999999</v>
      </c>
      <c r="BG56" s="5">
        <f t="shared" si="18"/>
        <v>66</v>
      </c>
      <c r="BK56" s="5" t="str">
        <f t="shared" si="19"/>
        <v>N/A</v>
      </c>
      <c r="BL56" s="5">
        <v>6165.2667354999994</v>
      </c>
      <c r="BM56" s="5">
        <v>5660.25641</v>
      </c>
      <c r="BN56" s="5">
        <v>2830.1623370000002</v>
      </c>
      <c r="BO56" s="5">
        <v>0</v>
      </c>
      <c r="BP56" s="5">
        <v>0</v>
      </c>
      <c r="BQ56" s="5">
        <v>22877.14</v>
      </c>
      <c r="BR56" s="5">
        <v>8841.4634729999998</v>
      </c>
      <c r="BS56" s="5">
        <v>4134.5523805000003</v>
      </c>
      <c r="BT56" s="5">
        <v>8932.2095234999997</v>
      </c>
      <c r="BU56" s="5">
        <v>12154.166666500001</v>
      </c>
      <c r="BV56" s="5">
        <v>0</v>
      </c>
      <c r="BW56" s="5">
        <v>22877.14</v>
      </c>
      <c r="BX56" s="5">
        <v>9</v>
      </c>
      <c r="BY56" s="5">
        <v>2</v>
      </c>
      <c r="BZ56" s="5">
        <v>1</v>
      </c>
      <c r="CD56" s="143">
        <v>0.11528240604041007</v>
      </c>
      <c r="CE56" s="143">
        <v>-2.8899871078642003E-2</v>
      </c>
      <c r="CF56" s="143">
        <v>38385340.609999999</v>
      </c>
      <c r="CG56" s="144">
        <v>88.6</v>
      </c>
      <c r="CH56" s="144">
        <v>6.4</v>
      </c>
      <c r="CI56" s="144">
        <v>1.4</v>
      </c>
      <c r="CJ56" s="144">
        <v>92.4</v>
      </c>
      <c r="CK56" s="144">
        <v>5.3</v>
      </c>
      <c r="CL56" s="144">
        <v>0.7</v>
      </c>
      <c r="CM56" s="144">
        <v>96.4</v>
      </c>
      <c r="CN56" s="144">
        <v>98.3</v>
      </c>
    </row>
    <row r="57" spans="1:92" x14ac:dyDescent="0.3">
      <c r="A57">
        <v>370</v>
      </c>
      <c r="B57" s="1">
        <v>-4.8930964700000003E-3</v>
      </c>
      <c r="C57" s="1">
        <v>2.8188490499999998E-3</v>
      </c>
      <c r="D57" s="1">
        <v>1.269248716E-2</v>
      </c>
      <c r="E57" s="1">
        <v>9.8926738199999996E-3</v>
      </c>
      <c r="F57" s="2">
        <v>853</v>
      </c>
      <c r="G57" s="2">
        <v>0</v>
      </c>
      <c r="H57" s="2">
        <v>180</v>
      </c>
      <c r="I57" s="2">
        <v>0</v>
      </c>
      <c r="J57" s="2">
        <v>905</v>
      </c>
      <c r="K57" s="2">
        <v>0</v>
      </c>
      <c r="L57" s="4">
        <v>270</v>
      </c>
      <c r="M57" s="4">
        <v>423</v>
      </c>
      <c r="N57" s="4">
        <v>0</v>
      </c>
      <c r="O57" s="4">
        <v>0</v>
      </c>
      <c r="Q57" s="4">
        <v>5493</v>
      </c>
      <c r="R57" s="4">
        <v>9840</v>
      </c>
      <c r="S57" s="4">
        <v>3171</v>
      </c>
      <c r="T57" s="4">
        <v>630</v>
      </c>
      <c r="V57" s="4">
        <f t="shared" si="10"/>
        <v>1</v>
      </c>
      <c r="W57" s="4">
        <f t="shared" si="11"/>
        <v>1</v>
      </c>
      <c r="X57" s="4">
        <v>0</v>
      </c>
      <c r="Y57" s="4">
        <v>0</v>
      </c>
      <c r="Z57" s="4">
        <v>0</v>
      </c>
      <c r="AA57" s="4">
        <v>0</v>
      </c>
      <c r="AC57" s="4">
        <v>0</v>
      </c>
      <c r="AD57" s="4">
        <v>5600</v>
      </c>
      <c r="AE57" s="4">
        <v>2800</v>
      </c>
      <c r="AF57" s="4">
        <v>2250</v>
      </c>
      <c r="AH57" s="4" t="str">
        <f t="shared" si="12"/>
        <v>N/A</v>
      </c>
      <c r="AI57" s="4" t="str">
        <f t="shared" si="13"/>
        <v>N/A</v>
      </c>
      <c r="AJ57" s="4">
        <v>217</v>
      </c>
      <c r="AK57" s="4">
        <v>331</v>
      </c>
      <c r="AL57" s="4">
        <v>145</v>
      </c>
      <c r="AM57" s="4">
        <v>0</v>
      </c>
      <c r="AN57" s="4">
        <f t="shared" si="14"/>
        <v>0.31313131313131315</v>
      </c>
      <c r="AO57" s="4">
        <f t="shared" si="15"/>
        <v>47</v>
      </c>
      <c r="AP57" s="4">
        <v>3976</v>
      </c>
      <c r="AQ57" s="4">
        <v>9440</v>
      </c>
      <c r="AR57" s="4">
        <v>5718</v>
      </c>
      <c r="AS57" s="4">
        <v>0</v>
      </c>
      <c r="AU57" s="4">
        <v>0</v>
      </c>
      <c r="AV57" s="4">
        <v>0</v>
      </c>
      <c r="AW57" s="4">
        <v>0</v>
      </c>
      <c r="AX57" s="4" t="str">
        <f t="shared" si="16"/>
        <v>N/A</v>
      </c>
      <c r="AY57" s="4" t="str">
        <f t="shared" si="17"/>
        <v>N/A</v>
      </c>
      <c r="BA57" s="4">
        <v>3700</v>
      </c>
      <c r="BB57" s="4">
        <v>6950</v>
      </c>
      <c r="BC57" s="4">
        <v>0</v>
      </c>
      <c r="BD57" s="5">
        <v>9043.2432430000008</v>
      </c>
      <c r="BG57" s="5">
        <f t="shared" si="18"/>
        <v>71</v>
      </c>
      <c r="BK57" s="5" t="str">
        <f t="shared" si="19"/>
        <v>N/A</v>
      </c>
      <c r="BL57" s="5">
        <v>6393.55</v>
      </c>
      <c r="BM57" s="5">
        <v>4900</v>
      </c>
      <c r="BN57" s="5">
        <v>2830.1623370000002</v>
      </c>
      <c r="BO57" s="5">
        <v>0</v>
      </c>
      <c r="BP57" s="5">
        <v>0</v>
      </c>
      <c r="BQ57" s="5">
        <v>0</v>
      </c>
      <c r="BR57" s="5">
        <v>7577.5733039999996</v>
      </c>
      <c r="BS57" s="5">
        <v>4607.0959935000001</v>
      </c>
      <c r="BT57" s="5">
        <v>14654.828571</v>
      </c>
      <c r="BU57" s="5">
        <v>5953.3249999999998</v>
      </c>
      <c r="BV57" s="5">
        <v>2316.6666660000001</v>
      </c>
      <c r="BW57" s="5">
        <v>17908.496730999999</v>
      </c>
      <c r="BX57" s="5">
        <v>18</v>
      </c>
      <c r="CD57" s="143">
        <v>0.14527845036319609</v>
      </c>
      <c r="CE57" s="143">
        <v>-6.9423929098965997E-2</v>
      </c>
      <c r="CF57" s="143">
        <v>16379393.609999999</v>
      </c>
      <c r="CG57" s="144">
        <v>90.6</v>
      </c>
      <c r="CH57" s="144">
        <v>4.5</v>
      </c>
      <c r="CI57" s="144">
        <v>1.2</v>
      </c>
      <c r="CJ57" s="144">
        <v>90.4</v>
      </c>
      <c r="CK57" s="144">
        <v>6.5</v>
      </c>
      <c r="CL57" s="144">
        <v>0.6</v>
      </c>
      <c r="CM57" s="144">
        <v>96.3</v>
      </c>
      <c r="CN57" s="144">
        <v>97.5</v>
      </c>
    </row>
    <row r="58" spans="1:92" x14ac:dyDescent="0.3">
      <c r="A58">
        <v>371</v>
      </c>
      <c r="B58" s="1">
        <v>-6.72026881E-3</v>
      </c>
      <c r="C58" s="1">
        <v>3.3601344E-3</v>
      </c>
      <c r="D58" s="1">
        <v>-8.7691018100000007E-3</v>
      </c>
      <c r="E58" s="1">
        <v>3.8687212999999999E-4</v>
      </c>
      <c r="F58" s="2">
        <v>1276</v>
      </c>
      <c r="G58" s="2">
        <v>727</v>
      </c>
      <c r="H58" s="2">
        <v>170</v>
      </c>
      <c r="I58" s="2">
        <v>190</v>
      </c>
      <c r="J58" s="2">
        <v>2658</v>
      </c>
      <c r="K58" s="2">
        <v>0</v>
      </c>
      <c r="L58" s="4">
        <v>226</v>
      </c>
      <c r="M58" s="4">
        <v>182</v>
      </c>
      <c r="N58" s="4">
        <v>259</v>
      </c>
      <c r="O58" s="4">
        <v>0</v>
      </c>
      <c r="Q58" s="4">
        <v>3976</v>
      </c>
      <c r="R58" s="4">
        <v>12472</v>
      </c>
      <c r="S58" s="4">
        <v>9218</v>
      </c>
      <c r="T58" s="4">
        <v>1183</v>
      </c>
      <c r="V58" s="4">
        <f t="shared" si="10"/>
        <v>0.61169415292353824</v>
      </c>
      <c r="W58" s="4">
        <f t="shared" si="11"/>
        <v>124</v>
      </c>
      <c r="X58" s="4">
        <v>0</v>
      </c>
      <c r="Y58" s="4">
        <v>0</v>
      </c>
      <c r="Z58" s="4">
        <v>0</v>
      </c>
      <c r="AA58" s="4">
        <v>0</v>
      </c>
      <c r="AC58" s="4">
        <v>2875</v>
      </c>
      <c r="AD58" s="4">
        <v>4311</v>
      </c>
      <c r="AE58" s="4">
        <v>8947</v>
      </c>
      <c r="AF58" s="4">
        <v>6207</v>
      </c>
      <c r="AH58" s="4" t="str">
        <f t="shared" si="12"/>
        <v>N/A</v>
      </c>
      <c r="AI58" s="4" t="str">
        <f t="shared" si="13"/>
        <v>N/A</v>
      </c>
      <c r="AJ58" s="4">
        <v>0</v>
      </c>
      <c r="AK58" s="4">
        <v>394</v>
      </c>
      <c r="AL58" s="4">
        <v>258</v>
      </c>
      <c r="AM58" s="4">
        <v>15</v>
      </c>
      <c r="AN58" s="4">
        <f t="shared" si="14"/>
        <v>0</v>
      </c>
      <c r="AO58" s="4">
        <f t="shared" si="15"/>
        <v>100</v>
      </c>
      <c r="AP58" s="4">
        <v>2139</v>
      </c>
      <c r="AQ58" s="4">
        <v>14095</v>
      </c>
      <c r="AR58" s="4">
        <v>8659</v>
      </c>
      <c r="AS58" s="4">
        <v>1956</v>
      </c>
      <c r="AT58" s="4">
        <v>0</v>
      </c>
      <c r="AU58" s="4">
        <v>0</v>
      </c>
      <c r="AV58" s="4">
        <v>0</v>
      </c>
      <c r="AW58" s="4">
        <v>0</v>
      </c>
      <c r="AX58" s="4" t="str">
        <f t="shared" si="16"/>
        <v>N/A</v>
      </c>
      <c r="AY58" s="4" t="str">
        <f t="shared" si="17"/>
        <v>N/A</v>
      </c>
      <c r="AZ58" s="4">
        <v>6307</v>
      </c>
      <c r="BA58" s="4">
        <v>3847</v>
      </c>
      <c r="BB58" s="4">
        <v>12186</v>
      </c>
      <c r="BC58" s="4">
        <v>0</v>
      </c>
      <c r="BD58" s="5">
        <v>6453.8915660000002</v>
      </c>
      <c r="BG58" s="5">
        <f t="shared" si="18"/>
        <v>32</v>
      </c>
      <c r="BK58" s="5" t="str">
        <f t="shared" si="19"/>
        <v>N/A</v>
      </c>
      <c r="BL58" s="5">
        <v>6199.4609060000003</v>
      </c>
      <c r="BM58" s="5">
        <v>4620.2666664999997</v>
      </c>
      <c r="BN58" s="5">
        <v>14973.603401</v>
      </c>
      <c r="BO58" s="5">
        <v>0</v>
      </c>
      <c r="BP58" s="5">
        <v>0</v>
      </c>
      <c r="BQ58" s="5">
        <v>22877.14</v>
      </c>
      <c r="BR58" s="5">
        <v>7577.5733039999996</v>
      </c>
      <c r="BS58" s="5">
        <v>4607.0959935000001</v>
      </c>
      <c r="BT58" s="5">
        <v>14654.828571</v>
      </c>
      <c r="BU58" s="5">
        <v>5953.3249999999998</v>
      </c>
      <c r="BV58" s="5">
        <v>2316.6666660000001</v>
      </c>
      <c r="BW58" s="5">
        <v>17908.496730999999</v>
      </c>
      <c r="BX58" s="5">
        <v>3</v>
      </c>
      <c r="CD58" s="143">
        <v>0.18213253961306131</v>
      </c>
      <c r="CE58" s="143">
        <v>0.11335784313725483</v>
      </c>
      <c r="CF58" s="143">
        <v>34736235.740000002</v>
      </c>
      <c r="CG58" s="144">
        <v>94.2</v>
      </c>
      <c r="CH58" s="144">
        <v>2.6</v>
      </c>
      <c r="CI58" s="144">
        <v>0.8</v>
      </c>
      <c r="CJ58" s="144">
        <v>94.3</v>
      </c>
      <c r="CK58" s="144">
        <v>3.9</v>
      </c>
      <c r="CL58" s="144">
        <v>0.5</v>
      </c>
      <c r="CM58" s="144">
        <v>97.6</v>
      </c>
      <c r="CN58" s="144">
        <v>98.7</v>
      </c>
    </row>
    <row r="59" spans="1:92" x14ac:dyDescent="0.3">
      <c r="A59">
        <v>372</v>
      </c>
      <c r="B59" s="1">
        <v>-2.6075328719999999E-2</v>
      </c>
      <c r="C59" s="1">
        <v>-6.2402496E-4</v>
      </c>
      <c r="D59" s="1">
        <v>-4.0983606499999997E-3</v>
      </c>
      <c r="E59" s="1">
        <v>1.297814207E-2</v>
      </c>
      <c r="F59" s="2">
        <v>1673</v>
      </c>
      <c r="G59" s="2">
        <v>101</v>
      </c>
      <c r="H59" s="2">
        <v>70</v>
      </c>
      <c r="I59" s="2">
        <v>180</v>
      </c>
      <c r="J59" s="2">
        <v>682</v>
      </c>
      <c r="K59" s="2">
        <v>225</v>
      </c>
      <c r="L59" s="4">
        <v>45</v>
      </c>
      <c r="M59" s="4">
        <v>310</v>
      </c>
      <c r="N59" s="4">
        <v>111</v>
      </c>
      <c r="O59" s="4">
        <v>0</v>
      </c>
      <c r="P59" s="4">
        <v>30</v>
      </c>
      <c r="Q59" s="4">
        <v>2196</v>
      </c>
      <c r="R59" s="4">
        <v>13623</v>
      </c>
      <c r="S59" s="4">
        <v>5145</v>
      </c>
      <c r="T59" s="4">
        <v>420</v>
      </c>
      <c r="U59" s="4">
        <v>878</v>
      </c>
      <c r="V59" s="4">
        <f t="shared" si="10"/>
        <v>0.7618025751072961</v>
      </c>
      <c r="W59" s="4">
        <f t="shared" si="11"/>
        <v>103</v>
      </c>
      <c r="X59" s="4">
        <v>0</v>
      </c>
      <c r="Y59" s="4">
        <v>50</v>
      </c>
      <c r="Z59" s="4">
        <v>0</v>
      </c>
      <c r="AA59" s="4">
        <v>0</v>
      </c>
      <c r="AB59" s="4">
        <v>0</v>
      </c>
      <c r="AC59" s="4">
        <v>2623</v>
      </c>
      <c r="AD59" s="4">
        <v>14503</v>
      </c>
      <c r="AE59" s="4">
        <v>845</v>
      </c>
      <c r="AF59" s="4">
        <v>1250</v>
      </c>
      <c r="AG59" s="4">
        <v>0</v>
      </c>
      <c r="AH59" s="4">
        <f t="shared" si="12"/>
        <v>1</v>
      </c>
      <c r="AI59" s="4">
        <f t="shared" si="13"/>
        <v>1</v>
      </c>
      <c r="AJ59" s="4">
        <v>0</v>
      </c>
      <c r="AK59" s="4">
        <v>259</v>
      </c>
      <c r="AL59" s="4">
        <v>192</v>
      </c>
      <c r="AM59" s="4">
        <v>45</v>
      </c>
      <c r="AN59" s="4">
        <f t="shared" si="14"/>
        <v>0</v>
      </c>
      <c r="AO59" s="4">
        <f t="shared" si="15"/>
        <v>100</v>
      </c>
      <c r="AP59" s="4">
        <v>3968</v>
      </c>
      <c r="AQ59" s="4">
        <v>10786</v>
      </c>
      <c r="AR59" s="4">
        <v>5459</v>
      </c>
      <c r="AS59" s="4">
        <v>2049</v>
      </c>
      <c r="AT59" s="4">
        <v>50</v>
      </c>
      <c r="AU59" s="4">
        <v>0</v>
      </c>
      <c r="AV59" s="4">
        <v>0</v>
      </c>
      <c r="AW59" s="4">
        <v>0</v>
      </c>
      <c r="AX59" s="4">
        <f t="shared" si="16"/>
        <v>1</v>
      </c>
      <c r="AY59" s="4">
        <f t="shared" si="17"/>
        <v>1</v>
      </c>
      <c r="AZ59" s="4">
        <v>7054</v>
      </c>
      <c r="BA59" s="4">
        <v>4021</v>
      </c>
      <c r="BB59" s="4">
        <v>8146</v>
      </c>
      <c r="BC59" s="4">
        <v>0</v>
      </c>
      <c r="BD59" s="5">
        <v>10180.963572000001</v>
      </c>
      <c r="BE59" s="5">
        <v>5487.1794870000003</v>
      </c>
      <c r="BG59" s="5">
        <f t="shared" si="18"/>
        <v>86</v>
      </c>
      <c r="BK59" s="5" t="str">
        <f t="shared" si="19"/>
        <v>N/A</v>
      </c>
      <c r="BL59" s="5">
        <v>6199.4609060000003</v>
      </c>
      <c r="BM59" s="5">
        <v>4340.5333330000003</v>
      </c>
      <c r="BN59" s="5">
        <v>14973.603401</v>
      </c>
      <c r="BO59" s="5">
        <v>0</v>
      </c>
      <c r="BP59" s="5">
        <v>0</v>
      </c>
      <c r="BQ59" s="5">
        <v>22877.14</v>
      </c>
      <c r="BR59" s="5">
        <v>7577.5733039999996</v>
      </c>
      <c r="BS59" s="5">
        <v>4607.0959935000001</v>
      </c>
      <c r="BT59" s="5">
        <v>14654.828571</v>
      </c>
      <c r="BU59" s="5">
        <v>5953.3249999999998</v>
      </c>
      <c r="BV59" s="5">
        <v>2316.6666660000001</v>
      </c>
      <c r="BW59" s="5">
        <v>17908.496730999999</v>
      </c>
      <c r="BX59" s="5">
        <v>12</v>
      </c>
      <c r="BY59" s="5">
        <v>3</v>
      </c>
      <c r="CD59" s="143">
        <v>0.14019875292283701</v>
      </c>
      <c r="CE59" s="143">
        <v>7.7742409402545842E-3</v>
      </c>
      <c r="CF59" s="143">
        <v>21591838.600000001</v>
      </c>
      <c r="CG59" s="144">
        <v>94.1</v>
      </c>
      <c r="CH59" s="144">
        <v>3.9</v>
      </c>
      <c r="CI59" s="144">
        <v>0.6</v>
      </c>
      <c r="CJ59" s="144">
        <v>95.1</v>
      </c>
      <c r="CK59" s="144">
        <v>3.3</v>
      </c>
      <c r="CL59" s="144">
        <v>0.4</v>
      </c>
      <c r="CM59" s="144">
        <v>98.6</v>
      </c>
      <c r="CN59" s="144">
        <v>98.8</v>
      </c>
    </row>
    <row r="60" spans="1:92" x14ac:dyDescent="0.3">
      <c r="A60">
        <v>373</v>
      </c>
      <c r="B60" s="1">
        <v>1.2752242150000001E-2</v>
      </c>
      <c r="C60" s="1">
        <v>1.111733931E-2</v>
      </c>
      <c r="D60" s="1">
        <v>1.683214396E-2</v>
      </c>
      <c r="E60" s="1">
        <v>6.5932361100000001E-3</v>
      </c>
      <c r="F60" s="2">
        <v>3550</v>
      </c>
      <c r="G60" s="2">
        <v>597</v>
      </c>
      <c r="H60" s="2">
        <v>1040</v>
      </c>
      <c r="I60" s="2">
        <v>680</v>
      </c>
      <c r="J60" s="2">
        <v>939</v>
      </c>
      <c r="K60" s="2">
        <v>1050</v>
      </c>
      <c r="L60" s="4">
        <v>15</v>
      </c>
      <c r="M60" s="4">
        <v>381</v>
      </c>
      <c r="N60" s="4">
        <v>90</v>
      </c>
      <c r="O60" s="4">
        <v>0</v>
      </c>
      <c r="Q60" s="4">
        <v>4382</v>
      </c>
      <c r="R60" s="4">
        <v>26179</v>
      </c>
      <c r="S60" s="4">
        <v>10677</v>
      </c>
      <c r="T60" s="4">
        <v>1340</v>
      </c>
      <c r="V60" s="4">
        <f t="shared" si="10"/>
        <v>0.81481481481481477</v>
      </c>
      <c r="W60" s="4">
        <f t="shared" si="11"/>
        <v>89</v>
      </c>
      <c r="X60" s="4">
        <v>0</v>
      </c>
      <c r="Y60" s="4">
        <v>0</v>
      </c>
      <c r="Z60" s="4">
        <v>0</v>
      </c>
      <c r="AA60" s="4">
        <v>0</v>
      </c>
      <c r="AC60" s="4">
        <v>5369</v>
      </c>
      <c r="AD60" s="4">
        <v>15801</v>
      </c>
      <c r="AE60" s="4">
        <v>5640</v>
      </c>
      <c r="AF60" s="4">
        <v>900</v>
      </c>
      <c r="AH60" s="4" t="str">
        <f t="shared" si="12"/>
        <v>N/A</v>
      </c>
      <c r="AI60" s="4" t="str">
        <f t="shared" si="13"/>
        <v>N/A</v>
      </c>
      <c r="AJ60" s="4">
        <v>285</v>
      </c>
      <c r="AK60" s="4">
        <v>15</v>
      </c>
      <c r="AL60" s="4">
        <v>186</v>
      </c>
      <c r="AM60" s="4">
        <v>0</v>
      </c>
      <c r="AN60" s="4">
        <f t="shared" si="14"/>
        <v>0.5864197530864198</v>
      </c>
      <c r="AO60" s="4">
        <f t="shared" si="15"/>
        <v>18</v>
      </c>
      <c r="AP60" s="4">
        <v>11994</v>
      </c>
      <c r="AQ60" s="4">
        <v>17243</v>
      </c>
      <c r="AR60" s="4">
        <v>9666</v>
      </c>
      <c r="AS60" s="4">
        <v>3675</v>
      </c>
      <c r="AT60" s="4">
        <v>0</v>
      </c>
      <c r="AU60" s="4">
        <v>0</v>
      </c>
      <c r="AV60" s="4">
        <v>0</v>
      </c>
      <c r="AW60" s="4">
        <v>0</v>
      </c>
      <c r="AX60" s="4" t="str">
        <f t="shared" si="16"/>
        <v>N/A</v>
      </c>
      <c r="AY60" s="4" t="str">
        <f t="shared" si="17"/>
        <v>N/A</v>
      </c>
      <c r="AZ60" s="4">
        <v>11594</v>
      </c>
      <c r="BA60" s="4">
        <v>6936</v>
      </c>
      <c r="BB60" s="4">
        <v>9180</v>
      </c>
      <c r="BC60" s="4">
        <v>0</v>
      </c>
      <c r="BD60" s="5">
        <v>9585.0649350000003</v>
      </c>
      <c r="BE60" s="5">
        <v>5585.2396570000001</v>
      </c>
      <c r="BF60" s="5">
        <v>13501.807142</v>
      </c>
      <c r="BG60" s="5">
        <f t="shared" si="18"/>
        <v>76</v>
      </c>
      <c r="BH60" s="5">
        <v>15428.903333</v>
      </c>
      <c r="BJ60" s="5">
        <v>21896.833331999998</v>
      </c>
      <c r="BK60" s="5">
        <f t="shared" si="19"/>
        <v>33</v>
      </c>
      <c r="BL60" s="5">
        <v>8281.1552064999996</v>
      </c>
      <c r="BM60" s="5">
        <v>3376.7959179999998</v>
      </c>
      <c r="BN60" s="5">
        <v>16851.746269499999</v>
      </c>
      <c r="BO60" s="5">
        <v>10605.365106500001</v>
      </c>
      <c r="BP60" s="5">
        <v>0</v>
      </c>
      <c r="BQ60" s="5">
        <v>13272.280833000001</v>
      </c>
      <c r="BR60" s="5">
        <v>7577.5733039999996</v>
      </c>
      <c r="BS60" s="5">
        <v>4607.0959935000001</v>
      </c>
      <c r="BT60" s="5">
        <v>14654.828571</v>
      </c>
      <c r="BU60" s="5">
        <v>5953.3249999999998</v>
      </c>
      <c r="BV60" s="5">
        <v>2316.6666660000001</v>
      </c>
      <c r="BW60" s="5">
        <v>17908.496730999999</v>
      </c>
      <c r="BX60" s="5">
        <v>11</v>
      </c>
      <c r="BY60" s="5">
        <v>15</v>
      </c>
      <c r="BZ60" s="5">
        <v>2</v>
      </c>
      <c r="CA60" s="5">
        <v>1</v>
      </c>
      <c r="CC60" s="5">
        <v>1</v>
      </c>
      <c r="CD60" s="143">
        <v>0.19433705986835226</v>
      </c>
      <c r="CE60" s="143">
        <v>9.9664687108633299E-2</v>
      </c>
      <c r="CF60" s="143">
        <v>101285039.16</v>
      </c>
      <c r="CG60" s="144">
        <v>89.9</v>
      </c>
      <c r="CH60" s="144">
        <v>5.9</v>
      </c>
      <c r="CI60" s="144">
        <v>1.2</v>
      </c>
      <c r="CJ60" s="144">
        <v>86.6</v>
      </c>
      <c r="CK60" s="144">
        <v>6.4</v>
      </c>
      <c r="CL60" s="144">
        <v>1.4</v>
      </c>
      <c r="CM60" s="144">
        <v>97</v>
      </c>
      <c r="CN60" s="144">
        <v>94.4</v>
      </c>
    </row>
    <row r="61" spans="1:92" x14ac:dyDescent="0.3">
      <c r="A61">
        <v>380</v>
      </c>
      <c r="B61" s="1">
        <v>-8.1641002700000003E-3</v>
      </c>
      <c r="C61" s="1">
        <v>6.5089637000000002E-4</v>
      </c>
      <c r="D61" s="1">
        <v>2.1387187549999999E-2</v>
      </c>
      <c r="E61" s="1">
        <v>8.0450256500000008E-3</v>
      </c>
      <c r="F61" s="2">
        <v>8254</v>
      </c>
      <c r="G61" s="2">
        <v>2192</v>
      </c>
      <c r="H61" s="2">
        <v>360</v>
      </c>
      <c r="I61" s="2">
        <v>940</v>
      </c>
      <c r="J61" s="2">
        <v>1467</v>
      </c>
      <c r="K61" s="2">
        <v>1050</v>
      </c>
      <c r="L61" s="4">
        <v>165</v>
      </c>
      <c r="M61" s="4">
        <v>582</v>
      </c>
      <c r="N61" s="4">
        <v>343</v>
      </c>
      <c r="O61" s="4">
        <v>0</v>
      </c>
      <c r="P61" s="4">
        <v>0</v>
      </c>
      <c r="Q61" s="4">
        <v>7020</v>
      </c>
      <c r="R61" s="4">
        <v>28359</v>
      </c>
      <c r="S61" s="4">
        <v>17915</v>
      </c>
      <c r="T61" s="4">
        <v>585</v>
      </c>
      <c r="U61" s="4">
        <v>0</v>
      </c>
      <c r="V61" s="4">
        <f t="shared" si="10"/>
        <v>0.68532110091743115</v>
      </c>
      <c r="W61" s="4">
        <f t="shared" si="11"/>
        <v>115</v>
      </c>
      <c r="X61" s="4">
        <v>0</v>
      </c>
      <c r="Y61" s="4">
        <v>43</v>
      </c>
      <c r="Z61" s="4">
        <v>0</v>
      </c>
      <c r="AA61" s="4">
        <v>0</v>
      </c>
      <c r="AB61" s="4">
        <v>0</v>
      </c>
      <c r="AC61" s="4">
        <v>2317</v>
      </c>
      <c r="AD61" s="4">
        <v>11394</v>
      </c>
      <c r="AE61" s="4">
        <v>13262</v>
      </c>
      <c r="AF61" s="4">
        <v>8261</v>
      </c>
      <c r="AG61" s="4">
        <v>1950</v>
      </c>
      <c r="AH61" s="4">
        <f t="shared" si="12"/>
        <v>1</v>
      </c>
      <c r="AI61" s="4">
        <f t="shared" si="13"/>
        <v>1</v>
      </c>
      <c r="AJ61" s="4">
        <v>90</v>
      </c>
      <c r="AK61" s="4">
        <v>705</v>
      </c>
      <c r="AL61" s="4">
        <v>295</v>
      </c>
      <c r="AM61" s="4">
        <v>0</v>
      </c>
      <c r="AN61" s="4">
        <f t="shared" si="14"/>
        <v>8.2568807339449546E-2</v>
      </c>
      <c r="AO61" s="4">
        <f t="shared" si="15"/>
        <v>87</v>
      </c>
      <c r="AP61" s="4">
        <v>8535</v>
      </c>
      <c r="AQ61" s="4">
        <v>28968</v>
      </c>
      <c r="AR61" s="4">
        <v>15245</v>
      </c>
      <c r="AS61" s="4">
        <v>1131</v>
      </c>
      <c r="AT61" s="4">
        <v>0</v>
      </c>
      <c r="AU61" s="4">
        <v>43</v>
      </c>
      <c r="AV61" s="4">
        <v>0</v>
      </c>
      <c r="AW61" s="4">
        <v>0</v>
      </c>
      <c r="AX61" s="4">
        <f t="shared" si="16"/>
        <v>0</v>
      </c>
      <c r="AY61" s="4">
        <f t="shared" si="17"/>
        <v>73</v>
      </c>
      <c r="AZ61" s="4">
        <v>1907</v>
      </c>
      <c r="BA61" s="4">
        <v>13157</v>
      </c>
      <c r="BB61" s="4">
        <v>22120</v>
      </c>
      <c r="BC61" s="4">
        <v>0</v>
      </c>
      <c r="BD61" s="5">
        <v>11849.234780000001</v>
      </c>
      <c r="BE61" s="5">
        <v>12056.255555</v>
      </c>
      <c r="BF61" s="5">
        <v>14250.133333</v>
      </c>
      <c r="BG61" s="5">
        <f t="shared" si="18"/>
        <v>107</v>
      </c>
      <c r="BK61" s="5" t="str">
        <f t="shared" si="19"/>
        <v>N/A</v>
      </c>
      <c r="BL61" s="5">
        <v>9642.3555185000005</v>
      </c>
      <c r="BM61" s="5">
        <v>4168.6198285</v>
      </c>
      <c r="BN61" s="5">
        <v>15294.058571000001</v>
      </c>
      <c r="BO61" s="5">
        <v>11008.771929</v>
      </c>
      <c r="BP61" s="5">
        <v>0</v>
      </c>
      <c r="BQ61" s="5">
        <v>22527.364165999999</v>
      </c>
      <c r="BR61" s="5">
        <v>7577.5733039999996</v>
      </c>
      <c r="BS61" s="5">
        <v>4607.0959935000001</v>
      </c>
      <c r="BT61" s="5">
        <v>14654.828571</v>
      </c>
      <c r="BU61" s="5">
        <v>5953.3249999999998</v>
      </c>
      <c r="BV61" s="5">
        <v>2316.6666660000001</v>
      </c>
      <c r="BW61" s="5">
        <v>17908.496730999999</v>
      </c>
      <c r="BX61" s="5">
        <v>70</v>
      </c>
      <c r="BY61" s="5">
        <v>3</v>
      </c>
      <c r="BZ61" s="5">
        <v>3</v>
      </c>
      <c r="CD61" s="143">
        <v>0.18672540257988368</v>
      </c>
      <c r="CE61" s="143">
        <v>0.30476751030017657</v>
      </c>
      <c r="CF61" s="143">
        <v>112702431.56</v>
      </c>
      <c r="CG61" s="144">
        <v>85.8</v>
      </c>
      <c r="CH61" s="144">
        <v>6.8</v>
      </c>
      <c r="CI61" s="144">
        <v>2.5</v>
      </c>
      <c r="CJ61" s="144">
        <v>75.2</v>
      </c>
      <c r="CK61" s="144">
        <v>10.7</v>
      </c>
      <c r="CL61" s="144">
        <v>4.8</v>
      </c>
      <c r="CM61" s="144">
        <v>95</v>
      </c>
      <c r="CN61" s="144">
        <v>90.7</v>
      </c>
    </row>
    <row r="62" spans="1:92" x14ac:dyDescent="0.3">
      <c r="A62">
        <v>381</v>
      </c>
      <c r="B62" s="1">
        <v>6.1457887900000004E-3</v>
      </c>
      <c r="C62" s="1">
        <v>1.202436938E-2</v>
      </c>
      <c r="D62" s="1">
        <v>2.4663147109999999E-2</v>
      </c>
      <c r="E62" s="1">
        <v>1.9856591279999999E-2</v>
      </c>
      <c r="F62" s="2">
        <v>1019</v>
      </c>
      <c r="G62" s="2">
        <v>954</v>
      </c>
      <c r="H62" s="2">
        <v>240</v>
      </c>
      <c r="I62" s="2">
        <v>180</v>
      </c>
      <c r="J62" s="2">
        <v>630</v>
      </c>
      <c r="K62" s="2">
        <v>0</v>
      </c>
      <c r="L62" s="4">
        <v>122</v>
      </c>
      <c r="M62" s="4">
        <v>325</v>
      </c>
      <c r="N62" s="4">
        <v>56</v>
      </c>
      <c r="O62" s="4">
        <v>0</v>
      </c>
      <c r="Q62" s="4">
        <v>4372</v>
      </c>
      <c r="R62" s="4">
        <v>12521</v>
      </c>
      <c r="S62" s="4">
        <v>2786</v>
      </c>
      <c r="T62" s="4">
        <v>0</v>
      </c>
      <c r="V62" s="4">
        <f t="shared" si="10"/>
        <v>0.88866799204771374</v>
      </c>
      <c r="W62" s="4">
        <f t="shared" si="11"/>
        <v>71</v>
      </c>
      <c r="X62" s="4">
        <v>0</v>
      </c>
      <c r="Y62" s="4">
        <v>62</v>
      </c>
      <c r="Z62" s="4">
        <v>0</v>
      </c>
      <c r="AA62" s="4">
        <v>0</v>
      </c>
      <c r="AC62" s="4">
        <v>4180</v>
      </c>
      <c r="AD62" s="4">
        <v>8658</v>
      </c>
      <c r="AE62" s="4">
        <v>2318</v>
      </c>
      <c r="AF62" s="4">
        <v>1650</v>
      </c>
      <c r="AH62" s="4">
        <f t="shared" si="12"/>
        <v>1</v>
      </c>
      <c r="AI62" s="4">
        <f t="shared" si="13"/>
        <v>1</v>
      </c>
      <c r="AJ62" s="4">
        <v>206</v>
      </c>
      <c r="AK62" s="4">
        <v>192</v>
      </c>
      <c r="AL62" s="4">
        <v>45</v>
      </c>
      <c r="AM62" s="4">
        <v>60</v>
      </c>
      <c r="AN62" s="4">
        <f t="shared" si="14"/>
        <v>0.4650112866817156</v>
      </c>
      <c r="AO62" s="4">
        <f t="shared" si="15"/>
        <v>27</v>
      </c>
      <c r="AP62" s="4">
        <v>5295</v>
      </c>
      <c r="AQ62" s="4">
        <v>10742</v>
      </c>
      <c r="AR62" s="4">
        <v>2983</v>
      </c>
      <c r="AS62" s="4">
        <v>659</v>
      </c>
      <c r="AT62" s="4">
        <v>0</v>
      </c>
      <c r="AU62" s="4">
        <v>62</v>
      </c>
      <c r="AV62" s="4">
        <v>0</v>
      </c>
      <c r="AW62" s="4">
        <v>0</v>
      </c>
      <c r="AX62" s="4">
        <f t="shared" si="16"/>
        <v>0</v>
      </c>
      <c r="AY62" s="4">
        <f t="shared" si="17"/>
        <v>73</v>
      </c>
      <c r="AZ62" s="4">
        <v>7063</v>
      </c>
      <c r="BA62" s="4">
        <v>6188</v>
      </c>
      <c r="BB62" s="4">
        <v>3555</v>
      </c>
      <c r="BC62" s="4">
        <v>0</v>
      </c>
      <c r="BD62" s="5">
        <v>1747.945205</v>
      </c>
      <c r="BE62" s="5">
        <v>2000</v>
      </c>
      <c r="BG62" s="5">
        <f t="shared" si="18"/>
        <v>2</v>
      </c>
      <c r="BJ62" s="5">
        <v>3386.6666660000001</v>
      </c>
      <c r="BK62" s="5" t="str">
        <f t="shared" si="19"/>
        <v>N/A</v>
      </c>
      <c r="BL62" s="5">
        <v>9849.8140280000007</v>
      </c>
      <c r="BM62" s="5">
        <v>6300</v>
      </c>
      <c r="BN62" s="5">
        <v>24000.567740999999</v>
      </c>
      <c r="BO62" s="5">
        <v>4277.5696200000002</v>
      </c>
      <c r="BP62" s="5">
        <v>3500</v>
      </c>
      <c r="BQ62" s="5">
        <v>0</v>
      </c>
      <c r="BR62" s="5">
        <v>7577.5733039999996</v>
      </c>
      <c r="BS62" s="5">
        <v>4607.0959935000001</v>
      </c>
      <c r="BT62" s="5">
        <v>14654.828571</v>
      </c>
      <c r="BU62" s="5">
        <v>5953.3249999999998</v>
      </c>
      <c r="BV62" s="5">
        <v>2316.6666660000001</v>
      </c>
      <c r="BW62" s="5">
        <v>17908.496730999999</v>
      </c>
      <c r="BX62" s="5">
        <v>4</v>
      </c>
      <c r="BY62" s="5">
        <v>1</v>
      </c>
      <c r="CC62" s="5">
        <v>1</v>
      </c>
      <c r="CD62" s="143">
        <v>0.11074095347501434</v>
      </c>
      <c r="CE62" s="143">
        <v>5.3011316169210954E-2</v>
      </c>
      <c r="CF62" s="143">
        <v>26437160.869999997</v>
      </c>
      <c r="CG62" s="144">
        <v>91.2</v>
      </c>
      <c r="CH62" s="144">
        <v>5.8</v>
      </c>
      <c r="CI62" s="144">
        <v>0.9</v>
      </c>
      <c r="CJ62" s="144">
        <v>83.6</v>
      </c>
      <c r="CK62" s="144">
        <v>8.1999999999999993</v>
      </c>
      <c r="CL62" s="144">
        <v>3.7</v>
      </c>
      <c r="CM62" s="144">
        <v>97.8</v>
      </c>
      <c r="CN62" s="144">
        <v>95.5</v>
      </c>
    </row>
    <row r="63" spans="1:92" x14ac:dyDescent="0.3">
      <c r="A63">
        <v>382</v>
      </c>
      <c r="B63" s="1">
        <v>5.9557344E-3</v>
      </c>
      <c r="C63" s="1">
        <v>-7.5117369999999997E-4</v>
      </c>
      <c r="D63" s="1">
        <v>1.4620272849999999E-2</v>
      </c>
      <c r="E63" s="1">
        <v>-7.9989334000000003E-4</v>
      </c>
      <c r="F63" s="2">
        <v>2597</v>
      </c>
      <c r="G63" s="2">
        <v>0</v>
      </c>
      <c r="H63" s="2">
        <v>580</v>
      </c>
      <c r="I63" s="2">
        <v>300</v>
      </c>
      <c r="J63" s="2">
        <v>732</v>
      </c>
      <c r="K63" s="2">
        <v>108</v>
      </c>
      <c r="L63" s="4">
        <v>216</v>
      </c>
      <c r="M63" s="4">
        <v>239</v>
      </c>
      <c r="N63" s="4">
        <v>500</v>
      </c>
      <c r="O63" s="4">
        <v>0</v>
      </c>
      <c r="P63" s="4">
        <v>440</v>
      </c>
      <c r="Q63" s="4">
        <v>5780</v>
      </c>
      <c r="R63" s="4">
        <v>24974</v>
      </c>
      <c r="S63" s="4">
        <v>5661</v>
      </c>
      <c r="T63" s="4">
        <v>364</v>
      </c>
      <c r="U63" s="4">
        <v>626</v>
      </c>
      <c r="V63" s="4">
        <f t="shared" si="10"/>
        <v>0.47643979057591623</v>
      </c>
      <c r="W63" s="4">
        <f t="shared" si="11"/>
        <v>131</v>
      </c>
      <c r="X63" s="4">
        <v>213</v>
      </c>
      <c r="Y63" s="4">
        <v>0</v>
      </c>
      <c r="Z63" s="4">
        <v>0</v>
      </c>
      <c r="AA63" s="4">
        <v>0</v>
      </c>
      <c r="AB63" s="4">
        <v>0</v>
      </c>
      <c r="AC63" s="4">
        <v>7656</v>
      </c>
      <c r="AD63" s="4">
        <v>8409</v>
      </c>
      <c r="AE63" s="4">
        <v>7034</v>
      </c>
      <c r="AF63" s="4">
        <v>1641</v>
      </c>
      <c r="AG63" s="4">
        <v>947</v>
      </c>
      <c r="AH63" s="4">
        <f t="shared" si="12"/>
        <v>1</v>
      </c>
      <c r="AI63" s="4">
        <f t="shared" si="13"/>
        <v>1</v>
      </c>
      <c r="AJ63" s="4">
        <v>35</v>
      </c>
      <c r="AK63" s="4">
        <v>149</v>
      </c>
      <c r="AL63" s="4">
        <v>721</v>
      </c>
      <c r="AM63" s="4">
        <v>490</v>
      </c>
      <c r="AN63" s="4">
        <f t="shared" si="14"/>
        <v>3.8674033149171269E-2</v>
      </c>
      <c r="AO63" s="4">
        <f t="shared" si="15"/>
        <v>96</v>
      </c>
      <c r="AP63" s="4">
        <v>2950</v>
      </c>
      <c r="AQ63" s="4">
        <v>16098</v>
      </c>
      <c r="AR63" s="4">
        <v>11568</v>
      </c>
      <c r="AS63" s="4">
        <v>6789</v>
      </c>
      <c r="AT63" s="4">
        <v>213</v>
      </c>
      <c r="AU63" s="4">
        <v>0</v>
      </c>
      <c r="AV63" s="4">
        <v>0</v>
      </c>
      <c r="AW63" s="4">
        <v>0</v>
      </c>
      <c r="AX63" s="4">
        <f t="shared" si="16"/>
        <v>1</v>
      </c>
      <c r="AY63" s="4">
        <f t="shared" si="17"/>
        <v>1</v>
      </c>
      <c r="AZ63" s="4">
        <v>5342</v>
      </c>
      <c r="BA63" s="4">
        <v>11410</v>
      </c>
      <c r="BB63" s="4">
        <v>7473</v>
      </c>
      <c r="BC63" s="4">
        <v>1462</v>
      </c>
      <c r="BD63" s="5">
        <v>4763.2860170000004</v>
      </c>
      <c r="BE63" s="5">
        <v>2752</v>
      </c>
      <c r="BG63" s="5">
        <f t="shared" si="18"/>
        <v>10</v>
      </c>
      <c r="BH63" s="5">
        <v>2181.8181810000001</v>
      </c>
      <c r="BK63" s="5">
        <f t="shared" si="19"/>
        <v>5</v>
      </c>
      <c r="BL63" s="5">
        <v>8820.6363605000006</v>
      </c>
      <c r="BM63" s="5">
        <v>6823.6009359999998</v>
      </c>
      <c r="BN63" s="5">
        <v>17361.7670335</v>
      </c>
      <c r="BO63" s="5">
        <v>11008.771929</v>
      </c>
      <c r="BP63" s="5">
        <v>0</v>
      </c>
      <c r="BQ63" s="5">
        <v>3386.6666660000001</v>
      </c>
      <c r="BR63" s="5">
        <v>7577.5733039999996</v>
      </c>
      <c r="BS63" s="5">
        <v>4607.0959935000001</v>
      </c>
      <c r="BT63" s="5">
        <v>14654.828571</v>
      </c>
      <c r="BU63" s="5">
        <v>5953.3249999999998</v>
      </c>
      <c r="BV63" s="5">
        <v>2316.6666660000001</v>
      </c>
      <c r="BW63" s="5">
        <v>17908.496730999999</v>
      </c>
      <c r="BX63" s="5">
        <v>24</v>
      </c>
      <c r="BY63" s="5">
        <v>7</v>
      </c>
      <c r="CA63" s="5">
        <v>2</v>
      </c>
      <c r="CD63" s="143">
        <v>0.14252620949778749</v>
      </c>
      <c r="CE63" s="143">
        <v>3.7164932878663626E-2</v>
      </c>
      <c r="CF63" s="143">
        <v>49605845.68</v>
      </c>
      <c r="CG63" s="144">
        <v>90.6</v>
      </c>
      <c r="CH63" s="144">
        <v>4.7</v>
      </c>
      <c r="CI63" s="144">
        <v>1.8</v>
      </c>
      <c r="CJ63" s="144">
        <v>82.2</v>
      </c>
      <c r="CK63" s="144">
        <v>9.8000000000000007</v>
      </c>
      <c r="CL63" s="144">
        <v>3</v>
      </c>
      <c r="CM63" s="144">
        <v>97.1</v>
      </c>
      <c r="CN63" s="144">
        <v>95</v>
      </c>
    </row>
    <row r="64" spans="1:92" x14ac:dyDescent="0.3">
      <c r="A64">
        <v>383</v>
      </c>
      <c r="B64" s="1">
        <v>2.5857703499999999E-2</v>
      </c>
      <c r="C64" s="1">
        <v>-3.6397011999999998E-4</v>
      </c>
      <c r="D64" s="1">
        <v>6.3000079700000003E-3</v>
      </c>
      <c r="E64" s="1">
        <v>4.7582338699999997E-3</v>
      </c>
      <c r="F64" s="2">
        <v>10135</v>
      </c>
      <c r="G64" s="2">
        <v>4332</v>
      </c>
      <c r="H64" s="2">
        <v>2130</v>
      </c>
      <c r="I64" s="2">
        <v>390</v>
      </c>
      <c r="J64" s="2">
        <v>2036</v>
      </c>
      <c r="K64" s="2">
        <v>1457</v>
      </c>
      <c r="L64" s="4">
        <v>371</v>
      </c>
      <c r="M64" s="4">
        <v>2369</v>
      </c>
      <c r="N64" s="4">
        <v>101</v>
      </c>
      <c r="O64" s="4">
        <v>0</v>
      </c>
      <c r="P64" s="4">
        <v>0</v>
      </c>
      <c r="Q64" s="4">
        <v>12030</v>
      </c>
      <c r="R64" s="4">
        <v>45894</v>
      </c>
      <c r="S64" s="4">
        <v>6574</v>
      </c>
      <c r="T64" s="4">
        <v>262</v>
      </c>
      <c r="U64" s="4">
        <v>420</v>
      </c>
      <c r="V64" s="4">
        <f t="shared" si="10"/>
        <v>0.96444913762759588</v>
      </c>
      <c r="W64" s="4">
        <f t="shared" si="11"/>
        <v>56</v>
      </c>
      <c r="X64" s="4">
        <v>0</v>
      </c>
      <c r="Y64" s="4">
        <v>427</v>
      </c>
      <c r="Z64" s="4">
        <v>0</v>
      </c>
      <c r="AA64" s="4">
        <v>0</v>
      </c>
      <c r="AB64" s="4">
        <v>0</v>
      </c>
      <c r="AC64" s="4">
        <v>7551</v>
      </c>
      <c r="AD64" s="4">
        <v>28481</v>
      </c>
      <c r="AE64" s="4">
        <v>8328</v>
      </c>
      <c r="AF64" s="4">
        <v>3968</v>
      </c>
      <c r="AG64" s="4">
        <v>0</v>
      </c>
      <c r="AH64" s="4">
        <f t="shared" si="12"/>
        <v>1</v>
      </c>
      <c r="AI64" s="4">
        <f t="shared" si="13"/>
        <v>1</v>
      </c>
      <c r="AJ64" s="4">
        <v>618</v>
      </c>
      <c r="AK64" s="4">
        <v>1848</v>
      </c>
      <c r="AL64" s="4">
        <v>340</v>
      </c>
      <c r="AM64" s="4">
        <v>35</v>
      </c>
      <c r="AN64" s="4">
        <f t="shared" si="14"/>
        <v>0.22024233784746972</v>
      </c>
      <c r="AO64" s="4">
        <f t="shared" si="15"/>
        <v>56</v>
      </c>
      <c r="AP64" s="4">
        <v>17752</v>
      </c>
      <c r="AQ64" s="4">
        <v>35802</v>
      </c>
      <c r="AR64" s="4">
        <v>9786</v>
      </c>
      <c r="AS64" s="4">
        <v>1840</v>
      </c>
      <c r="AT64" s="4">
        <v>427</v>
      </c>
      <c r="AU64" s="4">
        <v>0</v>
      </c>
      <c r="AV64" s="4">
        <v>0</v>
      </c>
      <c r="AW64" s="4">
        <v>0</v>
      </c>
      <c r="AX64" s="4">
        <f t="shared" si="16"/>
        <v>1</v>
      </c>
      <c r="AY64" s="4">
        <f t="shared" si="17"/>
        <v>1</v>
      </c>
      <c r="AZ64" s="4">
        <v>16277</v>
      </c>
      <c r="BA64" s="4">
        <v>16048</v>
      </c>
      <c r="BB64" s="4">
        <v>16003</v>
      </c>
      <c r="BC64" s="4">
        <v>0</v>
      </c>
      <c r="BD64" s="5">
        <v>7941.6266189999997</v>
      </c>
      <c r="BE64" s="5">
        <v>7075.5434779999996</v>
      </c>
      <c r="BF64" s="5">
        <v>16617.182539000001</v>
      </c>
      <c r="BG64" s="5">
        <f t="shared" si="18"/>
        <v>55</v>
      </c>
      <c r="BK64" s="5" t="str">
        <f t="shared" si="19"/>
        <v>N/A</v>
      </c>
      <c r="BL64" s="5">
        <v>6893.7838040000006</v>
      </c>
      <c r="BM64" s="5">
        <v>5833.3333329999996</v>
      </c>
      <c r="BN64" s="5">
        <v>13501.807142</v>
      </c>
      <c r="BO64" s="5">
        <v>13218.837631</v>
      </c>
      <c r="BP64" s="5">
        <v>0</v>
      </c>
      <c r="BQ64" s="5">
        <v>12641.749999</v>
      </c>
      <c r="BR64" s="5">
        <v>7577.5733039999996</v>
      </c>
      <c r="BS64" s="5">
        <v>4607.0959935000001</v>
      </c>
      <c r="BT64" s="5">
        <v>14654.828571</v>
      </c>
      <c r="BU64" s="5">
        <v>5953.3249999999998</v>
      </c>
      <c r="BV64" s="5">
        <v>2316.6666660000001</v>
      </c>
      <c r="BW64" s="5">
        <v>17908.496730999999</v>
      </c>
      <c r="BX64" s="5">
        <v>44</v>
      </c>
      <c r="BY64" s="5">
        <v>14</v>
      </c>
      <c r="BZ64" s="5">
        <v>5</v>
      </c>
      <c r="CD64" s="143">
        <v>0.28072328887586107</v>
      </c>
      <c r="CE64" s="143">
        <v>9.325961460281329E-2</v>
      </c>
      <c r="CF64" s="143">
        <v>193194606.51999998</v>
      </c>
      <c r="CG64" s="144">
        <v>85.1</v>
      </c>
      <c r="CH64" s="144">
        <v>6</v>
      </c>
      <c r="CI64" s="144">
        <v>2</v>
      </c>
      <c r="CJ64" s="144">
        <v>83.7</v>
      </c>
      <c r="CK64" s="144">
        <v>9</v>
      </c>
      <c r="CL64" s="144">
        <v>2.2999999999999998</v>
      </c>
      <c r="CM64" s="144">
        <v>93.2</v>
      </c>
      <c r="CN64" s="144">
        <v>95</v>
      </c>
    </row>
    <row r="65" spans="1:92" x14ac:dyDescent="0.3">
      <c r="A65">
        <v>384</v>
      </c>
      <c r="B65" s="1">
        <v>-6.3139804200000003E-3</v>
      </c>
      <c r="C65" s="1">
        <v>1.4570723999999999E-3</v>
      </c>
      <c r="D65" s="1">
        <v>1.8803806070000002E-2</v>
      </c>
      <c r="E65" s="1">
        <v>7.5328500199999997E-3</v>
      </c>
      <c r="F65" s="2">
        <v>915</v>
      </c>
      <c r="G65" s="2">
        <v>190</v>
      </c>
      <c r="H65" s="2">
        <v>270</v>
      </c>
      <c r="I65" s="2">
        <v>20</v>
      </c>
      <c r="J65" s="2">
        <v>740</v>
      </c>
      <c r="K65" s="2">
        <v>0</v>
      </c>
      <c r="L65" s="4">
        <v>30</v>
      </c>
      <c r="M65" s="4">
        <v>148</v>
      </c>
      <c r="N65" s="4">
        <v>215</v>
      </c>
      <c r="O65" s="4">
        <v>0</v>
      </c>
      <c r="Q65" s="4">
        <v>3414</v>
      </c>
      <c r="R65" s="4">
        <v>18950</v>
      </c>
      <c r="S65" s="4">
        <v>4934</v>
      </c>
      <c r="T65" s="4">
        <v>384</v>
      </c>
      <c r="V65" s="4">
        <f t="shared" si="10"/>
        <v>0.45292620865139949</v>
      </c>
      <c r="W65" s="4">
        <f t="shared" si="11"/>
        <v>132</v>
      </c>
      <c r="X65" s="4">
        <v>0</v>
      </c>
      <c r="Y65" s="4">
        <v>0</v>
      </c>
      <c r="Z65" s="4">
        <v>0</v>
      </c>
      <c r="AA65" s="4">
        <v>0</v>
      </c>
      <c r="AC65" s="4">
        <v>4011</v>
      </c>
      <c r="AD65" s="4">
        <v>11368</v>
      </c>
      <c r="AE65" s="4">
        <v>6633</v>
      </c>
      <c r="AF65" s="4">
        <v>1153</v>
      </c>
      <c r="AH65" s="4" t="str">
        <f t="shared" si="12"/>
        <v>N/A</v>
      </c>
      <c r="AI65" s="4" t="str">
        <f t="shared" si="13"/>
        <v>N/A</v>
      </c>
      <c r="AJ65" s="4">
        <v>15</v>
      </c>
      <c r="AK65" s="4">
        <v>222</v>
      </c>
      <c r="AL65" s="4">
        <v>156</v>
      </c>
      <c r="AM65" s="4">
        <v>0</v>
      </c>
      <c r="AN65" s="4">
        <f t="shared" si="14"/>
        <v>3.8167938931297711E-2</v>
      </c>
      <c r="AO65" s="4">
        <f t="shared" si="15"/>
        <v>97</v>
      </c>
      <c r="AP65" s="4">
        <v>5535</v>
      </c>
      <c r="AQ65" s="4">
        <v>12786</v>
      </c>
      <c r="AR65" s="4">
        <v>7124</v>
      </c>
      <c r="AS65" s="4">
        <v>2237</v>
      </c>
      <c r="AT65" s="4">
        <v>0</v>
      </c>
      <c r="AU65" s="4">
        <v>0</v>
      </c>
      <c r="AV65" s="4">
        <v>0</v>
      </c>
      <c r="AW65" s="4">
        <v>0</v>
      </c>
      <c r="AX65" s="4" t="str">
        <f t="shared" si="16"/>
        <v>N/A</v>
      </c>
      <c r="AY65" s="4" t="str">
        <f t="shared" si="17"/>
        <v>N/A</v>
      </c>
      <c r="AZ65" s="4">
        <v>4254</v>
      </c>
      <c r="BA65" s="4">
        <v>12624</v>
      </c>
      <c r="BB65" s="4">
        <v>6287</v>
      </c>
      <c r="BC65" s="4">
        <v>0</v>
      </c>
      <c r="BD65" s="5">
        <v>5936.9834709999996</v>
      </c>
      <c r="BG65" s="5">
        <f t="shared" si="18"/>
        <v>23</v>
      </c>
      <c r="BK65" s="5" t="str">
        <f t="shared" si="19"/>
        <v>N/A</v>
      </c>
      <c r="BL65" s="5">
        <v>7647.6775195</v>
      </c>
      <c r="BM65" s="5">
        <v>4354.1666665000002</v>
      </c>
      <c r="BN65" s="5">
        <v>3248.4145015000004</v>
      </c>
      <c r="BO65" s="5">
        <v>14428.571427999999</v>
      </c>
      <c r="BP65" s="5">
        <v>0</v>
      </c>
      <c r="BQ65" s="5">
        <v>0</v>
      </c>
      <c r="BR65" s="5">
        <v>7577.5733039999996</v>
      </c>
      <c r="BS65" s="5">
        <v>4607.0959935000001</v>
      </c>
      <c r="BT65" s="5">
        <v>14654.828571</v>
      </c>
      <c r="BU65" s="5">
        <v>5953.3249999999998</v>
      </c>
      <c r="BV65" s="5">
        <v>2316.6666660000001</v>
      </c>
      <c r="BW65" s="5">
        <v>17908.496730999999</v>
      </c>
      <c r="BX65" s="5">
        <v>10</v>
      </c>
      <c r="CD65" s="143">
        <v>0.18773249566008099</v>
      </c>
      <c r="CE65" s="143">
        <v>4.4183540355056339E-2</v>
      </c>
      <c r="CF65" s="143">
        <v>27673760.829999998</v>
      </c>
      <c r="CG65" s="144">
        <v>92.3</v>
      </c>
      <c r="CH65" s="144">
        <v>3.8</v>
      </c>
      <c r="CI65" s="144">
        <v>0.8</v>
      </c>
      <c r="CJ65" s="144">
        <v>96.2</v>
      </c>
      <c r="CK65" s="144">
        <v>2</v>
      </c>
      <c r="CL65" s="144">
        <v>0.3</v>
      </c>
      <c r="CM65" s="144">
        <v>96.9</v>
      </c>
      <c r="CN65" s="144">
        <v>98.5</v>
      </c>
    </row>
    <row r="66" spans="1:92" x14ac:dyDescent="0.3">
      <c r="A66">
        <v>390</v>
      </c>
      <c r="B66" s="1">
        <v>-8.3333333299999996E-3</v>
      </c>
      <c r="C66" s="1">
        <v>-3.3333333299999999E-3</v>
      </c>
      <c r="D66" s="1">
        <v>9.16769674E-3</v>
      </c>
      <c r="E66" s="1">
        <v>-0.10743716522000001</v>
      </c>
      <c r="F66" s="2">
        <v>216</v>
      </c>
      <c r="G66" s="2">
        <v>287</v>
      </c>
      <c r="H66" s="2">
        <v>50</v>
      </c>
      <c r="I66" s="2">
        <v>80</v>
      </c>
      <c r="J66" s="2">
        <v>518</v>
      </c>
      <c r="K66" s="2">
        <v>33</v>
      </c>
      <c r="L66" s="4">
        <v>53</v>
      </c>
      <c r="M66" s="4">
        <v>0</v>
      </c>
      <c r="N66" s="4">
        <v>0</v>
      </c>
      <c r="O66" s="4">
        <v>0</v>
      </c>
      <c r="Q66" s="4">
        <v>4714</v>
      </c>
      <c r="R66" s="4">
        <v>9583</v>
      </c>
      <c r="S66" s="4">
        <v>1325</v>
      </c>
      <c r="T66" s="4">
        <v>236</v>
      </c>
      <c r="V66" s="4">
        <f t="shared" ref="V66:V97" si="20">IFERROR(SUM(L66:M66)/SUM(L66:O66),"N/A")</f>
        <v>1</v>
      </c>
      <c r="W66" s="4">
        <f t="shared" ref="W66:W97" si="21">IFERROR(_xlfn.RANK.EQ(V66,Qual_P_Prop,0),V66)</f>
        <v>1</v>
      </c>
      <c r="X66" s="4">
        <v>0</v>
      </c>
      <c r="Y66" s="4">
        <v>0</v>
      </c>
      <c r="Z66" s="4">
        <v>0</v>
      </c>
      <c r="AA66" s="4">
        <v>0</v>
      </c>
      <c r="AC66" s="4">
        <v>3961</v>
      </c>
      <c r="AD66" s="4">
        <v>4511</v>
      </c>
      <c r="AE66" s="4">
        <v>2271</v>
      </c>
      <c r="AF66" s="4">
        <v>0</v>
      </c>
      <c r="AH66" s="4" t="str">
        <f t="shared" ref="AH66:AH97" si="22">IFERROR(SUM(X66:Y66)/SUM(X66:AA66),"N/A")</f>
        <v>N/A</v>
      </c>
      <c r="AI66" s="4" t="str">
        <f t="shared" ref="AI66:AI97" si="23">IFERROR(_xlfn.RANK.EQ(AH66,Qual_S_Prop,0),AH66)</f>
        <v>N/A</v>
      </c>
      <c r="AJ66" s="4">
        <v>0</v>
      </c>
      <c r="AK66" s="4">
        <v>53</v>
      </c>
      <c r="AL66" s="4">
        <v>0</v>
      </c>
      <c r="AM66" s="4">
        <v>0</v>
      </c>
      <c r="AN66" s="4">
        <f t="shared" ref="AN66:AN97" si="24">IFERROR(AJ66/SUM(AJ66:AL66),"N/A")</f>
        <v>0</v>
      </c>
      <c r="AO66" s="4">
        <f t="shared" ref="AO66:AO97" si="25">IFERROR(_xlfn.RANK.EQ(AN66,Qual_KS2_Prop,0),AN66)</f>
        <v>100</v>
      </c>
      <c r="AP66" s="4">
        <v>4053</v>
      </c>
      <c r="AQ66" s="4">
        <v>8373</v>
      </c>
      <c r="AR66" s="4">
        <v>2992</v>
      </c>
      <c r="AS66" s="4">
        <v>440</v>
      </c>
      <c r="AT66" s="4">
        <v>0</v>
      </c>
      <c r="AU66" s="4">
        <v>0</v>
      </c>
      <c r="AV66" s="4">
        <v>0</v>
      </c>
      <c r="AW66" s="4">
        <v>0</v>
      </c>
      <c r="AX66" s="4" t="str">
        <f t="shared" ref="AX66:AX97" si="26">IFERROR(AT66/SUM(AT66:AV66),"N/A")</f>
        <v>N/A</v>
      </c>
      <c r="AY66" s="4" t="str">
        <f t="shared" ref="AY66:AY97" si="27">IFERROR(_xlfn.RANK.EQ(AX66,Qual_KS4_Prop,0),AX66)</f>
        <v>N/A</v>
      </c>
      <c r="AZ66" s="4">
        <v>2761</v>
      </c>
      <c r="BA66" s="4">
        <v>2516</v>
      </c>
      <c r="BB66" s="4">
        <v>5466</v>
      </c>
      <c r="BC66" s="4">
        <v>0</v>
      </c>
      <c r="BD66" s="5">
        <v>23809.523808999998</v>
      </c>
      <c r="BG66" s="5">
        <f t="shared" ref="BG66:BG97" si="28">IFERROR(_xlfn.RANK.EQ(BD66,Cost_P_EP,1),"N/A")</f>
        <v>143</v>
      </c>
      <c r="BH66" s="5">
        <v>14428.571427999999</v>
      </c>
      <c r="BK66" s="5">
        <f t="shared" ref="BK66:BK97" si="29">IFERROR(_xlfn.RANK.EQ(BH66,Cost_S_EP,1),"N/A")</f>
        <v>31</v>
      </c>
      <c r="BL66" s="5">
        <v>5936.9834709999996</v>
      </c>
      <c r="BM66" s="5">
        <v>4074.4333329999999</v>
      </c>
      <c r="BN66" s="5">
        <v>3113.3753495000001</v>
      </c>
      <c r="BO66" s="5">
        <v>31960.6</v>
      </c>
      <c r="BP66" s="5">
        <v>0</v>
      </c>
      <c r="BQ66" s="5">
        <v>22877.14</v>
      </c>
      <c r="BR66" s="5">
        <v>6353.8938660000003</v>
      </c>
      <c r="BS66" s="5">
        <v>5833.3333329999996</v>
      </c>
      <c r="BT66" s="5">
        <v>2830.1623370000002</v>
      </c>
      <c r="BU66" s="5">
        <v>23194.585714000001</v>
      </c>
      <c r="BV66" s="5">
        <v>0</v>
      </c>
      <c r="BW66" s="5">
        <v>0</v>
      </c>
      <c r="BX66" s="5">
        <v>1</v>
      </c>
      <c r="CA66" s="5">
        <v>1</v>
      </c>
      <c r="CD66" s="143">
        <v>0.10601020181858511</v>
      </c>
      <c r="CE66" s="143">
        <v>6.2609052653186836E-2</v>
      </c>
      <c r="CF66" s="143">
        <v>20118052.379999999</v>
      </c>
      <c r="CG66" s="144">
        <v>91.9</v>
      </c>
      <c r="CH66" s="144">
        <v>5</v>
      </c>
      <c r="CI66" s="144">
        <v>1</v>
      </c>
      <c r="CJ66" s="144">
        <v>91.5</v>
      </c>
      <c r="CK66" s="144">
        <v>7.1</v>
      </c>
      <c r="CL66" s="144">
        <v>0.2</v>
      </c>
      <c r="CM66" s="144">
        <v>97.9</v>
      </c>
      <c r="CN66" s="144">
        <v>98.8</v>
      </c>
    </row>
    <row r="67" spans="1:92" x14ac:dyDescent="0.3">
      <c r="A67">
        <v>391</v>
      </c>
      <c r="B67" s="1">
        <v>-1.6446387749999999E-2</v>
      </c>
      <c r="C67" s="1">
        <v>1.7390440200000001E-3</v>
      </c>
      <c r="D67" s="1">
        <v>4.9596503E-3</v>
      </c>
      <c r="E67" s="1">
        <v>9.7511768600000003E-3</v>
      </c>
      <c r="F67" s="2">
        <v>1456</v>
      </c>
      <c r="G67" s="2">
        <v>0</v>
      </c>
      <c r="H67" s="2">
        <v>60</v>
      </c>
      <c r="I67" s="2">
        <v>300</v>
      </c>
      <c r="J67" s="2">
        <v>915</v>
      </c>
      <c r="K67" s="2">
        <v>210</v>
      </c>
      <c r="L67" s="4">
        <v>125</v>
      </c>
      <c r="M67" s="4">
        <v>21</v>
      </c>
      <c r="N67" s="4">
        <v>0</v>
      </c>
      <c r="Q67" s="4">
        <v>4887</v>
      </c>
      <c r="R67" s="4">
        <v>16494</v>
      </c>
      <c r="S67" s="4">
        <v>969</v>
      </c>
      <c r="V67" s="4">
        <f t="shared" si="20"/>
        <v>1</v>
      </c>
      <c r="W67" s="4">
        <f t="shared" si="21"/>
        <v>1</v>
      </c>
      <c r="X67" s="4">
        <v>60</v>
      </c>
      <c r="Y67" s="4">
        <v>0</v>
      </c>
      <c r="Z67" s="4">
        <v>0</v>
      </c>
      <c r="AC67" s="4">
        <v>4478</v>
      </c>
      <c r="AD67" s="4">
        <v>9453</v>
      </c>
      <c r="AE67" s="4">
        <v>2125</v>
      </c>
      <c r="AH67" s="4">
        <f t="shared" si="22"/>
        <v>1</v>
      </c>
      <c r="AI67" s="4">
        <f t="shared" si="23"/>
        <v>1</v>
      </c>
      <c r="AJ67" s="4">
        <v>105</v>
      </c>
      <c r="AK67" s="4">
        <v>41</v>
      </c>
      <c r="AL67" s="4">
        <v>0</v>
      </c>
      <c r="AM67" s="4">
        <v>0</v>
      </c>
      <c r="AN67" s="4">
        <f t="shared" si="24"/>
        <v>0.71917808219178081</v>
      </c>
      <c r="AO67" s="4">
        <f t="shared" si="25"/>
        <v>7</v>
      </c>
      <c r="AP67" s="4">
        <v>5791</v>
      </c>
      <c r="AQ67" s="4">
        <v>12257</v>
      </c>
      <c r="AR67" s="4">
        <v>2062</v>
      </c>
      <c r="AS67" s="4">
        <v>2240</v>
      </c>
      <c r="AT67" s="4">
        <v>0</v>
      </c>
      <c r="AV67" s="4">
        <v>0</v>
      </c>
      <c r="AW67" s="4">
        <v>60</v>
      </c>
      <c r="AX67" s="4" t="str">
        <f t="shared" si="26"/>
        <v>N/A</v>
      </c>
      <c r="AY67" s="4" t="str">
        <f t="shared" si="27"/>
        <v>N/A</v>
      </c>
      <c r="AZ67" s="4">
        <v>6916</v>
      </c>
      <c r="BB67" s="4">
        <v>8408</v>
      </c>
      <c r="BC67" s="4">
        <v>732</v>
      </c>
      <c r="BD67" s="5">
        <v>5899.0825679999998</v>
      </c>
      <c r="BE67" s="5">
        <v>9873.4177209999998</v>
      </c>
      <c r="BG67" s="5">
        <f t="shared" si="28"/>
        <v>19</v>
      </c>
      <c r="BK67" s="5" t="str">
        <f t="shared" si="29"/>
        <v>N/A</v>
      </c>
      <c r="BL67" s="5">
        <v>7883.0623850000002</v>
      </c>
      <c r="BM67" s="5">
        <v>5709.2864950000003</v>
      </c>
      <c r="BN67" s="5">
        <v>8584.2369040000012</v>
      </c>
      <c r="BO67" s="5">
        <v>14928.737380499999</v>
      </c>
      <c r="BP67" s="5">
        <v>0</v>
      </c>
      <c r="BQ67" s="5">
        <v>21896.833331999998</v>
      </c>
      <c r="BR67" s="5">
        <v>6353.8938660000003</v>
      </c>
      <c r="BS67" s="5">
        <v>5833.3333329999996</v>
      </c>
      <c r="BT67" s="5">
        <v>2830.1623370000002</v>
      </c>
      <c r="BU67" s="5">
        <v>23194.585714000001</v>
      </c>
      <c r="BV67" s="5">
        <v>0</v>
      </c>
      <c r="BW67" s="5">
        <v>0</v>
      </c>
      <c r="BX67" s="5">
        <v>7</v>
      </c>
      <c r="BY67" s="5">
        <v>2</v>
      </c>
      <c r="CD67" s="143">
        <v>0.21512046524508444</v>
      </c>
      <c r="CE67" s="143">
        <v>0.13300962455562293</v>
      </c>
      <c r="CF67" s="143">
        <v>36262990.589999996</v>
      </c>
      <c r="CG67" s="144">
        <v>84.5</v>
      </c>
      <c r="CH67" s="144">
        <v>6.7</v>
      </c>
      <c r="CI67" s="144">
        <v>2.6</v>
      </c>
      <c r="CJ67" s="144">
        <v>88.9</v>
      </c>
      <c r="CK67" s="144">
        <v>7.7</v>
      </c>
      <c r="CL67" s="144">
        <v>1</v>
      </c>
      <c r="CM67" s="144">
        <v>93.7</v>
      </c>
      <c r="CN67" s="144">
        <v>97.5</v>
      </c>
    </row>
    <row r="68" spans="1:92" x14ac:dyDescent="0.3">
      <c r="A68">
        <v>392</v>
      </c>
      <c r="B68" s="1">
        <v>2.2234927889999999E-2</v>
      </c>
      <c r="C68" s="1">
        <v>2.0392605290000001E-2</v>
      </c>
      <c r="D68" s="1">
        <v>-2.4509803899999999E-3</v>
      </c>
      <c r="E68" s="1">
        <v>1.8484477119999999E-2</v>
      </c>
      <c r="F68" s="2">
        <v>258</v>
      </c>
      <c r="G68" s="2">
        <v>741</v>
      </c>
      <c r="H68" s="2">
        <v>80</v>
      </c>
      <c r="I68" s="2">
        <v>0</v>
      </c>
      <c r="J68" s="2">
        <v>135</v>
      </c>
      <c r="K68" s="2">
        <v>0</v>
      </c>
      <c r="L68" s="4">
        <v>28</v>
      </c>
      <c r="M68" s="4">
        <v>0</v>
      </c>
      <c r="N68" s="4">
        <v>0</v>
      </c>
      <c r="O68" s="4">
        <v>0</v>
      </c>
      <c r="Q68" s="4">
        <v>5994</v>
      </c>
      <c r="R68" s="4">
        <v>11024</v>
      </c>
      <c r="S68" s="4">
        <v>492</v>
      </c>
      <c r="T68" s="4">
        <v>154</v>
      </c>
      <c r="V68" s="4">
        <f t="shared" si="20"/>
        <v>1</v>
      </c>
      <c r="W68" s="4">
        <f t="shared" si="21"/>
        <v>1</v>
      </c>
      <c r="X68" s="4">
        <v>0</v>
      </c>
      <c r="Y68" s="4">
        <v>0</v>
      </c>
      <c r="Z68" s="4">
        <v>0</v>
      </c>
      <c r="AA68" s="4">
        <v>0</v>
      </c>
      <c r="AC68" s="4">
        <v>5197</v>
      </c>
      <c r="AD68" s="4">
        <v>6987</v>
      </c>
      <c r="AE68" s="4">
        <v>1447</v>
      </c>
      <c r="AF68" s="4">
        <v>450</v>
      </c>
      <c r="AH68" s="4" t="str">
        <f t="shared" si="22"/>
        <v>N/A</v>
      </c>
      <c r="AI68" s="4" t="str">
        <f t="shared" si="23"/>
        <v>N/A</v>
      </c>
      <c r="AJ68" s="4">
        <v>0</v>
      </c>
      <c r="AK68" s="4">
        <v>0</v>
      </c>
      <c r="AL68" s="4">
        <v>0</v>
      </c>
      <c r="AM68" s="4">
        <v>28</v>
      </c>
      <c r="AN68" s="4" t="str">
        <f t="shared" si="24"/>
        <v>N/A</v>
      </c>
      <c r="AO68" s="4" t="str">
        <f t="shared" si="25"/>
        <v>N/A</v>
      </c>
      <c r="AP68" s="4">
        <v>5775</v>
      </c>
      <c r="AQ68" s="4">
        <v>7610</v>
      </c>
      <c r="AR68" s="4">
        <v>2160</v>
      </c>
      <c r="AS68" s="4">
        <v>2119</v>
      </c>
      <c r="AT68" s="4">
        <v>0</v>
      </c>
      <c r="AU68" s="4">
        <v>0</v>
      </c>
      <c r="AV68" s="4">
        <v>0</v>
      </c>
      <c r="AW68" s="4">
        <v>0</v>
      </c>
      <c r="AX68" s="4" t="str">
        <f t="shared" si="26"/>
        <v>N/A</v>
      </c>
      <c r="AY68" s="4" t="str">
        <f t="shared" si="27"/>
        <v>N/A</v>
      </c>
      <c r="AZ68" s="4">
        <v>6178</v>
      </c>
      <c r="BA68" s="4">
        <v>3421</v>
      </c>
      <c r="BB68" s="4">
        <v>3510</v>
      </c>
      <c r="BC68" s="4">
        <v>972</v>
      </c>
      <c r="BD68" s="5">
        <v>4382.1428569999998</v>
      </c>
      <c r="BG68" s="5">
        <f t="shared" si="28"/>
        <v>8</v>
      </c>
      <c r="BH68" s="5">
        <v>31960.6</v>
      </c>
      <c r="BK68" s="5">
        <f t="shared" si="29"/>
        <v>47</v>
      </c>
      <c r="BL68" s="5">
        <v>7098.6500584999994</v>
      </c>
      <c r="BM68" s="5">
        <v>4116.6666665000002</v>
      </c>
      <c r="BN68" s="5">
        <v>7472.2515400000002</v>
      </c>
      <c r="BO68" s="5">
        <v>14428.571427999999</v>
      </c>
      <c r="BP68" s="5">
        <v>0</v>
      </c>
      <c r="BQ68" s="5">
        <v>3386.6666660000001</v>
      </c>
      <c r="BR68" s="5">
        <v>6353.8938660000003</v>
      </c>
      <c r="BS68" s="5">
        <v>5833.3333329999996</v>
      </c>
      <c r="BT68" s="5">
        <v>2830.1623370000002</v>
      </c>
      <c r="BU68" s="5">
        <v>23194.585714000001</v>
      </c>
      <c r="BV68" s="5">
        <v>0</v>
      </c>
      <c r="BW68" s="5">
        <v>0</v>
      </c>
      <c r="BX68" s="5">
        <v>2</v>
      </c>
      <c r="CA68" s="5">
        <v>1</v>
      </c>
      <c r="CD68" s="143">
        <v>0.13516514016097703</v>
      </c>
      <c r="CE68" s="143">
        <v>-2.666162427909613E-2</v>
      </c>
      <c r="CF68" s="143">
        <v>8305262.4100000001</v>
      </c>
      <c r="CG68" s="144">
        <v>91.3</v>
      </c>
      <c r="CH68" s="144">
        <v>4.5999999999999996</v>
      </c>
      <c r="CI68" s="144">
        <v>1.2</v>
      </c>
      <c r="CJ68" s="144">
        <v>96</v>
      </c>
      <c r="CK68" s="144">
        <v>2</v>
      </c>
      <c r="CL68" s="144">
        <v>0.1</v>
      </c>
      <c r="CM68" s="144">
        <v>97.1</v>
      </c>
      <c r="CN68" s="144">
        <v>98.1</v>
      </c>
    </row>
    <row r="69" spans="1:92" x14ac:dyDescent="0.3">
      <c r="A69">
        <v>393</v>
      </c>
      <c r="B69" s="1">
        <v>-7.7806930199999999E-3</v>
      </c>
      <c r="C69" s="1">
        <v>-3.25703428E-3</v>
      </c>
      <c r="D69" s="1">
        <v>-1.0309278349999999E-2</v>
      </c>
      <c r="E69" s="1">
        <v>4.5521488799999997E-3</v>
      </c>
      <c r="F69" s="2">
        <v>0</v>
      </c>
      <c r="G69" s="2">
        <v>0</v>
      </c>
      <c r="H69" s="2">
        <v>100</v>
      </c>
      <c r="I69" s="2">
        <v>0</v>
      </c>
      <c r="J69" s="2">
        <v>0</v>
      </c>
      <c r="K69" s="2">
        <v>0</v>
      </c>
      <c r="L69" s="4">
        <v>0</v>
      </c>
      <c r="M69" s="4">
        <v>0</v>
      </c>
      <c r="N69" s="4">
        <v>0</v>
      </c>
      <c r="Q69" s="4">
        <v>2567</v>
      </c>
      <c r="R69" s="4">
        <v>8553</v>
      </c>
      <c r="S69" s="4">
        <v>1042</v>
      </c>
      <c r="V69" s="4" t="str">
        <f t="shared" si="20"/>
        <v>N/A</v>
      </c>
      <c r="W69" s="4" t="str">
        <f t="shared" si="21"/>
        <v>N/A</v>
      </c>
      <c r="X69" s="4">
        <v>0</v>
      </c>
      <c r="Y69" s="4">
        <v>57</v>
      </c>
      <c r="Z69" s="4">
        <v>0</v>
      </c>
      <c r="AC69" s="4">
        <v>3505</v>
      </c>
      <c r="AD69" s="4">
        <v>5317</v>
      </c>
      <c r="AE69" s="4">
        <v>1100</v>
      </c>
      <c r="AH69" s="4">
        <f t="shared" si="22"/>
        <v>1</v>
      </c>
      <c r="AI69" s="4">
        <f t="shared" si="23"/>
        <v>1</v>
      </c>
      <c r="AJ69" s="4">
        <v>0</v>
      </c>
      <c r="AK69" s="4">
        <v>0</v>
      </c>
      <c r="AL69" s="4">
        <v>0</v>
      </c>
      <c r="AM69" s="4">
        <v>0</v>
      </c>
      <c r="AN69" s="4" t="str">
        <f t="shared" si="24"/>
        <v>N/A</v>
      </c>
      <c r="AO69" s="4" t="str">
        <f t="shared" si="25"/>
        <v>N/A</v>
      </c>
      <c r="AP69" s="4">
        <v>3592</v>
      </c>
      <c r="AQ69" s="4">
        <v>6924</v>
      </c>
      <c r="AR69" s="4">
        <v>938</v>
      </c>
      <c r="AS69" s="4">
        <v>708</v>
      </c>
      <c r="AT69" s="4">
        <v>0</v>
      </c>
      <c r="AU69" s="4">
        <v>57</v>
      </c>
      <c r="AV69" s="4">
        <v>0</v>
      </c>
      <c r="AW69" s="4">
        <v>0</v>
      </c>
      <c r="AX69" s="4">
        <f t="shared" si="26"/>
        <v>0</v>
      </c>
      <c r="AY69" s="4">
        <f t="shared" si="27"/>
        <v>73</v>
      </c>
      <c r="AZ69" s="4">
        <v>2879</v>
      </c>
      <c r="BA69" s="4">
        <v>5138</v>
      </c>
      <c r="BB69" s="4">
        <v>1905</v>
      </c>
      <c r="BC69" s="4">
        <v>0</v>
      </c>
      <c r="BG69" s="5" t="str">
        <f t="shared" si="28"/>
        <v>N/A</v>
      </c>
      <c r="BK69" s="5" t="str">
        <f t="shared" si="29"/>
        <v>N/A</v>
      </c>
      <c r="BL69" s="5">
        <v>6349.1242890000003</v>
      </c>
      <c r="BM69" s="5">
        <v>3808.333333</v>
      </c>
      <c r="BN69" s="5">
        <v>3248.4145015000004</v>
      </c>
      <c r="BO69" s="5">
        <v>13118.452380499999</v>
      </c>
      <c r="BP69" s="5">
        <v>0</v>
      </c>
      <c r="BQ69" s="5">
        <v>22877.14</v>
      </c>
      <c r="BR69" s="5">
        <v>6353.8938660000003</v>
      </c>
      <c r="BS69" s="5">
        <v>5833.3333329999996</v>
      </c>
      <c r="BT69" s="5">
        <v>2830.1623370000002</v>
      </c>
      <c r="BU69" s="5">
        <v>23194.585714000001</v>
      </c>
      <c r="BV69" s="5">
        <v>0</v>
      </c>
      <c r="BW69" s="5">
        <v>0</v>
      </c>
      <c r="CD69" s="143">
        <v>0.11662057785830071</v>
      </c>
      <c r="CE69" s="143">
        <v>-8.4628872004675615E-2</v>
      </c>
      <c r="CF69" s="143">
        <v>6258916.3000000007</v>
      </c>
      <c r="CG69" s="144">
        <v>90</v>
      </c>
      <c r="CH69" s="144">
        <v>4.8</v>
      </c>
      <c r="CI69" s="144">
        <v>1.4</v>
      </c>
      <c r="CJ69" s="144">
        <v>90.8</v>
      </c>
      <c r="CK69" s="144">
        <v>4.5999999999999996</v>
      </c>
      <c r="CL69" s="144">
        <v>1</v>
      </c>
      <c r="CM69" s="144">
        <v>96.2</v>
      </c>
      <c r="CN69" s="144">
        <v>96.4</v>
      </c>
    </row>
    <row r="70" spans="1:92" x14ac:dyDescent="0.3">
      <c r="A70">
        <v>394</v>
      </c>
      <c r="B70" s="1">
        <v>2.3354663000000001E-4</v>
      </c>
      <c r="C70" s="1">
        <v>3.7834555500000002E-3</v>
      </c>
      <c r="D70" s="1">
        <v>1.250449155E-2</v>
      </c>
      <c r="E70" s="1">
        <v>1.1067193669999999E-2</v>
      </c>
      <c r="F70" s="2">
        <v>812</v>
      </c>
      <c r="G70" s="2">
        <v>272</v>
      </c>
      <c r="H70" s="2">
        <v>40</v>
      </c>
      <c r="I70" s="2">
        <v>0</v>
      </c>
      <c r="J70" s="2">
        <v>280</v>
      </c>
      <c r="K70" s="2">
        <v>72</v>
      </c>
      <c r="L70" s="4">
        <v>80</v>
      </c>
      <c r="M70" s="4">
        <v>164</v>
      </c>
      <c r="N70" s="4">
        <v>53</v>
      </c>
      <c r="O70" s="4">
        <v>0</v>
      </c>
      <c r="Q70" s="4">
        <v>2984</v>
      </c>
      <c r="R70" s="4">
        <v>17466</v>
      </c>
      <c r="S70" s="4">
        <v>2676</v>
      </c>
      <c r="T70" s="4">
        <v>229</v>
      </c>
      <c r="V70" s="4">
        <f t="shared" si="20"/>
        <v>0.82154882154882158</v>
      </c>
      <c r="W70" s="4">
        <f t="shared" si="21"/>
        <v>87</v>
      </c>
      <c r="X70" s="4">
        <v>0</v>
      </c>
      <c r="Y70" s="4">
        <v>0</v>
      </c>
      <c r="Z70" s="4">
        <v>0</v>
      </c>
      <c r="AA70" s="4">
        <v>0</v>
      </c>
      <c r="AC70" s="4">
        <v>1359</v>
      </c>
      <c r="AD70" s="4">
        <v>11834</v>
      </c>
      <c r="AE70" s="4">
        <v>5500</v>
      </c>
      <c r="AF70" s="4">
        <v>900</v>
      </c>
      <c r="AH70" s="4" t="str">
        <f t="shared" si="22"/>
        <v>N/A</v>
      </c>
      <c r="AI70" s="4" t="str">
        <f t="shared" si="23"/>
        <v>N/A</v>
      </c>
      <c r="AJ70" s="4">
        <v>0</v>
      </c>
      <c r="AK70" s="4">
        <v>297</v>
      </c>
      <c r="AL70" s="4">
        <v>0</v>
      </c>
      <c r="AM70" s="4">
        <v>0</v>
      </c>
      <c r="AN70" s="4">
        <f t="shared" si="24"/>
        <v>0</v>
      </c>
      <c r="AO70" s="4">
        <f t="shared" si="25"/>
        <v>100</v>
      </c>
      <c r="AP70" s="4">
        <v>6658</v>
      </c>
      <c r="AQ70" s="4">
        <v>12337</v>
      </c>
      <c r="AR70" s="4">
        <v>2641</v>
      </c>
      <c r="AS70" s="4">
        <v>1719</v>
      </c>
      <c r="AT70" s="4">
        <v>0</v>
      </c>
      <c r="AU70" s="4">
        <v>0</v>
      </c>
      <c r="AV70" s="4">
        <v>0</v>
      </c>
      <c r="AW70" s="4">
        <v>0</v>
      </c>
      <c r="AX70" s="4" t="str">
        <f t="shared" si="26"/>
        <v>N/A</v>
      </c>
      <c r="AY70" s="4" t="str">
        <f t="shared" si="27"/>
        <v>N/A</v>
      </c>
      <c r="AZ70" s="4">
        <v>1399</v>
      </c>
      <c r="BA70" s="4">
        <v>11268</v>
      </c>
      <c r="BB70" s="4">
        <v>6926</v>
      </c>
      <c r="BC70" s="4">
        <v>0</v>
      </c>
      <c r="BD70" s="5">
        <v>5667.7777770000002</v>
      </c>
      <c r="BE70" s="5">
        <v>3808.333333</v>
      </c>
      <c r="BF70" s="5">
        <v>3666.6666660000001</v>
      </c>
      <c r="BG70" s="5">
        <f t="shared" si="28"/>
        <v>18</v>
      </c>
      <c r="BK70" s="5" t="str">
        <f t="shared" si="29"/>
        <v>N/A</v>
      </c>
      <c r="BL70" s="5">
        <v>7098.6500584999994</v>
      </c>
      <c r="BM70" s="5">
        <v>4340.5333330000003</v>
      </c>
      <c r="BN70" s="5">
        <v>2560.0840330000001</v>
      </c>
      <c r="BO70" s="5">
        <v>14428.571427999999</v>
      </c>
      <c r="BP70" s="5">
        <v>0</v>
      </c>
      <c r="BQ70" s="5">
        <v>22877.14</v>
      </c>
      <c r="BR70" s="5">
        <v>6353.8938660000003</v>
      </c>
      <c r="BS70" s="5">
        <v>5833.3333329999996</v>
      </c>
      <c r="BT70" s="5">
        <v>2830.1623370000002</v>
      </c>
      <c r="BU70" s="5">
        <v>23194.585714000001</v>
      </c>
      <c r="BV70" s="5">
        <v>0</v>
      </c>
      <c r="BW70" s="5">
        <v>0</v>
      </c>
      <c r="BX70" s="5">
        <v>6</v>
      </c>
      <c r="BY70" s="5">
        <v>5</v>
      </c>
      <c r="BZ70" s="5">
        <v>1</v>
      </c>
      <c r="CD70" s="143">
        <v>0.10340657125579522</v>
      </c>
      <c r="CE70" s="143">
        <v>-4.9075391180654071E-3</v>
      </c>
      <c r="CF70" s="143">
        <v>7594804.0599999996</v>
      </c>
      <c r="CG70" s="144">
        <v>94.2</v>
      </c>
      <c r="CH70" s="144">
        <v>3.4</v>
      </c>
      <c r="CI70" s="144">
        <v>0.5</v>
      </c>
      <c r="CJ70" s="144">
        <v>95.3</v>
      </c>
      <c r="CK70" s="144">
        <v>3.1</v>
      </c>
      <c r="CL70" s="144">
        <v>0.2</v>
      </c>
      <c r="CM70" s="144">
        <v>98.1</v>
      </c>
      <c r="CN70" s="144">
        <v>98.6</v>
      </c>
    </row>
    <row r="71" spans="1:92" x14ac:dyDescent="0.3">
      <c r="A71">
        <v>420</v>
      </c>
      <c r="B71" s="1" t="s">
        <v>157</v>
      </c>
      <c r="C71" s="1" t="s">
        <v>157</v>
      </c>
      <c r="D71" s="1" t="s">
        <v>157</v>
      </c>
      <c r="E71" s="1" t="s">
        <v>157</v>
      </c>
      <c r="F71" s="2">
        <v>8</v>
      </c>
      <c r="G71" s="2">
        <v>12</v>
      </c>
      <c r="H71" s="2">
        <v>10</v>
      </c>
      <c r="I71" s="2">
        <v>0</v>
      </c>
      <c r="J71" s="2">
        <v>0</v>
      </c>
      <c r="K71" s="2">
        <v>0</v>
      </c>
      <c r="N71" s="4">
        <v>0</v>
      </c>
      <c r="S71" s="4">
        <v>166</v>
      </c>
      <c r="V71" s="4" t="str">
        <f t="shared" si="20"/>
        <v>N/A</v>
      </c>
      <c r="W71" s="4" t="str">
        <f t="shared" si="21"/>
        <v>N/A</v>
      </c>
      <c r="Z71" s="4">
        <v>0</v>
      </c>
      <c r="AE71" s="4">
        <v>119</v>
      </c>
      <c r="AH71" s="4" t="str">
        <f t="shared" si="22"/>
        <v>N/A</v>
      </c>
      <c r="AI71" s="4" t="str">
        <f t="shared" si="23"/>
        <v>N/A</v>
      </c>
      <c r="AL71" s="4">
        <v>0</v>
      </c>
      <c r="AN71" s="4" t="str">
        <f t="shared" si="24"/>
        <v>N/A</v>
      </c>
      <c r="AO71" s="4" t="str">
        <f t="shared" si="25"/>
        <v>N/A</v>
      </c>
      <c r="AR71" s="4">
        <v>166</v>
      </c>
      <c r="AT71" s="4">
        <v>0</v>
      </c>
      <c r="AX71" s="4" t="str">
        <f t="shared" si="26"/>
        <v>N/A</v>
      </c>
      <c r="AY71" s="4" t="str">
        <f t="shared" si="27"/>
        <v>N/A</v>
      </c>
      <c r="AZ71" s="4">
        <v>119</v>
      </c>
      <c r="BG71" s="5" t="str">
        <f t="shared" si="28"/>
        <v>N/A</v>
      </c>
      <c r="BK71" s="5" t="str">
        <f t="shared" si="29"/>
        <v>N/A</v>
      </c>
      <c r="BL71" s="5">
        <v>10595.666471</v>
      </c>
      <c r="BM71" s="5">
        <v>3839.9666659999998</v>
      </c>
      <c r="BN71" s="5">
        <v>14402.042995</v>
      </c>
      <c r="BO71" s="5">
        <v>7409.7325499999997</v>
      </c>
      <c r="BP71" s="5">
        <v>0</v>
      </c>
      <c r="BQ71" s="5">
        <v>15099.422208499998</v>
      </c>
      <c r="BR71" s="5">
        <v>10694.372525999999</v>
      </c>
      <c r="BS71" s="5">
        <v>4082.926829</v>
      </c>
      <c r="BT71" s="5">
        <v>13657.142857000001</v>
      </c>
      <c r="BU71" s="5">
        <v>7127.1501829999997</v>
      </c>
      <c r="BV71" s="5">
        <v>0</v>
      </c>
      <c r="BW71" s="5">
        <v>5489.5110839999998</v>
      </c>
      <c r="CD71" s="143">
        <v>5.4794520547945202E-2</v>
      </c>
      <c r="CE71" s="143">
        <v>-7.4766355140186924E-2</v>
      </c>
      <c r="CF71" s="143">
        <v>621890.89</v>
      </c>
      <c r="CG71" s="144" t="s">
        <v>157</v>
      </c>
      <c r="CH71" s="144" t="s">
        <v>157</v>
      </c>
      <c r="CI71" s="144" t="s">
        <v>157</v>
      </c>
      <c r="CJ71" s="144" t="s">
        <v>157</v>
      </c>
      <c r="CK71" s="144" t="s">
        <v>157</v>
      </c>
      <c r="CL71" s="144" t="s">
        <v>157</v>
      </c>
      <c r="CM71" s="144" t="s">
        <v>157</v>
      </c>
      <c r="CN71" s="144" t="s">
        <v>157</v>
      </c>
    </row>
    <row r="72" spans="1:92" x14ac:dyDescent="0.3">
      <c r="A72">
        <v>800</v>
      </c>
      <c r="B72" s="1">
        <v>3.3786501399999998E-3</v>
      </c>
      <c r="C72" s="1">
        <v>3.9417584999999998E-3</v>
      </c>
      <c r="D72" s="1">
        <v>-5.9683676499999996E-3</v>
      </c>
      <c r="E72" s="1">
        <v>6.2667860299999998E-3</v>
      </c>
      <c r="F72" s="2">
        <v>905</v>
      </c>
      <c r="G72" s="2">
        <v>965</v>
      </c>
      <c r="H72" s="2">
        <v>280</v>
      </c>
      <c r="I72" s="2">
        <v>100</v>
      </c>
      <c r="J72" s="2">
        <v>1214</v>
      </c>
      <c r="K72" s="2">
        <v>402</v>
      </c>
      <c r="L72" s="4">
        <v>73</v>
      </c>
      <c r="M72" s="4">
        <v>170</v>
      </c>
      <c r="N72" s="4">
        <v>60</v>
      </c>
      <c r="P72" s="4">
        <v>22</v>
      </c>
      <c r="Q72" s="4">
        <v>2876</v>
      </c>
      <c r="R72" s="4">
        <v>8789</v>
      </c>
      <c r="S72" s="4">
        <v>1430</v>
      </c>
      <c r="U72" s="4">
        <v>293</v>
      </c>
      <c r="V72" s="4">
        <f t="shared" si="20"/>
        <v>0.80198019801980203</v>
      </c>
      <c r="W72" s="4">
        <f t="shared" si="21"/>
        <v>94</v>
      </c>
      <c r="X72" s="4">
        <v>56</v>
      </c>
      <c r="Y72" s="4">
        <v>0</v>
      </c>
      <c r="Z72" s="4">
        <v>0</v>
      </c>
      <c r="AB72" s="4">
        <v>0</v>
      </c>
      <c r="AC72" s="4">
        <v>3214</v>
      </c>
      <c r="AD72" s="4">
        <v>9446</v>
      </c>
      <c r="AE72" s="4">
        <v>1805</v>
      </c>
      <c r="AG72" s="4">
        <v>0</v>
      </c>
      <c r="AH72" s="4">
        <f t="shared" si="22"/>
        <v>1</v>
      </c>
      <c r="AI72" s="4">
        <f t="shared" si="23"/>
        <v>1</v>
      </c>
      <c r="AJ72" s="4">
        <v>30</v>
      </c>
      <c r="AK72" s="4">
        <v>125</v>
      </c>
      <c r="AL72" s="4">
        <v>88</v>
      </c>
      <c r="AM72" s="4">
        <v>82</v>
      </c>
      <c r="AN72" s="4">
        <f t="shared" si="24"/>
        <v>0.12345679012345678</v>
      </c>
      <c r="AO72" s="4">
        <f t="shared" si="25"/>
        <v>77</v>
      </c>
      <c r="AP72" s="4">
        <v>1078</v>
      </c>
      <c r="AQ72" s="4">
        <v>6306</v>
      </c>
      <c r="AR72" s="4">
        <v>4277</v>
      </c>
      <c r="AS72" s="4">
        <v>1727</v>
      </c>
      <c r="AT72" s="4">
        <v>56</v>
      </c>
      <c r="AU72" s="4">
        <v>0</v>
      </c>
      <c r="AV72" s="4">
        <v>0</v>
      </c>
      <c r="AW72" s="4">
        <v>0</v>
      </c>
      <c r="AX72" s="4">
        <f t="shared" si="26"/>
        <v>1</v>
      </c>
      <c r="AY72" s="4">
        <f t="shared" si="27"/>
        <v>1</v>
      </c>
      <c r="AZ72" s="4">
        <v>2216</v>
      </c>
      <c r="BA72" s="4">
        <v>8384</v>
      </c>
      <c r="BB72" s="4">
        <v>3865</v>
      </c>
      <c r="BC72" s="4">
        <v>0</v>
      </c>
      <c r="BD72" s="5">
        <v>6700.2767480000002</v>
      </c>
      <c r="BE72" s="5">
        <v>3439.5604389999999</v>
      </c>
      <c r="BG72" s="5">
        <f t="shared" si="28"/>
        <v>34</v>
      </c>
      <c r="BH72" s="5">
        <v>25000</v>
      </c>
      <c r="BK72" s="5">
        <f t="shared" si="29"/>
        <v>46</v>
      </c>
      <c r="BL72" s="5">
        <v>10632.804819499999</v>
      </c>
      <c r="BM72" s="5">
        <v>3987.2789299999995</v>
      </c>
      <c r="BN72" s="5">
        <v>17845.238095000001</v>
      </c>
      <c r="BO72" s="5">
        <v>12680</v>
      </c>
      <c r="BP72" s="5">
        <v>0</v>
      </c>
      <c r="BQ72" s="5">
        <v>15099.422208499998</v>
      </c>
      <c r="BR72" s="5">
        <v>10694.372525999999</v>
      </c>
      <c r="BS72" s="5">
        <v>4082.926829</v>
      </c>
      <c r="BT72" s="5">
        <v>13657.142857000001</v>
      </c>
      <c r="BU72" s="5">
        <v>7127.1501829999997</v>
      </c>
      <c r="BV72" s="5">
        <v>0</v>
      </c>
      <c r="BW72" s="5">
        <v>5489.5110839999998</v>
      </c>
      <c r="BX72" s="5">
        <v>12</v>
      </c>
      <c r="BY72" s="5">
        <v>3</v>
      </c>
      <c r="CA72" s="5">
        <v>1</v>
      </c>
      <c r="CD72" s="143">
        <v>0.20636300417246178</v>
      </c>
      <c r="CE72" s="143">
        <v>1.0290953316493656E-2</v>
      </c>
      <c r="CF72" s="143">
        <v>28404703.350000001</v>
      </c>
      <c r="CG72" s="144">
        <v>91.7</v>
      </c>
      <c r="CH72" s="144">
        <v>5.0999999999999996</v>
      </c>
      <c r="CI72" s="144">
        <v>1.2</v>
      </c>
      <c r="CJ72" s="144">
        <v>94.9</v>
      </c>
      <c r="CK72" s="144">
        <v>3.1</v>
      </c>
      <c r="CL72" s="144">
        <v>0.3</v>
      </c>
      <c r="CM72" s="144">
        <v>98.1</v>
      </c>
      <c r="CN72" s="144">
        <v>98.4</v>
      </c>
    </row>
    <row r="73" spans="1:92" x14ac:dyDescent="0.3">
      <c r="A73">
        <v>801</v>
      </c>
      <c r="B73" s="1">
        <v>5.8000424020000003E-2</v>
      </c>
      <c r="C73" s="1">
        <v>1.8263318890000001E-2</v>
      </c>
      <c r="D73" s="1">
        <v>1.182150151E-2</v>
      </c>
      <c r="E73" s="1">
        <v>-5.1989849599999999E-3</v>
      </c>
      <c r="F73" s="2">
        <v>7658</v>
      </c>
      <c r="G73" s="2">
        <v>1944</v>
      </c>
      <c r="H73" s="2">
        <v>720</v>
      </c>
      <c r="I73" s="2">
        <v>40</v>
      </c>
      <c r="J73" s="2">
        <v>2886</v>
      </c>
      <c r="K73" s="2">
        <v>0</v>
      </c>
      <c r="L73" s="4">
        <v>277</v>
      </c>
      <c r="M73" s="4">
        <v>703</v>
      </c>
      <c r="N73" s="4">
        <v>0</v>
      </c>
      <c r="O73" s="4">
        <v>0</v>
      </c>
      <c r="P73" s="4">
        <v>0</v>
      </c>
      <c r="Q73" s="4">
        <v>8754</v>
      </c>
      <c r="R73" s="4">
        <v>20302</v>
      </c>
      <c r="S73" s="4">
        <v>4099</v>
      </c>
      <c r="T73" s="4">
        <v>180</v>
      </c>
      <c r="U73" s="4">
        <v>380</v>
      </c>
      <c r="V73" s="4">
        <f t="shared" si="20"/>
        <v>1</v>
      </c>
      <c r="W73" s="4">
        <f t="shared" si="21"/>
        <v>1</v>
      </c>
      <c r="X73" s="4">
        <v>0</v>
      </c>
      <c r="Y73" s="4">
        <v>224</v>
      </c>
      <c r="Z73" s="4">
        <v>0</v>
      </c>
      <c r="AA73" s="4">
        <v>0</v>
      </c>
      <c r="AB73" s="4">
        <v>0</v>
      </c>
      <c r="AC73" s="4">
        <v>3730</v>
      </c>
      <c r="AD73" s="4">
        <v>14380</v>
      </c>
      <c r="AE73" s="4">
        <v>925</v>
      </c>
      <c r="AF73" s="4">
        <v>1250</v>
      </c>
      <c r="AG73" s="4">
        <v>0</v>
      </c>
      <c r="AH73" s="4">
        <f t="shared" si="22"/>
        <v>1</v>
      </c>
      <c r="AI73" s="4">
        <f t="shared" si="23"/>
        <v>1</v>
      </c>
      <c r="AJ73" s="4">
        <v>30</v>
      </c>
      <c r="AK73" s="4">
        <v>550</v>
      </c>
      <c r="AL73" s="4">
        <v>0</v>
      </c>
      <c r="AM73" s="4">
        <v>400</v>
      </c>
      <c r="AN73" s="4">
        <f t="shared" si="24"/>
        <v>5.1724137931034482E-2</v>
      </c>
      <c r="AO73" s="4">
        <f t="shared" si="25"/>
        <v>93</v>
      </c>
      <c r="AP73" s="4">
        <v>8109</v>
      </c>
      <c r="AQ73" s="4">
        <v>13924</v>
      </c>
      <c r="AR73" s="4">
        <v>8946</v>
      </c>
      <c r="AS73" s="4">
        <v>2736</v>
      </c>
      <c r="AT73" s="4">
        <v>224</v>
      </c>
      <c r="AU73" s="4">
        <v>0</v>
      </c>
      <c r="AV73" s="4">
        <v>0</v>
      </c>
      <c r="AW73" s="4">
        <v>0</v>
      </c>
      <c r="AX73" s="4">
        <f t="shared" si="26"/>
        <v>1</v>
      </c>
      <c r="AY73" s="4">
        <f t="shared" si="27"/>
        <v>1</v>
      </c>
      <c r="AZ73" s="4">
        <v>8790</v>
      </c>
      <c r="BA73" s="4">
        <v>5995</v>
      </c>
      <c r="BB73" s="4">
        <v>5500</v>
      </c>
      <c r="BC73" s="4">
        <v>0</v>
      </c>
      <c r="BD73" s="5">
        <v>14682.158729999999</v>
      </c>
      <c r="BE73" s="5">
        <v>3331.4736379999999</v>
      </c>
      <c r="BF73" s="5">
        <v>15731.41884</v>
      </c>
      <c r="BG73" s="5">
        <f t="shared" si="28"/>
        <v>125</v>
      </c>
      <c r="BK73" s="5" t="str">
        <f t="shared" si="29"/>
        <v>N/A</v>
      </c>
      <c r="BL73" s="5">
        <v>9642.3555185000005</v>
      </c>
      <c r="BM73" s="5">
        <v>5585.2396570000001</v>
      </c>
      <c r="BN73" s="5">
        <v>13262.975793</v>
      </c>
      <c r="BO73" s="5">
        <v>13218.837631</v>
      </c>
      <c r="BP73" s="5">
        <v>0</v>
      </c>
      <c r="BQ73" s="5">
        <v>21896.833331999998</v>
      </c>
      <c r="BR73" s="5">
        <v>10694.372525999999</v>
      </c>
      <c r="BS73" s="5">
        <v>4082.926829</v>
      </c>
      <c r="BT73" s="5">
        <v>13657.142857000001</v>
      </c>
      <c r="BU73" s="5">
        <v>7127.1501829999997</v>
      </c>
      <c r="BV73" s="5">
        <v>0</v>
      </c>
      <c r="BW73" s="5">
        <v>5489.5110839999998</v>
      </c>
      <c r="BX73" s="5">
        <v>26</v>
      </c>
      <c r="BY73" s="5">
        <v>5</v>
      </c>
      <c r="BZ73" s="5">
        <v>2</v>
      </c>
      <c r="CD73" s="143">
        <v>0.31817035836484786</v>
      </c>
      <c r="CE73" s="143">
        <v>0.67949438202247192</v>
      </c>
      <c r="CF73" s="143">
        <v>147735388.75999999</v>
      </c>
      <c r="CG73" s="144">
        <v>84.2</v>
      </c>
      <c r="CH73" s="144">
        <v>8.4</v>
      </c>
      <c r="CI73" s="144">
        <v>3</v>
      </c>
      <c r="CJ73" s="144">
        <v>75.400000000000006</v>
      </c>
      <c r="CK73" s="144">
        <v>12.1</v>
      </c>
      <c r="CL73" s="144">
        <v>5.0999999999999996</v>
      </c>
      <c r="CM73" s="144">
        <v>95.6</v>
      </c>
      <c r="CN73" s="144">
        <v>92.5</v>
      </c>
    </row>
    <row r="74" spans="1:92" x14ac:dyDescent="0.3">
      <c r="A74">
        <v>802</v>
      </c>
      <c r="B74" s="1">
        <v>9.9127182000000001E-3</v>
      </c>
      <c r="C74" s="1">
        <v>-1.43391521E-3</v>
      </c>
      <c r="D74" s="1">
        <v>4.492278895E-2</v>
      </c>
      <c r="E74" s="1">
        <v>1.300889096E-2</v>
      </c>
      <c r="F74" s="2">
        <v>2215</v>
      </c>
      <c r="G74" s="2">
        <v>1019</v>
      </c>
      <c r="H74" s="2">
        <v>190</v>
      </c>
      <c r="I74" s="2">
        <v>220</v>
      </c>
      <c r="J74" s="2">
        <v>651</v>
      </c>
      <c r="K74" s="2">
        <v>0</v>
      </c>
      <c r="L74" s="4">
        <v>0</v>
      </c>
      <c r="M74" s="4">
        <v>420</v>
      </c>
      <c r="N74" s="4">
        <v>0</v>
      </c>
      <c r="Q74" s="4">
        <v>2435</v>
      </c>
      <c r="R74" s="4">
        <v>12030</v>
      </c>
      <c r="S74" s="4">
        <v>2235</v>
      </c>
      <c r="V74" s="4">
        <f t="shared" si="20"/>
        <v>1</v>
      </c>
      <c r="W74" s="4">
        <f t="shared" si="21"/>
        <v>1</v>
      </c>
      <c r="X74" s="4">
        <v>0</v>
      </c>
      <c r="Y74" s="4">
        <v>0</v>
      </c>
      <c r="Z74" s="4">
        <v>0</v>
      </c>
      <c r="AC74" s="4">
        <v>7851</v>
      </c>
      <c r="AD74" s="4">
        <v>4900</v>
      </c>
      <c r="AE74" s="4">
        <v>1055</v>
      </c>
      <c r="AH74" s="4" t="str">
        <f t="shared" si="22"/>
        <v>N/A</v>
      </c>
      <c r="AI74" s="4" t="str">
        <f t="shared" si="23"/>
        <v>N/A</v>
      </c>
      <c r="AJ74" s="4">
        <v>0</v>
      </c>
      <c r="AK74" s="4">
        <v>210</v>
      </c>
      <c r="AL74" s="4">
        <v>210</v>
      </c>
      <c r="AM74" s="4">
        <v>0</v>
      </c>
      <c r="AN74" s="4">
        <f t="shared" si="24"/>
        <v>0</v>
      </c>
      <c r="AO74" s="4">
        <f t="shared" si="25"/>
        <v>100</v>
      </c>
      <c r="AP74" s="4">
        <v>1995</v>
      </c>
      <c r="AQ74" s="4">
        <v>10160</v>
      </c>
      <c r="AR74" s="4">
        <v>3000</v>
      </c>
      <c r="AS74" s="4">
        <v>1545</v>
      </c>
      <c r="AT74" s="4">
        <v>0</v>
      </c>
      <c r="AU74" s="4">
        <v>0</v>
      </c>
      <c r="AV74" s="4">
        <v>0</v>
      </c>
      <c r="AW74" s="4">
        <v>0</v>
      </c>
      <c r="AX74" s="4" t="str">
        <f t="shared" si="26"/>
        <v>N/A</v>
      </c>
      <c r="AY74" s="4" t="str">
        <f t="shared" si="27"/>
        <v>N/A</v>
      </c>
      <c r="AZ74" s="4">
        <v>6246</v>
      </c>
      <c r="BA74" s="4">
        <v>2660</v>
      </c>
      <c r="BB74" s="4">
        <v>4900</v>
      </c>
      <c r="BC74" s="4">
        <v>0</v>
      </c>
      <c r="BD74" s="5">
        <v>6897.0505549999998</v>
      </c>
      <c r="BE74" s="5">
        <v>6935.3290319999996</v>
      </c>
      <c r="BF74" s="5">
        <v>10984.603864000001</v>
      </c>
      <c r="BG74" s="5">
        <f t="shared" si="28"/>
        <v>38</v>
      </c>
      <c r="BK74" s="5" t="str">
        <f t="shared" si="29"/>
        <v>N/A</v>
      </c>
      <c r="BL74" s="5">
        <v>10023.473237</v>
      </c>
      <c r="BM74" s="5">
        <v>4253.3844854999998</v>
      </c>
      <c r="BN74" s="5">
        <v>17845.238095000001</v>
      </c>
      <c r="BO74" s="5">
        <v>9654.0593100000006</v>
      </c>
      <c r="BP74" s="5">
        <v>1016.622222</v>
      </c>
      <c r="BQ74" s="5">
        <v>0</v>
      </c>
      <c r="BR74" s="5">
        <v>10694.372525999999</v>
      </c>
      <c r="BS74" s="5">
        <v>4082.926829</v>
      </c>
      <c r="BT74" s="5">
        <v>13657.142857000001</v>
      </c>
      <c r="BU74" s="5">
        <v>7127.1501829999997</v>
      </c>
      <c r="BV74" s="5">
        <v>0</v>
      </c>
      <c r="BW74" s="5">
        <v>5489.5110839999998</v>
      </c>
      <c r="BX74" s="5">
        <v>11</v>
      </c>
      <c r="BY74" s="5">
        <v>6</v>
      </c>
      <c r="BZ74" s="5">
        <v>8</v>
      </c>
      <c r="CD74" s="143">
        <v>0.1624924053196517</v>
      </c>
      <c r="CE74" s="143">
        <v>6.3189747241010341E-3</v>
      </c>
      <c r="CF74" s="143">
        <v>41998666.730000004</v>
      </c>
      <c r="CG74" s="144">
        <v>85.8</v>
      </c>
      <c r="CH74" s="144">
        <v>6.8</v>
      </c>
      <c r="CI74" s="144">
        <v>2.8</v>
      </c>
      <c r="CJ74" s="144">
        <v>92.7</v>
      </c>
      <c r="CK74" s="144">
        <v>5.6</v>
      </c>
      <c r="CL74" s="144">
        <v>0.7</v>
      </c>
      <c r="CM74" s="144">
        <v>95.5</v>
      </c>
      <c r="CN74" s="144">
        <v>99</v>
      </c>
    </row>
    <row r="75" spans="1:92" x14ac:dyDescent="0.3">
      <c r="A75">
        <v>803</v>
      </c>
      <c r="B75" s="1">
        <v>-5.4910714200000002E-3</v>
      </c>
      <c r="C75" s="1">
        <v>7.9910714200000007E-3</v>
      </c>
      <c r="D75" s="1">
        <v>1.6241990760000002E-2</v>
      </c>
      <c r="E75" s="1">
        <v>2.9056772400000001E-3</v>
      </c>
      <c r="F75" s="2">
        <v>534</v>
      </c>
      <c r="G75" s="2">
        <v>483</v>
      </c>
      <c r="H75" s="2">
        <v>120</v>
      </c>
      <c r="I75" s="2">
        <v>0</v>
      </c>
      <c r="J75" s="2">
        <v>2135</v>
      </c>
      <c r="K75" s="2">
        <v>180</v>
      </c>
      <c r="L75" s="4">
        <v>0</v>
      </c>
      <c r="M75" s="4">
        <v>0</v>
      </c>
      <c r="N75" s="4">
        <v>0</v>
      </c>
      <c r="Q75" s="4">
        <v>2338</v>
      </c>
      <c r="R75" s="4">
        <v>17617</v>
      </c>
      <c r="S75" s="4">
        <v>3255</v>
      </c>
      <c r="V75" s="4" t="str">
        <f t="shared" si="20"/>
        <v>N/A</v>
      </c>
      <c r="W75" s="4" t="str">
        <f t="shared" si="21"/>
        <v>N/A</v>
      </c>
      <c r="X75" s="4">
        <v>0</v>
      </c>
      <c r="Y75" s="4">
        <v>114</v>
      </c>
      <c r="Z75" s="4">
        <v>0</v>
      </c>
      <c r="AC75" s="4">
        <v>1056</v>
      </c>
      <c r="AD75" s="4">
        <v>8178</v>
      </c>
      <c r="AE75" s="4">
        <v>7872</v>
      </c>
      <c r="AH75" s="4">
        <f t="shared" si="22"/>
        <v>1</v>
      </c>
      <c r="AI75" s="4">
        <f t="shared" si="23"/>
        <v>1</v>
      </c>
      <c r="AJ75" s="4">
        <v>0</v>
      </c>
      <c r="AK75" s="4">
        <v>0</v>
      </c>
      <c r="AL75" s="4">
        <v>0</v>
      </c>
      <c r="AM75" s="4">
        <v>0</v>
      </c>
      <c r="AN75" s="4" t="str">
        <f t="shared" si="24"/>
        <v>N/A</v>
      </c>
      <c r="AO75" s="4" t="str">
        <f t="shared" si="25"/>
        <v>N/A</v>
      </c>
      <c r="AP75" s="4">
        <v>2512</v>
      </c>
      <c r="AQ75" s="4">
        <v>15104</v>
      </c>
      <c r="AR75" s="4">
        <v>4062</v>
      </c>
      <c r="AS75" s="4">
        <v>1532</v>
      </c>
      <c r="AT75" s="4">
        <v>0</v>
      </c>
      <c r="AU75" s="4">
        <v>0</v>
      </c>
      <c r="AV75" s="4">
        <v>114</v>
      </c>
      <c r="AW75" s="4">
        <v>0</v>
      </c>
      <c r="AX75" s="4">
        <f t="shared" si="26"/>
        <v>0</v>
      </c>
      <c r="AY75" s="4">
        <f t="shared" si="27"/>
        <v>73</v>
      </c>
      <c r="AZ75" s="4">
        <v>2789</v>
      </c>
      <c r="BA75" s="4">
        <v>3539</v>
      </c>
      <c r="BB75" s="4">
        <v>10778</v>
      </c>
      <c r="BC75" s="4">
        <v>0</v>
      </c>
      <c r="BD75" s="5">
        <v>11199.385184999999</v>
      </c>
      <c r="BE75" s="5">
        <v>6706.3218390000002</v>
      </c>
      <c r="BF75" s="5">
        <v>13657.142857000001</v>
      </c>
      <c r="BG75" s="5">
        <f t="shared" si="28"/>
        <v>99</v>
      </c>
      <c r="BK75" s="5" t="str">
        <f t="shared" si="29"/>
        <v>N/A</v>
      </c>
      <c r="BL75" s="5">
        <v>9661.5648414999996</v>
      </c>
      <c r="BM75" s="5">
        <v>5288.5166660000004</v>
      </c>
      <c r="BN75" s="5">
        <v>18509.007380499999</v>
      </c>
      <c r="BO75" s="5">
        <v>8673.1871135000001</v>
      </c>
      <c r="BP75" s="5">
        <v>1016.622222</v>
      </c>
      <c r="BQ75" s="5">
        <v>0</v>
      </c>
      <c r="BR75" s="5">
        <v>10694.372525999999</v>
      </c>
      <c r="BS75" s="5">
        <v>4082.926829</v>
      </c>
      <c r="BT75" s="5">
        <v>13657.142857000001</v>
      </c>
      <c r="BU75" s="5">
        <v>7127.1501829999997</v>
      </c>
      <c r="BV75" s="5">
        <v>0</v>
      </c>
      <c r="BW75" s="5">
        <v>5489.5110839999998</v>
      </c>
      <c r="BX75" s="5">
        <v>5</v>
      </c>
      <c r="BY75" s="5">
        <v>28</v>
      </c>
      <c r="BZ75" s="5">
        <v>1</v>
      </c>
      <c r="CD75" s="143">
        <v>0.15870704717530582</v>
      </c>
      <c r="CE75" s="143">
        <v>7.2252533125487073E-2</v>
      </c>
      <c r="CF75" s="143">
        <v>37728606.780000001</v>
      </c>
      <c r="CG75" s="144">
        <v>90.4</v>
      </c>
      <c r="CH75" s="144">
        <v>5.4</v>
      </c>
      <c r="CI75" s="144">
        <v>1.9</v>
      </c>
      <c r="CJ75" s="144">
        <v>88.9</v>
      </c>
      <c r="CK75" s="144">
        <v>7.8</v>
      </c>
      <c r="CL75" s="144">
        <v>1.7</v>
      </c>
      <c r="CM75" s="144">
        <v>97.7</v>
      </c>
      <c r="CN75" s="144">
        <v>98.4</v>
      </c>
    </row>
    <row r="76" spans="1:92" x14ac:dyDescent="0.3">
      <c r="A76">
        <v>805</v>
      </c>
      <c r="B76" s="1">
        <v>-9.38133874E-3</v>
      </c>
      <c r="C76" s="1">
        <v>1.1663286E-2</v>
      </c>
      <c r="D76" s="1">
        <v>-8.1648522500000001E-3</v>
      </c>
      <c r="E76" s="1">
        <v>7.5816485200000004E-3</v>
      </c>
      <c r="F76" s="2">
        <v>723</v>
      </c>
      <c r="G76" s="2">
        <v>0</v>
      </c>
      <c r="H76" s="2">
        <v>10</v>
      </c>
      <c r="I76" s="2">
        <v>220</v>
      </c>
      <c r="J76" s="2">
        <v>0</v>
      </c>
      <c r="K76" s="2">
        <v>0</v>
      </c>
      <c r="L76" s="4">
        <v>0</v>
      </c>
      <c r="M76" s="4">
        <v>38</v>
      </c>
      <c r="N76" s="4">
        <v>0</v>
      </c>
      <c r="Q76" s="4">
        <v>1843</v>
      </c>
      <c r="R76" s="4">
        <v>5919</v>
      </c>
      <c r="S76" s="4">
        <v>1095</v>
      </c>
      <c r="V76" s="4">
        <f t="shared" si="20"/>
        <v>1</v>
      </c>
      <c r="W76" s="4">
        <f t="shared" si="21"/>
        <v>1</v>
      </c>
      <c r="X76" s="4">
        <v>0</v>
      </c>
      <c r="Y76" s="4">
        <v>0</v>
      </c>
      <c r="Z76" s="4">
        <v>0</v>
      </c>
      <c r="AC76" s="4">
        <v>0</v>
      </c>
      <c r="AD76" s="4">
        <v>1634</v>
      </c>
      <c r="AE76" s="4">
        <v>2086</v>
      </c>
      <c r="AH76" s="4" t="str">
        <f t="shared" si="22"/>
        <v>N/A</v>
      </c>
      <c r="AI76" s="4" t="str">
        <f t="shared" si="23"/>
        <v>N/A</v>
      </c>
      <c r="AJ76" s="4">
        <v>0</v>
      </c>
      <c r="AK76" s="4">
        <v>38</v>
      </c>
      <c r="AL76" s="4">
        <v>0</v>
      </c>
      <c r="AM76" s="4">
        <v>0</v>
      </c>
      <c r="AN76" s="4">
        <f t="shared" si="24"/>
        <v>0</v>
      </c>
      <c r="AO76" s="4">
        <f t="shared" si="25"/>
        <v>100</v>
      </c>
      <c r="AP76" s="4">
        <v>2996</v>
      </c>
      <c r="AQ76" s="4">
        <v>4814</v>
      </c>
      <c r="AR76" s="4">
        <v>1047</v>
      </c>
      <c r="AS76" s="4">
        <v>0</v>
      </c>
      <c r="AT76" s="4">
        <v>0</v>
      </c>
      <c r="AV76" s="4">
        <v>0</v>
      </c>
      <c r="AW76" s="4">
        <v>0</v>
      </c>
      <c r="AX76" s="4" t="str">
        <f t="shared" si="26"/>
        <v>N/A</v>
      </c>
      <c r="AY76" s="4" t="str">
        <f t="shared" si="27"/>
        <v>N/A</v>
      </c>
      <c r="AZ76" s="4">
        <v>1634</v>
      </c>
      <c r="BB76" s="4">
        <v>2086</v>
      </c>
      <c r="BC76" s="4">
        <v>0</v>
      </c>
      <c r="BG76" s="5" t="str">
        <f t="shared" si="28"/>
        <v>N/A</v>
      </c>
      <c r="BK76" s="5" t="str">
        <f t="shared" si="29"/>
        <v>N/A</v>
      </c>
      <c r="BL76" s="5">
        <v>6393.55</v>
      </c>
      <c r="BM76" s="5">
        <v>3808.333333</v>
      </c>
      <c r="BN76" s="5">
        <v>3248.4145015000004</v>
      </c>
      <c r="BO76" s="5">
        <v>14428.571427999999</v>
      </c>
      <c r="BP76" s="5">
        <v>0</v>
      </c>
      <c r="BQ76" s="5">
        <v>22877.14</v>
      </c>
      <c r="BR76" s="5">
        <v>6353.8938660000003</v>
      </c>
      <c r="BS76" s="5">
        <v>5833.3333329999996</v>
      </c>
      <c r="BT76" s="5">
        <v>2830.1623370000002</v>
      </c>
      <c r="BU76" s="5">
        <v>23194.585714000001</v>
      </c>
      <c r="BV76" s="5">
        <v>0</v>
      </c>
      <c r="BW76" s="5">
        <v>0</v>
      </c>
      <c r="CD76" s="143">
        <v>7.3380907499663417E-2</v>
      </c>
      <c r="CE76" s="143">
        <v>-0.10447761194029848</v>
      </c>
      <c r="CF76" s="143">
        <v>8197138.4000000004</v>
      </c>
      <c r="CG76" s="144">
        <v>91.3</v>
      </c>
      <c r="CH76" s="144">
        <v>3.8</v>
      </c>
      <c r="CI76" s="144">
        <v>1.2</v>
      </c>
      <c r="CJ76" s="144">
        <v>92.9</v>
      </c>
      <c r="CK76" s="144">
        <v>5.7</v>
      </c>
      <c r="CL76" s="144">
        <v>0.8</v>
      </c>
      <c r="CM76" s="144">
        <v>96.2</v>
      </c>
      <c r="CN76" s="144">
        <v>99.3</v>
      </c>
    </row>
    <row r="77" spans="1:92" x14ac:dyDescent="0.3">
      <c r="A77">
        <v>806</v>
      </c>
      <c r="B77" s="1">
        <v>7.1343638000000002E-4</v>
      </c>
      <c r="C77" s="1">
        <v>-2.2988505700000002E-3</v>
      </c>
      <c r="D77" s="1">
        <v>1.474667834E-2</v>
      </c>
      <c r="E77" s="1">
        <v>1.0658490289999999E-2</v>
      </c>
      <c r="F77" s="2">
        <v>185</v>
      </c>
      <c r="G77" s="2">
        <v>0</v>
      </c>
      <c r="H77" s="2">
        <v>0</v>
      </c>
      <c r="I77" s="2">
        <v>0</v>
      </c>
      <c r="J77" s="2">
        <v>161</v>
      </c>
      <c r="K77" s="2">
        <v>0</v>
      </c>
      <c r="L77" s="4">
        <v>0</v>
      </c>
      <c r="M77" s="4">
        <v>205</v>
      </c>
      <c r="N77" s="4">
        <v>61</v>
      </c>
      <c r="O77" s="4">
        <v>0</v>
      </c>
      <c r="Q77" s="4">
        <v>2236</v>
      </c>
      <c r="R77" s="4">
        <v>8940</v>
      </c>
      <c r="S77" s="4">
        <v>2533</v>
      </c>
      <c r="T77" s="4">
        <v>0</v>
      </c>
      <c r="V77" s="4">
        <f t="shared" si="20"/>
        <v>0.77067669172932329</v>
      </c>
      <c r="W77" s="4">
        <f t="shared" si="21"/>
        <v>102</v>
      </c>
      <c r="X77" s="4">
        <v>0</v>
      </c>
      <c r="Y77" s="4">
        <v>0</v>
      </c>
      <c r="Z77" s="4">
        <v>0</v>
      </c>
      <c r="AA77" s="4">
        <v>0</v>
      </c>
      <c r="AC77" s="4">
        <v>0</v>
      </c>
      <c r="AD77" s="4">
        <v>5350</v>
      </c>
      <c r="AE77" s="4">
        <v>3246</v>
      </c>
      <c r="AF77" s="4">
        <v>825</v>
      </c>
      <c r="AH77" s="4" t="str">
        <f t="shared" si="22"/>
        <v>N/A</v>
      </c>
      <c r="AI77" s="4" t="str">
        <f t="shared" si="23"/>
        <v>N/A</v>
      </c>
      <c r="AJ77" s="4">
        <v>100</v>
      </c>
      <c r="AK77" s="4">
        <v>166</v>
      </c>
      <c r="AL77" s="4">
        <v>0</v>
      </c>
      <c r="AM77" s="4">
        <v>0</v>
      </c>
      <c r="AN77" s="4">
        <f t="shared" si="24"/>
        <v>0.37593984962406013</v>
      </c>
      <c r="AO77" s="4">
        <f t="shared" si="25"/>
        <v>37</v>
      </c>
      <c r="AP77" s="4">
        <v>5076</v>
      </c>
      <c r="AQ77" s="4">
        <v>6578</v>
      </c>
      <c r="AR77" s="4">
        <v>2055</v>
      </c>
      <c r="AS77" s="4">
        <v>0</v>
      </c>
      <c r="AT77" s="4">
        <v>0</v>
      </c>
      <c r="AU77" s="4">
        <v>0</v>
      </c>
      <c r="AV77" s="4">
        <v>0</v>
      </c>
      <c r="AW77" s="4">
        <v>0</v>
      </c>
      <c r="AX77" s="4" t="str">
        <f t="shared" si="26"/>
        <v>N/A</v>
      </c>
      <c r="AY77" s="4" t="str">
        <f t="shared" si="27"/>
        <v>N/A</v>
      </c>
      <c r="AZ77" s="4">
        <v>2820</v>
      </c>
      <c r="BA77" s="4">
        <v>1550</v>
      </c>
      <c r="BB77" s="4">
        <v>5051</v>
      </c>
      <c r="BC77" s="4">
        <v>0</v>
      </c>
      <c r="BD77" s="5">
        <v>6533.9208209999997</v>
      </c>
      <c r="BG77" s="5">
        <f t="shared" si="28"/>
        <v>33</v>
      </c>
      <c r="BK77" s="5" t="str">
        <f t="shared" si="29"/>
        <v>N/A</v>
      </c>
      <c r="BL77" s="5">
        <v>6058.8714730000002</v>
      </c>
      <c r="BM77" s="5">
        <v>3738.5641019999998</v>
      </c>
      <c r="BN77" s="5">
        <v>8214.2857140000015</v>
      </c>
      <c r="BO77" s="5">
        <v>11808.333333</v>
      </c>
      <c r="BP77" s="5">
        <v>0</v>
      </c>
      <c r="BQ77" s="5">
        <v>20392.818365499999</v>
      </c>
      <c r="BR77" s="5">
        <v>6353.8938660000003</v>
      </c>
      <c r="BS77" s="5">
        <v>5833.3333329999996</v>
      </c>
      <c r="BT77" s="5">
        <v>2830.1623370000002</v>
      </c>
      <c r="BU77" s="5">
        <v>23194.585714000001</v>
      </c>
      <c r="BV77" s="5">
        <v>0</v>
      </c>
      <c r="BW77" s="5">
        <v>0</v>
      </c>
      <c r="BX77" s="5">
        <v>9</v>
      </c>
      <c r="CD77" s="143">
        <v>0.13823195741338679</v>
      </c>
      <c r="CE77" s="143">
        <v>0.45675784392598562</v>
      </c>
      <c r="CF77" s="143">
        <v>4784809.5999999996</v>
      </c>
      <c r="CG77" s="144">
        <v>92.7</v>
      </c>
      <c r="CH77" s="144">
        <v>3.6</v>
      </c>
      <c r="CI77" s="144">
        <v>0.8</v>
      </c>
      <c r="CJ77" s="144">
        <v>77.599999999999994</v>
      </c>
      <c r="CK77" s="144">
        <v>12.9</v>
      </c>
      <c r="CL77" s="144">
        <v>3.2</v>
      </c>
      <c r="CM77" s="144">
        <v>97.1</v>
      </c>
      <c r="CN77" s="144">
        <v>93.7</v>
      </c>
    </row>
    <row r="78" spans="1:92" x14ac:dyDescent="0.3">
      <c r="A78">
        <v>807</v>
      </c>
      <c r="B78" s="1">
        <v>-1.8909694670000001E-2</v>
      </c>
      <c r="C78" s="1">
        <v>-3.6343510740000001E-2</v>
      </c>
      <c r="D78" s="1">
        <v>8.0594383499999998E-3</v>
      </c>
      <c r="E78" s="1">
        <v>1.485958947E-2</v>
      </c>
      <c r="F78" s="2">
        <v>273</v>
      </c>
      <c r="G78" s="2">
        <v>0</v>
      </c>
      <c r="H78" s="2">
        <v>0</v>
      </c>
      <c r="I78" s="2">
        <v>30</v>
      </c>
      <c r="J78" s="2">
        <v>74</v>
      </c>
      <c r="K78" s="2">
        <v>0</v>
      </c>
      <c r="L78" s="4">
        <v>0</v>
      </c>
      <c r="M78" s="4">
        <v>0</v>
      </c>
      <c r="N78" s="4">
        <v>0</v>
      </c>
      <c r="Q78" s="4">
        <v>2450</v>
      </c>
      <c r="R78" s="4">
        <v>8155</v>
      </c>
      <c r="S78" s="4">
        <v>1954</v>
      </c>
      <c r="V78" s="4" t="str">
        <f t="shared" si="20"/>
        <v>N/A</v>
      </c>
      <c r="W78" s="4" t="str">
        <f t="shared" si="21"/>
        <v>N/A</v>
      </c>
      <c r="X78" s="4">
        <v>0</v>
      </c>
      <c r="Y78" s="4">
        <v>0</v>
      </c>
      <c r="Z78" s="4">
        <v>0</v>
      </c>
      <c r="AC78" s="4">
        <v>2512</v>
      </c>
      <c r="AD78" s="4">
        <v>3637</v>
      </c>
      <c r="AE78" s="4">
        <v>2131</v>
      </c>
      <c r="AH78" s="4" t="str">
        <f t="shared" si="22"/>
        <v>N/A</v>
      </c>
      <c r="AI78" s="4" t="str">
        <f t="shared" si="23"/>
        <v>N/A</v>
      </c>
      <c r="AJ78" s="4">
        <v>0</v>
      </c>
      <c r="AK78" s="4">
        <v>0</v>
      </c>
      <c r="AL78" s="4">
        <v>0</v>
      </c>
      <c r="AM78" s="4">
        <v>0</v>
      </c>
      <c r="AN78" s="4" t="str">
        <f t="shared" si="24"/>
        <v>N/A</v>
      </c>
      <c r="AO78" s="4" t="str">
        <f t="shared" si="25"/>
        <v>N/A</v>
      </c>
      <c r="AP78" s="4">
        <v>7081</v>
      </c>
      <c r="AQ78" s="4">
        <v>5163</v>
      </c>
      <c r="AR78" s="4">
        <v>315</v>
      </c>
      <c r="AS78" s="4">
        <v>0</v>
      </c>
      <c r="AU78" s="4">
        <v>0</v>
      </c>
      <c r="AV78" s="4">
        <v>0</v>
      </c>
      <c r="AW78" s="4">
        <v>0</v>
      </c>
      <c r="AX78" s="4" t="str">
        <f t="shared" si="26"/>
        <v>N/A</v>
      </c>
      <c r="AY78" s="4" t="str">
        <f t="shared" si="27"/>
        <v>N/A</v>
      </c>
      <c r="BA78" s="4">
        <v>3600</v>
      </c>
      <c r="BB78" s="4">
        <v>4680</v>
      </c>
      <c r="BC78" s="4">
        <v>0</v>
      </c>
      <c r="BD78" s="5">
        <v>6393.55</v>
      </c>
      <c r="BF78" s="5">
        <v>2830.1623370000002</v>
      </c>
      <c r="BG78" s="5">
        <f t="shared" si="28"/>
        <v>31</v>
      </c>
      <c r="BK78" s="5" t="str">
        <f t="shared" si="29"/>
        <v>N/A</v>
      </c>
      <c r="BL78" s="5">
        <v>6453.8915660000002</v>
      </c>
      <c r="BM78" s="5">
        <v>4620.2666664999997</v>
      </c>
      <c r="BN78" s="5">
        <v>12384.419046999999</v>
      </c>
      <c r="BO78" s="5">
        <v>0</v>
      </c>
      <c r="BP78" s="5">
        <v>0</v>
      </c>
      <c r="BQ78" s="5">
        <v>22877.14</v>
      </c>
      <c r="BR78" s="5">
        <v>6353.8938660000003</v>
      </c>
      <c r="BS78" s="5">
        <v>5833.3333329999996</v>
      </c>
      <c r="BT78" s="5">
        <v>2830.1623370000002</v>
      </c>
      <c r="BU78" s="5">
        <v>23194.585714000001</v>
      </c>
      <c r="BV78" s="5">
        <v>0</v>
      </c>
      <c r="BW78" s="5">
        <v>0</v>
      </c>
      <c r="BX78" s="5">
        <v>1</v>
      </c>
      <c r="BZ78" s="5">
        <v>1</v>
      </c>
      <c r="CD78" s="143">
        <v>6.1990993580530729E-2</v>
      </c>
      <c r="CE78" s="143">
        <v>-0.12658782303985983</v>
      </c>
      <c r="CF78" s="143">
        <v>3407470.86</v>
      </c>
      <c r="CG78" s="144">
        <v>94.8</v>
      </c>
      <c r="CH78" s="144">
        <v>2.2999999999999998</v>
      </c>
      <c r="CI78" s="144">
        <v>0.4</v>
      </c>
      <c r="CJ78" s="144">
        <v>95.2</v>
      </c>
      <c r="CK78" s="144">
        <v>3</v>
      </c>
      <c r="CL78" s="144">
        <v>0.1</v>
      </c>
      <c r="CM78" s="144">
        <v>97.5</v>
      </c>
      <c r="CN78" s="144">
        <v>98.2</v>
      </c>
    </row>
    <row r="79" spans="1:92" x14ac:dyDescent="0.3">
      <c r="A79">
        <v>808</v>
      </c>
      <c r="B79" s="1">
        <v>-3.2505366400000001E-3</v>
      </c>
      <c r="C79" s="1">
        <v>2.94388224E-3</v>
      </c>
      <c r="D79" s="1">
        <v>2.4318573299999999E-3</v>
      </c>
      <c r="E79" s="1">
        <v>-5.0663694300000003E-3</v>
      </c>
      <c r="F79" s="2">
        <v>2011</v>
      </c>
      <c r="G79" s="2">
        <v>0</v>
      </c>
      <c r="H79" s="2">
        <v>270</v>
      </c>
      <c r="I79" s="2">
        <v>650</v>
      </c>
      <c r="J79" s="2">
        <v>274</v>
      </c>
      <c r="K79" s="2">
        <v>155</v>
      </c>
      <c r="L79" s="4">
        <v>473</v>
      </c>
      <c r="M79" s="4">
        <v>293</v>
      </c>
      <c r="N79" s="4">
        <v>0</v>
      </c>
      <c r="Q79" s="4">
        <v>3181</v>
      </c>
      <c r="R79" s="4">
        <v>12812</v>
      </c>
      <c r="S79" s="4">
        <v>1511</v>
      </c>
      <c r="V79" s="4">
        <f t="shared" si="20"/>
        <v>1</v>
      </c>
      <c r="W79" s="4">
        <f t="shared" si="21"/>
        <v>1</v>
      </c>
      <c r="X79" s="4">
        <v>0</v>
      </c>
      <c r="Y79" s="4">
        <v>0</v>
      </c>
      <c r="Z79" s="4">
        <v>0</v>
      </c>
      <c r="AC79" s="4">
        <v>2134</v>
      </c>
      <c r="AD79" s="4">
        <v>1922</v>
      </c>
      <c r="AE79" s="4">
        <v>4592</v>
      </c>
      <c r="AH79" s="4" t="str">
        <f t="shared" si="22"/>
        <v>N/A</v>
      </c>
      <c r="AI79" s="4" t="str">
        <f t="shared" si="23"/>
        <v>N/A</v>
      </c>
      <c r="AJ79" s="4">
        <v>343</v>
      </c>
      <c r="AK79" s="4">
        <v>353</v>
      </c>
      <c r="AL79" s="4">
        <v>70</v>
      </c>
      <c r="AM79" s="4">
        <v>0</v>
      </c>
      <c r="AN79" s="4">
        <f t="shared" si="24"/>
        <v>0.44778067885117495</v>
      </c>
      <c r="AO79" s="4">
        <f t="shared" si="25"/>
        <v>28</v>
      </c>
      <c r="AP79" s="4">
        <v>2495</v>
      </c>
      <c r="AQ79" s="4">
        <v>11970</v>
      </c>
      <c r="AR79" s="4">
        <v>3039</v>
      </c>
      <c r="AS79" s="4">
        <v>0</v>
      </c>
      <c r="AU79" s="4">
        <v>0</v>
      </c>
      <c r="AV79" s="4">
        <v>0</v>
      </c>
      <c r="AW79" s="4">
        <v>0</v>
      </c>
      <c r="AX79" s="4" t="str">
        <f t="shared" si="26"/>
        <v>N/A</v>
      </c>
      <c r="AY79" s="4" t="str">
        <f t="shared" si="27"/>
        <v>N/A</v>
      </c>
      <c r="BA79" s="4">
        <v>5690</v>
      </c>
      <c r="BB79" s="4">
        <v>2958</v>
      </c>
      <c r="BC79" s="4">
        <v>0</v>
      </c>
      <c r="BD79" s="5">
        <v>5904.5052230000001</v>
      </c>
      <c r="BE79" s="5">
        <v>11316.864863999999</v>
      </c>
      <c r="BG79" s="5">
        <f t="shared" si="28"/>
        <v>22</v>
      </c>
      <c r="BK79" s="5" t="str">
        <f t="shared" si="29"/>
        <v>N/A</v>
      </c>
      <c r="BL79" s="5">
        <v>7098.6500584999994</v>
      </c>
      <c r="BM79" s="5">
        <v>3333.333333</v>
      </c>
      <c r="BN79" s="5">
        <v>12384.419046999999</v>
      </c>
      <c r="BO79" s="5">
        <v>31960.6</v>
      </c>
      <c r="BP79" s="5">
        <v>0</v>
      </c>
      <c r="BQ79" s="5">
        <v>3386.6666660000001</v>
      </c>
      <c r="BR79" s="5">
        <v>6353.8938660000003</v>
      </c>
      <c r="BS79" s="5">
        <v>5833.3333329999996</v>
      </c>
      <c r="BT79" s="5">
        <v>2830.1623370000002</v>
      </c>
      <c r="BU79" s="5">
        <v>23194.585714000001</v>
      </c>
      <c r="BV79" s="5">
        <v>0</v>
      </c>
      <c r="BW79" s="5">
        <v>0</v>
      </c>
      <c r="BX79" s="5">
        <v>14</v>
      </c>
      <c r="BY79" s="5">
        <v>2</v>
      </c>
      <c r="CD79" s="143">
        <v>0.21322370674888669</v>
      </c>
      <c r="CE79" s="143">
        <v>1.1058888581696458E-3</v>
      </c>
      <c r="CF79" s="143">
        <v>48428320.590000004</v>
      </c>
      <c r="CG79" s="144">
        <v>93.6</v>
      </c>
      <c r="CH79" s="144">
        <v>3.4</v>
      </c>
      <c r="CI79" s="144">
        <v>0.5</v>
      </c>
      <c r="CJ79" s="144">
        <v>94.8</v>
      </c>
      <c r="CK79" s="144">
        <v>4</v>
      </c>
      <c r="CL79" s="144">
        <v>0.5</v>
      </c>
      <c r="CM79" s="144">
        <v>97.4</v>
      </c>
      <c r="CN79" s="144">
        <v>99.3</v>
      </c>
    </row>
    <row r="80" spans="1:92" x14ac:dyDescent="0.3">
      <c r="A80">
        <v>810</v>
      </c>
      <c r="B80" s="1">
        <v>-4.6256424499999997E-2</v>
      </c>
      <c r="C80" s="1">
        <v>-5.2785109E-3</v>
      </c>
      <c r="D80" s="1">
        <v>5.0949913600000004E-3</v>
      </c>
      <c r="E80" s="1">
        <v>-4.8359240000000001E-3</v>
      </c>
      <c r="F80" s="2">
        <v>1850</v>
      </c>
      <c r="G80" s="2">
        <v>0</v>
      </c>
      <c r="H80" s="2">
        <v>270</v>
      </c>
      <c r="I80" s="2">
        <v>0</v>
      </c>
      <c r="J80" s="2">
        <v>1085</v>
      </c>
      <c r="K80" s="2">
        <v>0</v>
      </c>
      <c r="L80" s="4">
        <v>0</v>
      </c>
      <c r="M80" s="4">
        <v>219</v>
      </c>
      <c r="N80" s="4">
        <v>122</v>
      </c>
      <c r="O80" s="4">
        <v>42</v>
      </c>
      <c r="Q80" s="4">
        <v>3917</v>
      </c>
      <c r="R80" s="4">
        <v>12661</v>
      </c>
      <c r="S80" s="4">
        <v>2662</v>
      </c>
      <c r="T80" s="4">
        <v>837</v>
      </c>
      <c r="V80" s="4">
        <f t="shared" si="20"/>
        <v>0.57180156657963443</v>
      </c>
      <c r="W80" s="4">
        <f t="shared" si="21"/>
        <v>127</v>
      </c>
      <c r="X80" s="4">
        <v>15</v>
      </c>
      <c r="Y80" s="4">
        <v>35</v>
      </c>
      <c r="Z80" s="4">
        <v>0</v>
      </c>
      <c r="AA80" s="4">
        <v>25</v>
      </c>
      <c r="AC80" s="4">
        <v>4648</v>
      </c>
      <c r="AD80" s="4">
        <v>3650</v>
      </c>
      <c r="AE80" s="4">
        <v>2100</v>
      </c>
      <c r="AF80" s="4">
        <v>4547</v>
      </c>
      <c r="AH80" s="4">
        <f t="shared" si="22"/>
        <v>0.66666666666666663</v>
      </c>
      <c r="AI80" s="4">
        <f t="shared" si="23"/>
        <v>79</v>
      </c>
      <c r="AJ80" s="4">
        <v>70</v>
      </c>
      <c r="AK80" s="4">
        <v>283</v>
      </c>
      <c r="AL80" s="4">
        <v>30</v>
      </c>
      <c r="AM80" s="4">
        <v>0</v>
      </c>
      <c r="AN80" s="4">
        <f t="shared" si="24"/>
        <v>0.18276762402088773</v>
      </c>
      <c r="AO80" s="4">
        <f t="shared" si="25"/>
        <v>63</v>
      </c>
      <c r="AP80" s="4">
        <v>6157</v>
      </c>
      <c r="AQ80" s="4">
        <v>11271</v>
      </c>
      <c r="AR80" s="4">
        <v>2649</v>
      </c>
      <c r="AS80" s="4">
        <v>0</v>
      </c>
      <c r="AT80" s="4">
        <v>50</v>
      </c>
      <c r="AU80" s="4">
        <v>0</v>
      </c>
      <c r="AV80" s="4">
        <v>25</v>
      </c>
      <c r="AW80" s="4">
        <v>0</v>
      </c>
      <c r="AX80" s="4">
        <f t="shared" si="26"/>
        <v>0.66666666666666663</v>
      </c>
      <c r="AY80" s="4">
        <f t="shared" si="27"/>
        <v>44</v>
      </c>
      <c r="AZ80" s="4">
        <v>4498</v>
      </c>
      <c r="BA80" s="4">
        <v>2250</v>
      </c>
      <c r="BB80" s="4">
        <v>8197</v>
      </c>
      <c r="BC80" s="4">
        <v>0</v>
      </c>
      <c r="BD80" s="5">
        <v>1210.7060369999999</v>
      </c>
      <c r="BE80" s="5">
        <v>2446.8571419999998</v>
      </c>
      <c r="BF80" s="5">
        <v>15059.523809</v>
      </c>
      <c r="BG80" s="5">
        <f t="shared" si="28"/>
        <v>1</v>
      </c>
      <c r="BJ80" s="5">
        <v>17908.496730999999</v>
      </c>
      <c r="BK80" s="5" t="str">
        <f t="shared" si="29"/>
        <v>N/A</v>
      </c>
      <c r="BL80" s="5">
        <v>6441.5225549999996</v>
      </c>
      <c r="BM80" s="5">
        <v>2918.5254095</v>
      </c>
      <c r="BN80" s="5">
        <v>13024.144444</v>
      </c>
      <c r="BO80" s="5">
        <v>0</v>
      </c>
      <c r="BP80" s="5">
        <v>0</v>
      </c>
      <c r="BQ80" s="5">
        <v>0</v>
      </c>
      <c r="BR80" s="5">
        <v>7577.5733039999996</v>
      </c>
      <c r="BS80" s="5">
        <v>4607.0959935000001</v>
      </c>
      <c r="BT80" s="5">
        <v>14654.828571</v>
      </c>
      <c r="BU80" s="5">
        <v>5953.3249999999998</v>
      </c>
      <c r="BV80" s="5">
        <v>2316.6666660000001</v>
      </c>
      <c r="BW80" s="5">
        <v>17908.496730999999</v>
      </c>
      <c r="BX80" s="5">
        <v>14</v>
      </c>
      <c r="BY80" s="5">
        <v>3</v>
      </c>
      <c r="BZ80" s="5">
        <v>2</v>
      </c>
      <c r="CC80" s="5">
        <v>4</v>
      </c>
      <c r="CD80" s="143">
        <v>0.25683857714347491</v>
      </c>
      <c r="CE80" s="143">
        <v>0.12308623821468734</v>
      </c>
      <c r="CF80" s="143">
        <v>31202346.220000003</v>
      </c>
      <c r="CG80" s="144">
        <v>92</v>
      </c>
      <c r="CH80" s="144">
        <v>4.8</v>
      </c>
      <c r="CI80" s="144">
        <v>0.9</v>
      </c>
      <c r="CJ80" s="144">
        <v>80.099999999999994</v>
      </c>
      <c r="CK80" s="144">
        <v>10.7</v>
      </c>
      <c r="CL80" s="144">
        <v>3.3</v>
      </c>
      <c r="CM80" s="144">
        <v>97.6</v>
      </c>
      <c r="CN80" s="144">
        <v>94.1</v>
      </c>
    </row>
    <row r="81" spans="1:92" x14ac:dyDescent="0.3">
      <c r="A81">
        <v>811</v>
      </c>
      <c r="B81" s="1">
        <v>1.361386138E-2</v>
      </c>
      <c r="C81" s="1">
        <v>2.5577557700000001E-3</v>
      </c>
      <c r="D81" s="1">
        <v>4.4380774169999998E-2</v>
      </c>
      <c r="E81" s="1">
        <v>4.8532335299999998E-3</v>
      </c>
      <c r="F81" s="2">
        <v>97</v>
      </c>
      <c r="G81" s="2">
        <v>781</v>
      </c>
      <c r="H81" s="2">
        <v>280</v>
      </c>
      <c r="I81" s="2">
        <v>240</v>
      </c>
      <c r="J81" s="2">
        <v>360</v>
      </c>
      <c r="K81" s="2">
        <v>0</v>
      </c>
      <c r="L81" s="4">
        <v>30</v>
      </c>
      <c r="M81" s="4">
        <v>104</v>
      </c>
      <c r="N81" s="4">
        <v>163</v>
      </c>
      <c r="O81" s="4">
        <v>0</v>
      </c>
      <c r="Q81" s="4">
        <v>3434</v>
      </c>
      <c r="R81" s="4">
        <v>16511</v>
      </c>
      <c r="S81" s="4">
        <v>6394</v>
      </c>
      <c r="T81" s="4">
        <v>0</v>
      </c>
      <c r="V81" s="4">
        <f t="shared" si="20"/>
        <v>0.45117845117845118</v>
      </c>
      <c r="W81" s="4">
        <f t="shared" si="21"/>
        <v>133</v>
      </c>
      <c r="X81" s="4">
        <v>0</v>
      </c>
      <c r="Y81" s="4">
        <v>19</v>
      </c>
      <c r="Z81" s="4">
        <v>33</v>
      </c>
      <c r="AA81" s="4">
        <v>0</v>
      </c>
      <c r="AC81" s="4">
        <v>1877</v>
      </c>
      <c r="AD81" s="4">
        <v>14073</v>
      </c>
      <c r="AE81" s="4">
        <v>7905</v>
      </c>
      <c r="AF81" s="4">
        <v>1214</v>
      </c>
      <c r="AH81" s="4">
        <f t="shared" si="22"/>
        <v>0.36538461538461536</v>
      </c>
      <c r="AI81" s="4">
        <f t="shared" si="23"/>
        <v>83</v>
      </c>
      <c r="AJ81" s="4">
        <v>0</v>
      </c>
      <c r="AK81" s="4">
        <v>245</v>
      </c>
      <c r="AL81" s="4">
        <v>52</v>
      </c>
      <c r="AM81" s="4">
        <v>0</v>
      </c>
      <c r="AN81" s="4">
        <f t="shared" si="24"/>
        <v>0</v>
      </c>
      <c r="AO81" s="4">
        <f t="shared" si="25"/>
        <v>100</v>
      </c>
      <c r="AP81" s="4">
        <v>2646</v>
      </c>
      <c r="AQ81" s="4">
        <v>18436</v>
      </c>
      <c r="AR81" s="4">
        <v>3073</v>
      </c>
      <c r="AS81" s="4">
        <v>2184</v>
      </c>
      <c r="AT81" s="4">
        <v>0</v>
      </c>
      <c r="AU81" s="4">
        <v>19</v>
      </c>
      <c r="AV81" s="4">
        <v>33</v>
      </c>
      <c r="AW81" s="4">
        <v>0</v>
      </c>
      <c r="AX81" s="4">
        <f t="shared" si="26"/>
        <v>0</v>
      </c>
      <c r="AY81" s="4">
        <f t="shared" si="27"/>
        <v>73</v>
      </c>
      <c r="AZ81" s="4">
        <v>7351</v>
      </c>
      <c r="BA81" s="4">
        <v>12403</v>
      </c>
      <c r="BB81" s="4">
        <v>5315</v>
      </c>
      <c r="BC81" s="4">
        <v>0</v>
      </c>
      <c r="BD81" s="5">
        <v>8373.2210520000008</v>
      </c>
      <c r="BE81" s="5">
        <v>3727.0124999999998</v>
      </c>
      <c r="BG81" s="5">
        <f t="shared" si="28"/>
        <v>61</v>
      </c>
      <c r="BH81" s="5">
        <v>12209.933333000001</v>
      </c>
      <c r="BI81" s="5">
        <v>2316.6666660000001</v>
      </c>
      <c r="BK81" s="5">
        <f t="shared" si="29"/>
        <v>24</v>
      </c>
      <c r="BL81" s="5">
        <v>9296.8162310000007</v>
      </c>
      <c r="BM81" s="5">
        <v>3933.3333329999996</v>
      </c>
      <c r="BN81" s="5">
        <v>24000.567740999999</v>
      </c>
      <c r="BO81" s="5">
        <v>5953.3249999999998</v>
      </c>
      <c r="BP81" s="5">
        <v>3500</v>
      </c>
      <c r="BQ81" s="5">
        <v>0</v>
      </c>
      <c r="BR81" s="5">
        <v>7577.5733039999996</v>
      </c>
      <c r="BS81" s="5">
        <v>4607.0959935000001</v>
      </c>
      <c r="BT81" s="5">
        <v>14654.828571</v>
      </c>
      <c r="BU81" s="5">
        <v>5953.3249999999998</v>
      </c>
      <c r="BV81" s="5">
        <v>2316.6666660000001</v>
      </c>
      <c r="BW81" s="5">
        <v>17908.496730999999</v>
      </c>
      <c r="BX81" s="5">
        <v>7</v>
      </c>
      <c r="BY81" s="5">
        <v>6</v>
      </c>
      <c r="CA81" s="5">
        <v>3</v>
      </c>
      <c r="CB81" s="5">
        <v>1</v>
      </c>
      <c r="CD81" s="143">
        <v>5.7193269354908205E-2</v>
      </c>
      <c r="CE81" s="143">
        <v>-0.15702011627308743</v>
      </c>
      <c r="CF81" s="143">
        <v>14995081</v>
      </c>
      <c r="CG81" s="144">
        <v>95.1</v>
      </c>
      <c r="CH81" s="144">
        <v>2.9</v>
      </c>
      <c r="CI81" s="144">
        <v>0.1</v>
      </c>
      <c r="CJ81" s="144">
        <v>97.1</v>
      </c>
      <c r="CK81" s="144">
        <v>2.4</v>
      </c>
      <c r="CL81" s="144">
        <v>0.2</v>
      </c>
      <c r="CM81" s="144">
        <v>98.1</v>
      </c>
      <c r="CN81" s="144">
        <v>99.7</v>
      </c>
    </row>
    <row r="82" spans="1:92" x14ac:dyDescent="0.3">
      <c r="A82">
        <v>812</v>
      </c>
      <c r="B82" s="1">
        <v>3.438726055E-2</v>
      </c>
      <c r="C82" s="1">
        <v>2.0616970530000001E-2</v>
      </c>
      <c r="D82" s="1">
        <v>-2.0531400899999998E-3</v>
      </c>
      <c r="E82" s="1">
        <v>2.2584541060000001E-2</v>
      </c>
      <c r="F82" s="2">
        <v>1444</v>
      </c>
      <c r="G82" s="2">
        <v>0</v>
      </c>
      <c r="H82" s="2">
        <v>100</v>
      </c>
      <c r="I82" s="2">
        <v>10</v>
      </c>
      <c r="J82" s="2">
        <v>0</v>
      </c>
      <c r="K82" s="2">
        <v>0</v>
      </c>
      <c r="L82" s="4">
        <v>0</v>
      </c>
      <c r="M82" s="4">
        <v>350</v>
      </c>
      <c r="N82" s="4">
        <v>0</v>
      </c>
      <c r="O82" s="4">
        <v>0</v>
      </c>
      <c r="Q82" s="4">
        <v>464</v>
      </c>
      <c r="R82" s="4">
        <v>9447</v>
      </c>
      <c r="S82" s="4">
        <v>4365</v>
      </c>
      <c r="T82" s="4">
        <v>210</v>
      </c>
      <c r="V82" s="4">
        <f t="shared" si="20"/>
        <v>1</v>
      </c>
      <c r="W82" s="4">
        <f t="shared" si="21"/>
        <v>1</v>
      </c>
      <c r="X82" s="4">
        <v>0</v>
      </c>
      <c r="Y82" s="4">
        <v>0</v>
      </c>
      <c r="Z82" s="4">
        <v>0</v>
      </c>
      <c r="AA82" s="4">
        <v>0</v>
      </c>
      <c r="AC82" s="4">
        <v>3937</v>
      </c>
      <c r="AD82" s="4">
        <v>3554</v>
      </c>
      <c r="AE82" s="4">
        <v>2800</v>
      </c>
      <c r="AF82" s="4">
        <v>0</v>
      </c>
      <c r="AH82" s="4" t="str">
        <f t="shared" si="22"/>
        <v>N/A</v>
      </c>
      <c r="AI82" s="4" t="str">
        <f t="shared" si="23"/>
        <v>N/A</v>
      </c>
      <c r="AJ82" s="4">
        <v>0</v>
      </c>
      <c r="AK82" s="4">
        <v>350</v>
      </c>
      <c r="AL82" s="4">
        <v>0</v>
      </c>
      <c r="AM82" s="4">
        <v>0</v>
      </c>
      <c r="AN82" s="4">
        <f t="shared" si="24"/>
        <v>0</v>
      </c>
      <c r="AO82" s="4">
        <f t="shared" si="25"/>
        <v>100</v>
      </c>
      <c r="AP82" s="4">
        <v>1890</v>
      </c>
      <c r="AQ82" s="4">
        <v>10057</v>
      </c>
      <c r="AR82" s="4">
        <v>1815</v>
      </c>
      <c r="AS82" s="4">
        <v>724</v>
      </c>
      <c r="AT82" s="4">
        <v>0</v>
      </c>
      <c r="AU82" s="4">
        <v>0</v>
      </c>
      <c r="AV82" s="4">
        <v>0</v>
      </c>
      <c r="AW82" s="4">
        <v>0</v>
      </c>
      <c r="AX82" s="4" t="str">
        <f t="shared" si="26"/>
        <v>N/A</v>
      </c>
      <c r="AY82" s="4" t="str">
        <f t="shared" si="27"/>
        <v>N/A</v>
      </c>
      <c r="AZ82" s="4">
        <v>3937</v>
      </c>
      <c r="BA82" s="4">
        <v>3254</v>
      </c>
      <c r="BB82" s="4">
        <v>3100</v>
      </c>
      <c r="BC82" s="4">
        <v>0</v>
      </c>
      <c r="BD82" s="5">
        <v>6005.3718120000003</v>
      </c>
      <c r="BG82" s="5">
        <f t="shared" si="28"/>
        <v>25</v>
      </c>
      <c r="BK82" s="5" t="str">
        <f t="shared" si="29"/>
        <v>N/A</v>
      </c>
      <c r="BL82" s="5">
        <v>6453.8915660000002</v>
      </c>
      <c r="BM82" s="5">
        <v>4900</v>
      </c>
      <c r="BN82" s="5">
        <v>7607.2906920000005</v>
      </c>
      <c r="BO82" s="5">
        <v>0</v>
      </c>
      <c r="BP82" s="5">
        <v>0</v>
      </c>
      <c r="BQ82" s="5">
        <v>22877.14</v>
      </c>
      <c r="BR82" s="5">
        <v>7577.5733039999996</v>
      </c>
      <c r="BS82" s="5">
        <v>4607.0959935000001</v>
      </c>
      <c r="BT82" s="5">
        <v>14654.828571</v>
      </c>
      <c r="BU82" s="5">
        <v>5953.3249999999998</v>
      </c>
      <c r="BV82" s="5">
        <v>2316.6666660000001</v>
      </c>
      <c r="BW82" s="5">
        <v>17908.496730999999</v>
      </c>
      <c r="BX82" s="5">
        <v>15</v>
      </c>
      <c r="CD82" s="143">
        <v>0.13113402061855672</v>
      </c>
      <c r="CE82" s="143">
        <v>0.25350500715307578</v>
      </c>
      <c r="CF82" s="143">
        <v>10987108.530000001</v>
      </c>
      <c r="CG82" s="144">
        <v>95.6</v>
      </c>
      <c r="CH82" s="144">
        <v>3</v>
      </c>
      <c r="CI82" s="144">
        <v>0.3</v>
      </c>
      <c r="CJ82" s="144">
        <v>96.1</v>
      </c>
      <c r="CK82" s="144">
        <v>3.3</v>
      </c>
      <c r="CL82" s="144">
        <v>0.1</v>
      </c>
      <c r="CM82" s="144">
        <v>98.9</v>
      </c>
      <c r="CN82" s="144">
        <v>99.5</v>
      </c>
    </row>
    <row r="83" spans="1:92" x14ac:dyDescent="0.3">
      <c r="A83">
        <v>813</v>
      </c>
      <c r="B83" s="1">
        <v>-1.1349212270000001E-2</v>
      </c>
      <c r="C83" s="1">
        <v>-5.3012767800000001E-3</v>
      </c>
      <c r="D83" s="1">
        <v>5.6993045999999996E-4</v>
      </c>
      <c r="E83" s="1">
        <v>-2.8496523400000002E-3</v>
      </c>
      <c r="F83" s="2">
        <v>561</v>
      </c>
      <c r="G83" s="2">
        <v>0</v>
      </c>
      <c r="H83" s="2">
        <v>60</v>
      </c>
      <c r="I83" s="2">
        <v>0</v>
      </c>
      <c r="J83" s="2">
        <v>460</v>
      </c>
      <c r="K83" s="2">
        <v>377</v>
      </c>
      <c r="L83" s="4">
        <v>30</v>
      </c>
      <c r="M83" s="4">
        <v>21</v>
      </c>
      <c r="N83" s="4">
        <v>0</v>
      </c>
      <c r="O83" s="4">
        <v>0</v>
      </c>
      <c r="P83" s="4">
        <v>0</v>
      </c>
      <c r="Q83" s="4">
        <v>1425</v>
      </c>
      <c r="R83" s="4">
        <v>8598</v>
      </c>
      <c r="S83" s="4">
        <v>3169</v>
      </c>
      <c r="T83" s="4">
        <v>0</v>
      </c>
      <c r="U83" s="4">
        <v>840</v>
      </c>
      <c r="V83" s="4">
        <f t="shared" si="20"/>
        <v>1</v>
      </c>
      <c r="W83" s="4">
        <f t="shared" si="21"/>
        <v>1</v>
      </c>
      <c r="X83" s="4">
        <v>0</v>
      </c>
      <c r="Y83" s="4">
        <v>94</v>
      </c>
      <c r="Z83" s="4">
        <v>0</v>
      </c>
      <c r="AA83" s="4">
        <v>0</v>
      </c>
      <c r="AB83" s="4">
        <v>0</v>
      </c>
      <c r="AC83" s="4">
        <v>0</v>
      </c>
      <c r="AD83" s="4">
        <v>9272</v>
      </c>
      <c r="AE83" s="4">
        <v>0</v>
      </c>
      <c r="AF83" s="4">
        <v>1650</v>
      </c>
      <c r="AG83" s="4">
        <v>0</v>
      </c>
      <c r="AH83" s="4">
        <f t="shared" si="22"/>
        <v>1</v>
      </c>
      <c r="AI83" s="4">
        <f t="shared" si="23"/>
        <v>1</v>
      </c>
      <c r="AJ83" s="4">
        <v>0</v>
      </c>
      <c r="AK83" s="4">
        <v>30</v>
      </c>
      <c r="AL83" s="4">
        <v>0</v>
      </c>
      <c r="AM83" s="4">
        <v>21</v>
      </c>
      <c r="AN83" s="4">
        <f t="shared" si="24"/>
        <v>0</v>
      </c>
      <c r="AO83" s="4">
        <f t="shared" si="25"/>
        <v>100</v>
      </c>
      <c r="AP83" s="4">
        <v>2165</v>
      </c>
      <c r="AQ83" s="4">
        <v>7013</v>
      </c>
      <c r="AR83" s="4">
        <v>3452</v>
      </c>
      <c r="AS83" s="4">
        <v>1402</v>
      </c>
      <c r="AT83" s="4">
        <v>94</v>
      </c>
      <c r="AU83" s="4">
        <v>0</v>
      </c>
      <c r="AV83" s="4">
        <v>0</v>
      </c>
      <c r="AW83" s="4">
        <v>0</v>
      </c>
      <c r="AX83" s="4">
        <f t="shared" si="26"/>
        <v>1</v>
      </c>
      <c r="AY83" s="4">
        <f t="shared" si="27"/>
        <v>1</v>
      </c>
      <c r="AZ83" s="4">
        <v>1220</v>
      </c>
      <c r="BA83" s="4">
        <v>6933</v>
      </c>
      <c r="BB83" s="4">
        <v>2769</v>
      </c>
      <c r="BC83" s="4">
        <v>0</v>
      </c>
      <c r="BD83" s="5">
        <v>5512.7695030000004</v>
      </c>
      <c r="BF83" s="5">
        <v>17562.787755000001</v>
      </c>
      <c r="BG83" s="5">
        <f t="shared" si="28"/>
        <v>15</v>
      </c>
      <c r="BK83" s="5" t="str">
        <f t="shared" si="29"/>
        <v>N/A</v>
      </c>
      <c r="BL83" s="5">
        <v>7854.8901880000003</v>
      </c>
      <c r="BM83" s="5">
        <v>5364.4079249999995</v>
      </c>
      <c r="BN83" s="5">
        <v>19828.666666000001</v>
      </c>
      <c r="BO83" s="5">
        <v>10000</v>
      </c>
      <c r="BP83" s="5">
        <v>3500</v>
      </c>
      <c r="BQ83" s="5">
        <v>0</v>
      </c>
      <c r="BR83" s="5">
        <v>7577.5733039999996</v>
      </c>
      <c r="BS83" s="5">
        <v>4607.0959935000001</v>
      </c>
      <c r="BT83" s="5">
        <v>14654.828571</v>
      </c>
      <c r="BU83" s="5">
        <v>5953.3249999999998</v>
      </c>
      <c r="BV83" s="5">
        <v>2316.6666660000001</v>
      </c>
      <c r="BW83" s="5">
        <v>17908.496730999999</v>
      </c>
      <c r="BX83" s="5">
        <v>11</v>
      </c>
      <c r="BZ83" s="5">
        <v>3</v>
      </c>
      <c r="CD83" s="143">
        <v>0.10148094197620772</v>
      </c>
      <c r="CE83" s="143">
        <v>-4.0451144127534922E-2</v>
      </c>
      <c r="CF83" s="143">
        <v>7017041.29</v>
      </c>
      <c r="CG83" s="144">
        <v>94</v>
      </c>
      <c r="CH83" s="144">
        <v>2.4</v>
      </c>
      <c r="CI83" s="144">
        <v>0.6</v>
      </c>
      <c r="CJ83" s="144">
        <v>91.9</v>
      </c>
      <c r="CK83" s="144">
        <v>4.3</v>
      </c>
      <c r="CL83" s="144">
        <v>0.6</v>
      </c>
      <c r="CM83" s="144">
        <v>97</v>
      </c>
      <c r="CN83" s="144">
        <v>96.8</v>
      </c>
    </row>
    <row r="84" spans="1:92" x14ac:dyDescent="0.3">
      <c r="A84">
        <v>815</v>
      </c>
      <c r="B84" s="1">
        <v>3.6568784139999998E-2</v>
      </c>
      <c r="C84" s="1">
        <v>2.0252379470000002E-2</v>
      </c>
      <c r="D84" s="1">
        <v>3.0551222039999999E-2</v>
      </c>
      <c r="E84" s="1">
        <v>1.7973218919999999E-2</v>
      </c>
      <c r="F84" s="2">
        <v>604</v>
      </c>
      <c r="G84" s="2">
        <v>0</v>
      </c>
      <c r="H84" s="2">
        <v>530</v>
      </c>
      <c r="I84" s="2">
        <v>90</v>
      </c>
      <c r="J84" s="2">
        <v>1725</v>
      </c>
      <c r="K84" s="2">
        <v>0</v>
      </c>
      <c r="L84" s="4">
        <v>171</v>
      </c>
      <c r="M84" s="4">
        <v>1041</v>
      </c>
      <c r="N84" s="4">
        <v>165</v>
      </c>
      <c r="O84" s="4">
        <v>0</v>
      </c>
      <c r="P84" s="4">
        <v>22</v>
      </c>
      <c r="Q84" s="4">
        <v>6143</v>
      </c>
      <c r="R84" s="4">
        <v>31872</v>
      </c>
      <c r="S84" s="4">
        <v>7618</v>
      </c>
      <c r="T84" s="4">
        <v>595</v>
      </c>
      <c r="U84" s="4">
        <v>1782</v>
      </c>
      <c r="V84" s="4">
        <f t="shared" si="20"/>
        <v>0.88017429193899777</v>
      </c>
      <c r="W84" s="4">
        <f t="shared" si="21"/>
        <v>74</v>
      </c>
      <c r="X84" s="4">
        <v>148</v>
      </c>
      <c r="Y84" s="4">
        <v>1360</v>
      </c>
      <c r="Z84" s="4">
        <v>16</v>
      </c>
      <c r="AA84" s="4">
        <v>0</v>
      </c>
      <c r="AB84" s="4">
        <v>0</v>
      </c>
      <c r="AC84" s="4">
        <v>12098</v>
      </c>
      <c r="AD84" s="4">
        <v>19712</v>
      </c>
      <c r="AE84" s="4">
        <v>8042</v>
      </c>
      <c r="AF84" s="4">
        <v>2683</v>
      </c>
      <c r="AG84" s="4">
        <v>1579</v>
      </c>
      <c r="AH84" s="4">
        <f t="shared" si="22"/>
        <v>0.98950131233595795</v>
      </c>
      <c r="AI84" s="4">
        <f t="shared" si="23"/>
        <v>60</v>
      </c>
      <c r="AJ84" s="4">
        <v>100</v>
      </c>
      <c r="AK84" s="4">
        <v>778</v>
      </c>
      <c r="AL84" s="4">
        <v>482</v>
      </c>
      <c r="AM84" s="4">
        <v>39</v>
      </c>
      <c r="AN84" s="4">
        <f t="shared" si="24"/>
        <v>7.3529411764705885E-2</v>
      </c>
      <c r="AO84" s="4">
        <f t="shared" si="25"/>
        <v>88</v>
      </c>
      <c r="AP84" s="4">
        <v>2645</v>
      </c>
      <c r="AQ84" s="4">
        <v>29442</v>
      </c>
      <c r="AR84" s="4">
        <v>11320</v>
      </c>
      <c r="AS84" s="4">
        <v>4603</v>
      </c>
      <c r="AT84" s="4">
        <v>224</v>
      </c>
      <c r="AU84" s="4">
        <v>91</v>
      </c>
      <c r="AV84" s="4">
        <v>0</v>
      </c>
      <c r="AW84" s="4">
        <v>1209</v>
      </c>
      <c r="AX84" s="4">
        <f t="shared" si="26"/>
        <v>0.71111111111111114</v>
      </c>
      <c r="AY84" s="4">
        <f t="shared" si="27"/>
        <v>40</v>
      </c>
      <c r="AZ84" s="4">
        <v>17901</v>
      </c>
      <c r="BA84" s="4">
        <v>16713</v>
      </c>
      <c r="BB84" s="4">
        <v>8158</v>
      </c>
      <c r="BC84" s="4">
        <v>1342</v>
      </c>
      <c r="BD84" s="5">
        <v>8861.5892170000006</v>
      </c>
      <c r="BG84" s="5">
        <f t="shared" si="28"/>
        <v>67</v>
      </c>
      <c r="BH84" s="5">
        <v>5953.3249999999998</v>
      </c>
      <c r="BK84" s="5">
        <f t="shared" si="29"/>
        <v>13</v>
      </c>
      <c r="BL84" s="5">
        <v>9722.7431930000002</v>
      </c>
      <c r="BM84" s="5">
        <v>3530.1729164999997</v>
      </c>
      <c r="BN84" s="5">
        <v>19172.776666000002</v>
      </c>
      <c r="BO84" s="5">
        <v>12819.774294000001</v>
      </c>
      <c r="BP84" s="5">
        <v>2316.6666660000001</v>
      </c>
      <c r="BQ84" s="5">
        <v>0</v>
      </c>
      <c r="BR84" s="5">
        <v>7577.5733039999996</v>
      </c>
      <c r="BS84" s="5">
        <v>4607.0959935000001</v>
      </c>
      <c r="BT84" s="5">
        <v>14654.828571</v>
      </c>
      <c r="BU84" s="5">
        <v>5953.3249999999998</v>
      </c>
      <c r="BV84" s="5">
        <v>2316.6666660000001</v>
      </c>
      <c r="BW84" s="5">
        <v>17908.496730999999</v>
      </c>
      <c r="BX84" s="5">
        <v>35</v>
      </c>
      <c r="CA84" s="5">
        <v>4</v>
      </c>
      <c r="CD84" s="143">
        <v>0.12049054927700742</v>
      </c>
      <c r="CE84" s="143">
        <v>-5.4766974213390163E-2</v>
      </c>
      <c r="CF84" s="143">
        <v>52166185.799999997</v>
      </c>
      <c r="CG84" s="144">
        <v>94.2</v>
      </c>
      <c r="CH84" s="144">
        <v>2.8</v>
      </c>
      <c r="CI84" s="144">
        <v>0.7</v>
      </c>
      <c r="CJ84" s="144">
        <v>94.9</v>
      </c>
      <c r="CK84" s="144">
        <v>3</v>
      </c>
      <c r="CL84" s="144">
        <v>0.3</v>
      </c>
      <c r="CM84" s="144">
        <v>97.8</v>
      </c>
      <c r="CN84" s="144">
        <v>98.2</v>
      </c>
    </row>
    <row r="85" spans="1:92" x14ac:dyDescent="0.3">
      <c r="A85">
        <v>816</v>
      </c>
      <c r="B85" s="1">
        <v>2.5281320329999999E-2</v>
      </c>
      <c r="C85" s="1">
        <v>1.1927981989999999E-2</v>
      </c>
      <c r="D85" s="1">
        <v>3.5958288299999999E-3</v>
      </c>
      <c r="E85" s="1">
        <v>9.4690159400000005E-3</v>
      </c>
      <c r="F85" s="2">
        <v>986</v>
      </c>
      <c r="G85" s="2">
        <v>223</v>
      </c>
      <c r="H85" s="2">
        <v>340</v>
      </c>
      <c r="I85" s="2">
        <v>120</v>
      </c>
      <c r="J85" s="2">
        <v>363</v>
      </c>
      <c r="K85" s="2">
        <v>295</v>
      </c>
      <c r="L85" s="4">
        <v>0</v>
      </c>
      <c r="M85" s="4">
        <v>212</v>
      </c>
      <c r="N85" s="4">
        <v>0</v>
      </c>
      <c r="Q85" s="4">
        <v>3180</v>
      </c>
      <c r="R85" s="4">
        <v>8941</v>
      </c>
      <c r="S85" s="4">
        <v>1976</v>
      </c>
      <c r="V85" s="4">
        <f t="shared" si="20"/>
        <v>1</v>
      </c>
      <c r="W85" s="4">
        <f t="shared" si="21"/>
        <v>1</v>
      </c>
      <c r="X85" s="4">
        <v>111</v>
      </c>
      <c r="Y85" s="4">
        <v>62</v>
      </c>
      <c r="Z85" s="4">
        <v>0</v>
      </c>
      <c r="AC85" s="4">
        <v>3549</v>
      </c>
      <c r="AD85" s="4">
        <v>6105</v>
      </c>
      <c r="AE85" s="4">
        <v>950</v>
      </c>
      <c r="AH85" s="4">
        <f t="shared" si="22"/>
        <v>1</v>
      </c>
      <c r="AI85" s="4">
        <f t="shared" si="23"/>
        <v>1</v>
      </c>
      <c r="AJ85" s="4">
        <v>0</v>
      </c>
      <c r="AK85" s="4">
        <v>152</v>
      </c>
      <c r="AL85" s="4">
        <v>60</v>
      </c>
      <c r="AM85" s="4">
        <v>0</v>
      </c>
      <c r="AN85" s="4">
        <f t="shared" si="24"/>
        <v>0</v>
      </c>
      <c r="AO85" s="4">
        <f t="shared" si="25"/>
        <v>100</v>
      </c>
      <c r="AP85" s="4">
        <v>1251</v>
      </c>
      <c r="AQ85" s="4">
        <v>10142</v>
      </c>
      <c r="AR85" s="4">
        <v>2297</v>
      </c>
      <c r="AS85" s="4">
        <v>407</v>
      </c>
      <c r="AT85" s="4">
        <v>111</v>
      </c>
      <c r="AU85" s="4">
        <v>62</v>
      </c>
      <c r="AV85" s="4">
        <v>0</v>
      </c>
      <c r="AW85" s="4">
        <v>0</v>
      </c>
      <c r="AX85" s="4">
        <f t="shared" si="26"/>
        <v>0.64161849710982655</v>
      </c>
      <c r="AY85" s="4">
        <f t="shared" si="27"/>
        <v>46</v>
      </c>
      <c r="AZ85" s="4">
        <v>5837</v>
      </c>
      <c r="BA85" s="4">
        <v>2827</v>
      </c>
      <c r="BB85" s="4">
        <v>1940</v>
      </c>
      <c r="BC85" s="4">
        <v>0</v>
      </c>
      <c r="BD85" s="5">
        <v>7577.5733039999996</v>
      </c>
      <c r="BF85" s="5">
        <v>12757.496825</v>
      </c>
      <c r="BG85" s="5">
        <f t="shared" si="28"/>
        <v>52</v>
      </c>
      <c r="BH85" s="5">
        <v>1212.3925919999999</v>
      </c>
      <c r="BK85" s="5">
        <f t="shared" si="29"/>
        <v>3</v>
      </c>
      <c r="BL85" s="5">
        <v>10023.473237</v>
      </c>
      <c r="BM85" s="5">
        <v>3522.97118</v>
      </c>
      <c r="BN85" s="5">
        <v>16013.935952</v>
      </c>
      <c r="BO85" s="5">
        <v>13714.285714</v>
      </c>
      <c r="BP85" s="5">
        <v>0</v>
      </c>
      <c r="BQ85" s="5">
        <v>0</v>
      </c>
      <c r="BR85" s="5">
        <v>7577.5733039999996</v>
      </c>
      <c r="BS85" s="5">
        <v>4607.0959935000001</v>
      </c>
      <c r="BT85" s="5">
        <v>14654.828571</v>
      </c>
      <c r="BU85" s="5">
        <v>5953.3249999999998</v>
      </c>
      <c r="BV85" s="5">
        <v>2316.6666660000001</v>
      </c>
      <c r="BW85" s="5">
        <v>17908.496730999999</v>
      </c>
      <c r="BX85" s="5">
        <v>8</v>
      </c>
      <c r="BZ85" s="5">
        <v>1</v>
      </c>
      <c r="CA85" s="5">
        <v>1</v>
      </c>
      <c r="CD85" s="143">
        <v>0.15210090916536978</v>
      </c>
      <c r="CE85" s="143">
        <v>5.0758526291776018E-2</v>
      </c>
      <c r="CF85" s="143">
        <v>39487217.390000001</v>
      </c>
      <c r="CG85" s="144">
        <v>92.3</v>
      </c>
      <c r="CH85" s="144">
        <v>4.2</v>
      </c>
      <c r="CI85" s="144">
        <v>1.3</v>
      </c>
      <c r="CJ85" s="144">
        <v>92.4</v>
      </c>
      <c r="CK85" s="144">
        <v>4</v>
      </c>
      <c r="CL85" s="144">
        <v>1.4</v>
      </c>
      <c r="CM85" s="144">
        <v>97.8</v>
      </c>
      <c r="CN85" s="144">
        <v>97.9</v>
      </c>
    </row>
    <row r="86" spans="1:92" x14ac:dyDescent="0.3">
      <c r="A86">
        <v>821</v>
      </c>
      <c r="B86" s="1">
        <v>1.133118378E-2</v>
      </c>
      <c r="C86" s="1">
        <v>-1.087056655E-2</v>
      </c>
      <c r="D86" s="1">
        <v>2.0610446819999999E-2</v>
      </c>
      <c r="E86" s="1">
        <v>-7.5519194399999998E-3</v>
      </c>
      <c r="F86" s="2">
        <v>4208</v>
      </c>
      <c r="G86" s="2">
        <v>627</v>
      </c>
      <c r="H86" s="2">
        <v>100</v>
      </c>
      <c r="I86" s="2">
        <v>10</v>
      </c>
      <c r="J86" s="2">
        <v>510</v>
      </c>
      <c r="K86" s="2">
        <v>110</v>
      </c>
      <c r="L86" s="4">
        <v>60</v>
      </c>
      <c r="M86" s="4">
        <v>120</v>
      </c>
      <c r="N86" s="4">
        <v>0</v>
      </c>
      <c r="O86" s="4">
        <v>0</v>
      </c>
      <c r="P86" s="4">
        <v>0</v>
      </c>
      <c r="Q86" s="4">
        <v>1890</v>
      </c>
      <c r="R86" s="4">
        <v>15208</v>
      </c>
      <c r="S86" s="4">
        <v>4440</v>
      </c>
      <c r="T86" s="4">
        <v>360</v>
      </c>
      <c r="U86" s="4">
        <v>840</v>
      </c>
      <c r="V86" s="4">
        <f t="shared" si="20"/>
        <v>1</v>
      </c>
      <c r="W86" s="4">
        <f t="shared" si="21"/>
        <v>1</v>
      </c>
      <c r="X86" s="4">
        <v>0</v>
      </c>
      <c r="Y86" s="4">
        <v>140</v>
      </c>
      <c r="Z86" s="4">
        <v>0</v>
      </c>
      <c r="AA86" s="4">
        <v>0</v>
      </c>
      <c r="AB86" s="4">
        <v>0</v>
      </c>
      <c r="AC86" s="4">
        <v>1945</v>
      </c>
      <c r="AD86" s="4">
        <v>11555</v>
      </c>
      <c r="AE86" s="4">
        <v>1050</v>
      </c>
      <c r="AF86" s="4">
        <v>0</v>
      </c>
      <c r="AG86" s="4">
        <v>0</v>
      </c>
      <c r="AH86" s="4">
        <f t="shared" si="22"/>
        <v>1</v>
      </c>
      <c r="AI86" s="4">
        <f t="shared" si="23"/>
        <v>1</v>
      </c>
      <c r="AJ86" s="4">
        <v>60</v>
      </c>
      <c r="AK86" s="4">
        <v>120</v>
      </c>
      <c r="AL86" s="4">
        <v>0</v>
      </c>
      <c r="AM86" s="4">
        <v>0</v>
      </c>
      <c r="AN86" s="4">
        <f t="shared" si="24"/>
        <v>0.33333333333333331</v>
      </c>
      <c r="AO86" s="4">
        <f t="shared" si="25"/>
        <v>41</v>
      </c>
      <c r="AP86" s="4">
        <v>1440</v>
      </c>
      <c r="AQ86" s="4">
        <v>11280</v>
      </c>
      <c r="AR86" s="4">
        <v>7410</v>
      </c>
      <c r="AS86" s="4">
        <v>2608</v>
      </c>
      <c r="AT86" s="4">
        <v>140</v>
      </c>
      <c r="AU86" s="4">
        <v>0</v>
      </c>
      <c r="AV86" s="4">
        <v>0</v>
      </c>
      <c r="AW86" s="4">
        <v>0</v>
      </c>
      <c r="AX86" s="4">
        <f t="shared" si="26"/>
        <v>1</v>
      </c>
      <c r="AY86" s="4">
        <f t="shared" si="27"/>
        <v>1</v>
      </c>
      <c r="AZ86" s="4">
        <v>4695</v>
      </c>
      <c r="BA86" s="4">
        <v>5150</v>
      </c>
      <c r="BB86" s="4">
        <v>4705</v>
      </c>
      <c r="BC86" s="4">
        <v>0</v>
      </c>
      <c r="BD86" s="5">
        <v>8366.4338850000004</v>
      </c>
      <c r="BE86" s="5">
        <v>4316.6666660000001</v>
      </c>
      <c r="BF86" s="5">
        <v>10000</v>
      </c>
      <c r="BG86" s="5">
        <f t="shared" si="28"/>
        <v>60</v>
      </c>
      <c r="BK86" s="5" t="str">
        <f t="shared" si="29"/>
        <v>N/A</v>
      </c>
      <c r="BL86" s="5">
        <v>10017.178024000001</v>
      </c>
      <c r="BM86" s="5">
        <v>9853.6833330000009</v>
      </c>
      <c r="BN86" s="5">
        <v>14420.7960315</v>
      </c>
      <c r="BO86" s="5">
        <v>11008.771929</v>
      </c>
      <c r="BP86" s="5">
        <v>0</v>
      </c>
      <c r="BQ86" s="5">
        <v>22914.461525999999</v>
      </c>
      <c r="BR86" s="5">
        <v>9481.0829859999994</v>
      </c>
      <c r="BS86" s="5">
        <v>4148.7924235</v>
      </c>
      <c r="BT86" s="5">
        <v>18129.543333000001</v>
      </c>
      <c r="BU86" s="5">
        <v>11440.979142</v>
      </c>
      <c r="BV86" s="5">
        <v>0</v>
      </c>
      <c r="BW86" s="5">
        <v>23157.895</v>
      </c>
      <c r="BX86" s="5">
        <v>15</v>
      </c>
      <c r="BY86" s="5">
        <v>1</v>
      </c>
      <c r="BZ86" s="5">
        <v>1</v>
      </c>
      <c r="CD86" s="143">
        <v>0.2473268497125356</v>
      </c>
      <c r="CE86" s="143">
        <v>0.3630487216594307</v>
      </c>
      <c r="CF86" s="143">
        <v>61198551.910000004</v>
      </c>
      <c r="CG86" s="144">
        <v>92</v>
      </c>
      <c r="CH86" s="144">
        <v>5.3</v>
      </c>
      <c r="CI86" s="144">
        <v>1.1000000000000001</v>
      </c>
      <c r="CJ86" s="144">
        <v>84.4</v>
      </c>
      <c r="CK86" s="144">
        <v>8.3000000000000007</v>
      </c>
      <c r="CL86" s="144">
        <v>2.9</v>
      </c>
      <c r="CM86" s="144">
        <v>98.4</v>
      </c>
      <c r="CN86" s="144">
        <v>95.6</v>
      </c>
    </row>
    <row r="87" spans="1:92" x14ac:dyDescent="0.3">
      <c r="A87">
        <v>822</v>
      </c>
      <c r="B87" s="1">
        <v>-2.769638621E-2</v>
      </c>
      <c r="C87" s="1">
        <v>3.8021487370000003E-2</v>
      </c>
      <c r="D87" s="1">
        <v>-1.035648097E-2</v>
      </c>
      <c r="E87" s="1">
        <v>4.0880845960000002E-2</v>
      </c>
      <c r="F87" s="2">
        <v>3015</v>
      </c>
      <c r="G87" s="2">
        <v>811</v>
      </c>
      <c r="H87" s="2">
        <v>110</v>
      </c>
      <c r="I87" s="2">
        <v>340</v>
      </c>
      <c r="J87" s="2">
        <v>900</v>
      </c>
      <c r="K87" s="2">
        <v>620</v>
      </c>
      <c r="L87" s="4">
        <v>360</v>
      </c>
      <c r="M87" s="4">
        <v>690</v>
      </c>
      <c r="N87" s="4">
        <v>0</v>
      </c>
      <c r="Q87" s="4">
        <v>2794</v>
      </c>
      <c r="R87" s="4">
        <v>11091</v>
      </c>
      <c r="S87" s="4">
        <v>1220</v>
      </c>
      <c r="V87" s="4">
        <f t="shared" si="20"/>
        <v>1</v>
      </c>
      <c r="W87" s="4">
        <f t="shared" si="21"/>
        <v>1</v>
      </c>
      <c r="X87" s="4">
        <v>0</v>
      </c>
      <c r="Y87" s="4">
        <v>0</v>
      </c>
      <c r="Z87" s="4">
        <v>120</v>
      </c>
      <c r="AC87" s="4">
        <v>1300</v>
      </c>
      <c r="AD87" s="4">
        <v>8136</v>
      </c>
      <c r="AE87" s="4">
        <v>2472</v>
      </c>
      <c r="AH87" s="4">
        <f t="shared" si="22"/>
        <v>0</v>
      </c>
      <c r="AI87" s="4">
        <f t="shared" si="23"/>
        <v>90</v>
      </c>
      <c r="AJ87" s="4">
        <v>0</v>
      </c>
      <c r="AK87" s="4">
        <v>390</v>
      </c>
      <c r="AL87" s="4">
        <v>60</v>
      </c>
      <c r="AM87" s="4">
        <v>600</v>
      </c>
      <c r="AN87" s="4">
        <f t="shared" si="24"/>
        <v>0</v>
      </c>
      <c r="AO87" s="4">
        <f t="shared" si="25"/>
        <v>100</v>
      </c>
      <c r="AP87" s="4">
        <v>824</v>
      </c>
      <c r="AQ87" s="4">
        <v>1610</v>
      </c>
      <c r="AR87" s="4">
        <v>4028</v>
      </c>
      <c r="AS87" s="4">
        <v>8643</v>
      </c>
      <c r="AT87" s="4">
        <v>0</v>
      </c>
      <c r="AU87" s="4">
        <v>0</v>
      </c>
      <c r="AV87" s="4">
        <v>120</v>
      </c>
      <c r="AW87" s="4">
        <v>0</v>
      </c>
      <c r="AX87" s="4">
        <f t="shared" si="26"/>
        <v>0</v>
      </c>
      <c r="AY87" s="4">
        <f t="shared" si="27"/>
        <v>73</v>
      </c>
      <c r="AZ87" s="4">
        <v>5470</v>
      </c>
      <c r="BA87" s="4">
        <v>2200</v>
      </c>
      <c r="BB87" s="4">
        <v>955</v>
      </c>
      <c r="BC87" s="4">
        <v>3283</v>
      </c>
      <c r="BD87" s="5">
        <v>7344.0322580000002</v>
      </c>
      <c r="BE87" s="5">
        <v>2466.6666660000001</v>
      </c>
      <c r="BF87" s="5">
        <v>9764.4198720000004</v>
      </c>
      <c r="BG87" s="5">
        <f t="shared" si="28"/>
        <v>49</v>
      </c>
      <c r="BK87" s="5" t="str">
        <f t="shared" si="29"/>
        <v>N/A</v>
      </c>
      <c r="BL87" s="5">
        <v>10411.2521985</v>
      </c>
      <c r="BM87" s="5">
        <v>4392.4154744999996</v>
      </c>
      <c r="BN87" s="5">
        <v>16931.008813</v>
      </c>
      <c r="BO87" s="5">
        <v>14571.5945235</v>
      </c>
      <c r="BP87" s="5">
        <v>0</v>
      </c>
      <c r="BQ87" s="5">
        <v>21896.833331999998</v>
      </c>
      <c r="BR87" s="5">
        <v>9481.0829859999994</v>
      </c>
      <c r="BS87" s="5">
        <v>4148.7924235</v>
      </c>
      <c r="BT87" s="5">
        <v>18129.543333000001</v>
      </c>
      <c r="BU87" s="5">
        <v>11440.979142</v>
      </c>
      <c r="BV87" s="5">
        <v>0</v>
      </c>
      <c r="BW87" s="5">
        <v>23157.895</v>
      </c>
      <c r="BX87" s="5">
        <v>8</v>
      </c>
      <c r="BY87" s="5">
        <v>3</v>
      </c>
      <c r="BZ87" s="5">
        <v>4</v>
      </c>
      <c r="CD87" s="143">
        <v>0.23502378456824968</v>
      </c>
      <c r="CE87" s="143">
        <v>0.11114750518615568</v>
      </c>
      <c r="CF87" s="143">
        <v>41913045.840000004</v>
      </c>
      <c r="CG87" s="144">
        <v>91.8</v>
      </c>
      <c r="CH87" s="144">
        <v>5.0999999999999996</v>
      </c>
      <c r="CI87" s="144">
        <v>1.2</v>
      </c>
      <c r="CJ87" s="144">
        <v>94.7</v>
      </c>
      <c r="CK87" s="144">
        <v>3.8</v>
      </c>
      <c r="CL87" s="144">
        <v>0.4</v>
      </c>
      <c r="CM87" s="144">
        <v>98.2</v>
      </c>
      <c r="CN87" s="144">
        <v>98.9</v>
      </c>
    </row>
    <row r="88" spans="1:92" x14ac:dyDescent="0.3">
      <c r="A88">
        <v>823</v>
      </c>
      <c r="B88" s="1">
        <v>6.0340632599999999E-2</v>
      </c>
      <c r="C88" s="1">
        <v>8.6264100800000007E-3</v>
      </c>
      <c r="D88" s="1">
        <v>0.10689785148</v>
      </c>
      <c r="E88" s="1">
        <v>2.593290614E-2</v>
      </c>
      <c r="F88" s="2">
        <v>2914</v>
      </c>
      <c r="G88" s="2">
        <v>615</v>
      </c>
      <c r="H88" s="2">
        <v>180</v>
      </c>
      <c r="I88" s="2">
        <v>10</v>
      </c>
      <c r="J88" s="2">
        <v>2040</v>
      </c>
      <c r="K88" s="2">
        <v>1365</v>
      </c>
      <c r="L88" s="4">
        <v>75</v>
      </c>
      <c r="M88" s="4">
        <v>330</v>
      </c>
      <c r="N88" s="4">
        <v>44</v>
      </c>
      <c r="O88" s="4">
        <v>30</v>
      </c>
      <c r="Q88" s="4">
        <v>5544</v>
      </c>
      <c r="R88" s="4">
        <v>15465</v>
      </c>
      <c r="S88" s="4">
        <v>3694</v>
      </c>
      <c r="T88" s="4">
        <v>580</v>
      </c>
      <c r="V88" s="4">
        <f t="shared" si="20"/>
        <v>0.8455114822546973</v>
      </c>
      <c r="W88" s="4">
        <f t="shared" si="21"/>
        <v>83</v>
      </c>
      <c r="X88" s="4">
        <v>70</v>
      </c>
      <c r="Y88" s="4">
        <v>60</v>
      </c>
      <c r="Z88" s="4">
        <v>267</v>
      </c>
      <c r="AA88" s="4">
        <v>0</v>
      </c>
      <c r="AC88" s="4">
        <v>2196</v>
      </c>
      <c r="AD88" s="4">
        <v>12768</v>
      </c>
      <c r="AE88" s="4">
        <v>3163</v>
      </c>
      <c r="AF88" s="4">
        <v>1050</v>
      </c>
      <c r="AH88" s="4">
        <f t="shared" si="22"/>
        <v>0.32745591939546598</v>
      </c>
      <c r="AI88" s="4">
        <f t="shared" si="23"/>
        <v>85</v>
      </c>
      <c r="AK88" s="4">
        <v>0</v>
      </c>
      <c r="AL88" s="4">
        <v>104</v>
      </c>
      <c r="AM88" s="4">
        <v>375</v>
      </c>
      <c r="AN88" s="4">
        <f t="shared" si="24"/>
        <v>0</v>
      </c>
      <c r="AO88" s="4">
        <f t="shared" si="25"/>
        <v>100</v>
      </c>
      <c r="AQ88" s="4">
        <v>3667</v>
      </c>
      <c r="AR88" s="4">
        <v>6123</v>
      </c>
      <c r="AS88" s="4">
        <v>15493</v>
      </c>
      <c r="AT88" s="4">
        <v>337</v>
      </c>
      <c r="AU88" s="4">
        <v>0</v>
      </c>
      <c r="AV88" s="4">
        <v>0</v>
      </c>
      <c r="AW88" s="4">
        <v>60</v>
      </c>
      <c r="AX88" s="4">
        <f t="shared" si="26"/>
        <v>1</v>
      </c>
      <c r="AY88" s="4">
        <f t="shared" si="27"/>
        <v>1</v>
      </c>
      <c r="AZ88" s="4">
        <v>4790</v>
      </c>
      <c r="BA88" s="4">
        <v>4124</v>
      </c>
      <c r="BB88" s="4">
        <v>3620</v>
      </c>
      <c r="BC88" s="4">
        <v>6643</v>
      </c>
      <c r="BD88" s="5">
        <v>23375.94</v>
      </c>
      <c r="BF88" s="5">
        <v>19172.776666000002</v>
      </c>
      <c r="BG88" s="5">
        <f t="shared" si="28"/>
        <v>142</v>
      </c>
      <c r="BH88" s="5">
        <v>12819.774294000001</v>
      </c>
      <c r="BK88" s="5">
        <f t="shared" si="29"/>
        <v>28</v>
      </c>
      <c r="BL88" s="5">
        <v>10023.473237</v>
      </c>
      <c r="BM88" s="5">
        <v>4134.5911939999996</v>
      </c>
      <c r="BN88" s="5">
        <v>17845.238095000001</v>
      </c>
      <c r="BO88" s="5">
        <v>14677.042857</v>
      </c>
      <c r="BP88" s="5">
        <v>1016.622222</v>
      </c>
      <c r="BQ88" s="5">
        <v>0</v>
      </c>
      <c r="BR88" s="5">
        <v>9481.0829859999994</v>
      </c>
      <c r="BS88" s="5">
        <v>4148.7924235</v>
      </c>
      <c r="BT88" s="5">
        <v>18129.543333000001</v>
      </c>
      <c r="BU88" s="5">
        <v>11440.979142</v>
      </c>
      <c r="BV88" s="5">
        <v>0</v>
      </c>
      <c r="BW88" s="5">
        <v>23157.895</v>
      </c>
      <c r="BX88" s="5">
        <v>2</v>
      </c>
      <c r="BZ88" s="5">
        <v>3</v>
      </c>
      <c r="CA88" s="5">
        <v>2</v>
      </c>
      <c r="CD88" s="143">
        <v>0.27112073305810092</v>
      </c>
      <c r="CE88" s="143">
        <v>3.2148533448923544E-2</v>
      </c>
      <c r="CF88" s="143">
        <v>72001748.170000002</v>
      </c>
      <c r="CG88" s="144">
        <v>91.9</v>
      </c>
      <c r="CH88" s="144">
        <v>3.8</v>
      </c>
      <c r="CI88" s="144">
        <v>1.1000000000000001</v>
      </c>
      <c r="CJ88" s="144">
        <v>99.7</v>
      </c>
      <c r="CK88" s="144">
        <v>0.1</v>
      </c>
      <c r="CL88" s="144">
        <v>0</v>
      </c>
      <c r="CM88" s="144">
        <v>96.8</v>
      </c>
      <c r="CN88" s="144">
        <v>99.8</v>
      </c>
    </row>
    <row r="89" spans="1:92" x14ac:dyDescent="0.3">
      <c r="A89">
        <v>825</v>
      </c>
      <c r="B89" s="1">
        <v>-4.6143863100000003E-3</v>
      </c>
      <c r="C89" s="1">
        <v>-5.4795837400000002E-3</v>
      </c>
      <c r="D89" s="1">
        <v>-1.78381822E-2</v>
      </c>
      <c r="E89" s="1">
        <v>5.0966234799999996E-3</v>
      </c>
      <c r="F89" s="2">
        <v>2328</v>
      </c>
      <c r="G89" s="2">
        <v>3615</v>
      </c>
      <c r="H89" s="2">
        <v>660</v>
      </c>
      <c r="I89" s="2">
        <v>310</v>
      </c>
      <c r="J89" s="2">
        <v>1215</v>
      </c>
      <c r="K89" s="2">
        <v>466</v>
      </c>
      <c r="L89" s="4">
        <v>17</v>
      </c>
      <c r="M89" s="4">
        <v>196</v>
      </c>
      <c r="N89" s="4">
        <v>30</v>
      </c>
      <c r="O89" s="4">
        <v>0</v>
      </c>
      <c r="Q89" s="4">
        <v>9115</v>
      </c>
      <c r="R89" s="4">
        <v>29836</v>
      </c>
      <c r="S89" s="4">
        <v>4252</v>
      </c>
      <c r="T89" s="4">
        <v>1075</v>
      </c>
      <c r="V89" s="4">
        <f t="shared" si="20"/>
        <v>0.87654320987654322</v>
      </c>
      <c r="W89" s="4">
        <f t="shared" si="21"/>
        <v>75</v>
      </c>
      <c r="X89" s="4">
        <v>51</v>
      </c>
      <c r="Y89" s="4">
        <v>66</v>
      </c>
      <c r="Z89" s="4">
        <v>158</v>
      </c>
      <c r="AA89" s="4">
        <v>139</v>
      </c>
      <c r="AC89" s="4">
        <v>14145</v>
      </c>
      <c r="AD89" s="4">
        <v>11894</v>
      </c>
      <c r="AE89" s="4">
        <v>8992</v>
      </c>
      <c r="AF89" s="4">
        <v>1001</v>
      </c>
      <c r="AH89" s="4">
        <f t="shared" si="22"/>
        <v>0.28260869565217389</v>
      </c>
      <c r="AI89" s="4">
        <f t="shared" si="23"/>
        <v>88</v>
      </c>
      <c r="AJ89" s="4">
        <v>45</v>
      </c>
      <c r="AK89" s="4">
        <v>30</v>
      </c>
      <c r="AL89" s="4">
        <v>21</v>
      </c>
      <c r="AM89" s="4">
        <v>147</v>
      </c>
      <c r="AN89" s="4">
        <f t="shared" si="24"/>
        <v>0.46875</v>
      </c>
      <c r="AO89" s="4">
        <f t="shared" si="25"/>
        <v>26</v>
      </c>
      <c r="AP89" s="4">
        <v>7414</v>
      </c>
      <c r="AQ89" s="4">
        <v>22308</v>
      </c>
      <c r="AR89" s="4">
        <v>7729</v>
      </c>
      <c r="AS89" s="4">
        <v>6827</v>
      </c>
      <c r="AT89" s="4">
        <v>51</v>
      </c>
      <c r="AU89" s="4">
        <v>88</v>
      </c>
      <c r="AV89" s="4">
        <v>275</v>
      </c>
      <c r="AW89" s="4">
        <v>0</v>
      </c>
      <c r="AX89" s="4">
        <f t="shared" si="26"/>
        <v>0.12318840579710146</v>
      </c>
      <c r="AY89" s="4">
        <f t="shared" si="27"/>
        <v>69</v>
      </c>
      <c r="AZ89" s="4">
        <v>19790</v>
      </c>
      <c r="BA89" s="4">
        <v>9048</v>
      </c>
      <c r="BB89" s="4">
        <v>7194</v>
      </c>
      <c r="BC89" s="4">
        <v>0</v>
      </c>
      <c r="BD89" s="5">
        <v>13112.655435000001</v>
      </c>
      <c r="BF89" s="5">
        <v>15603.571427999999</v>
      </c>
      <c r="BG89" s="5">
        <f t="shared" si="28"/>
        <v>117</v>
      </c>
      <c r="BH89" s="5">
        <v>16947.989159000001</v>
      </c>
      <c r="BJ89" s="5">
        <v>19471.908211999998</v>
      </c>
      <c r="BK89" s="5">
        <f t="shared" si="29"/>
        <v>38</v>
      </c>
      <c r="BL89" s="5">
        <v>13224.609936000001</v>
      </c>
      <c r="BM89" s="5">
        <v>4755.5333344999999</v>
      </c>
      <c r="BN89" s="5">
        <v>21321.616363499998</v>
      </c>
      <c r="BO89" s="5">
        <v>12819.774294000001</v>
      </c>
      <c r="BP89" s="5">
        <v>23429.45</v>
      </c>
      <c r="BQ89" s="5">
        <v>24709.333332999999</v>
      </c>
      <c r="BR89" s="5">
        <v>10571.237112999999</v>
      </c>
      <c r="BS89" s="5">
        <v>4525.6289299999999</v>
      </c>
      <c r="BT89" s="5">
        <v>17545.036591</v>
      </c>
      <c r="BU89" s="5">
        <v>15133.233333</v>
      </c>
      <c r="BV89" s="5">
        <v>23429.45</v>
      </c>
      <c r="BW89" s="5">
        <v>19471.908211999998</v>
      </c>
      <c r="BX89" s="5">
        <v>20</v>
      </c>
      <c r="BZ89" s="5">
        <v>2</v>
      </c>
      <c r="CA89" s="5">
        <v>5</v>
      </c>
      <c r="CC89" s="5">
        <v>2</v>
      </c>
      <c r="CD89" s="143">
        <v>0.1428124103019075</v>
      </c>
      <c r="CE89" s="143">
        <v>8.9453686967427837E-2</v>
      </c>
      <c r="CF89" s="143">
        <v>82733548.909999996</v>
      </c>
      <c r="CG89" s="144">
        <v>83.9</v>
      </c>
      <c r="CH89" s="144">
        <v>7.3</v>
      </c>
      <c r="CI89" s="144">
        <v>2.2999999999999998</v>
      </c>
      <c r="CJ89" s="144">
        <v>74.599999999999994</v>
      </c>
      <c r="CK89" s="144">
        <v>12</v>
      </c>
      <c r="CL89" s="144">
        <v>5.3</v>
      </c>
      <c r="CM89" s="144">
        <v>93.6</v>
      </c>
      <c r="CN89" s="144">
        <v>91.9</v>
      </c>
    </row>
    <row r="90" spans="1:92" x14ac:dyDescent="0.3">
      <c r="A90">
        <v>826</v>
      </c>
      <c r="B90" s="1">
        <v>-1.83688464E-3</v>
      </c>
      <c r="C90" s="1">
        <v>-4.8983590400000004E-3</v>
      </c>
      <c r="D90" s="1">
        <v>3.1760435570000002E-2</v>
      </c>
      <c r="E90" s="1">
        <v>9.0744101600000009E-3</v>
      </c>
      <c r="F90" s="2">
        <v>2820</v>
      </c>
      <c r="G90" s="2">
        <v>598</v>
      </c>
      <c r="H90" s="2">
        <v>710</v>
      </c>
      <c r="I90" s="2">
        <v>340</v>
      </c>
      <c r="J90" s="2">
        <v>3605</v>
      </c>
      <c r="K90" s="2">
        <v>2850</v>
      </c>
      <c r="L90" s="4">
        <v>339</v>
      </c>
      <c r="M90" s="4">
        <v>84</v>
      </c>
      <c r="N90" s="4">
        <v>0</v>
      </c>
      <c r="Q90" s="4">
        <v>4642</v>
      </c>
      <c r="R90" s="4">
        <v>15967</v>
      </c>
      <c r="S90" s="4">
        <v>5058</v>
      </c>
      <c r="V90" s="4">
        <f t="shared" si="20"/>
        <v>1</v>
      </c>
      <c r="W90" s="4">
        <f t="shared" si="21"/>
        <v>1</v>
      </c>
      <c r="X90" s="4">
        <v>0</v>
      </c>
      <c r="Y90" s="4">
        <v>0</v>
      </c>
      <c r="Z90" s="4">
        <v>0</v>
      </c>
      <c r="AC90" s="4">
        <v>2787</v>
      </c>
      <c r="AD90" s="4">
        <v>11081</v>
      </c>
      <c r="AE90" s="4">
        <v>5405</v>
      </c>
      <c r="AH90" s="4" t="str">
        <f t="shared" si="22"/>
        <v>N/A</v>
      </c>
      <c r="AI90" s="4" t="str">
        <f t="shared" si="23"/>
        <v>N/A</v>
      </c>
      <c r="AJ90" s="4">
        <v>210</v>
      </c>
      <c r="AK90" s="4">
        <v>0</v>
      </c>
      <c r="AL90" s="4">
        <v>0</v>
      </c>
      <c r="AM90" s="4">
        <v>213</v>
      </c>
      <c r="AN90" s="4">
        <f t="shared" si="24"/>
        <v>1</v>
      </c>
      <c r="AO90" s="4">
        <f t="shared" si="25"/>
        <v>1</v>
      </c>
      <c r="AP90" s="4">
        <v>5674</v>
      </c>
      <c r="AQ90" s="4">
        <v>10918</v>
      </c>
      <c r="AR90" s="4">
        <v>4977</v>
      </c>
      <c r="AS90" s="4">
        <v>4098</v>
      </c>
      <c r="AT90" s="4">
        <v>0</v>
      </c>
      <c r="AU90" s="4">
        <v>0</v>
      </c>
      <c r="AV90" s="4">
        <v>0</v>
      </c>
      <c r="AW90" s="4">
        <v>0</v>
      </c>
      <c r="AX90" s="4" t="str">
        <f t="shared" si="26"/>
        <v>N/A</v>
      </c>
      <c r="AY90" s="4" t="str">
        <f t="shared" si="27"/>
        <v>N/A</v>
      </c>
      <c r="AZ90" s="4">
        <v>4429</v>
      </c>
      <c r="BA90" s="4">
        <v>6959</v>
      </c>
      <c r="BB90" s="4">
        <v>7885</v>
      </c>
      <c r="BC90" s="4">
        <v>0</v>
      </c>
      <c r="BD90" s="5">
        <v>10617.60462</v>
      </c>
      <c r="BF90" s="5">
        <v>19434.150000000001</v>
      </c>
      <c r="BG90" s="5">
        <f t="shared" si="28"/>
        <v>93</v>
      </c>
      <c r="BH90" s="5">
        <v>15711.373333</v>
      </c>
      <c r="BK90" s="5">
        <f t="shared" si="29"/>
        <v>35</v>
      </c>
      <c r="BL90" s="5">
        <v>11201.878612</v>
      </c>
      <c r="BM90" s="5">
        <v>4733.3333329999996</v>
      </c>
      <c r="BN90" s="5">
        <v>13504.402793000001</v>
      </c>
      <c r="BO90" s="5">
        <v>13218.837631</v>
      </c>
      <c r="BP90" s="5">
        <v>0</v>
      </c>
      <c r="BQ90" s="5">
        <v>21896.833331999998</v>
      </c>
      <c r="BR90" s="5">
        <v>10571.237112999999</v>
      </c>
      <c r="BS90" s="5">
        <v>4525.6289299999999</v>
      </c>
      <c r="BT90" s="5">
        <v>17545.036591</v>
      </c>
      <c r="BU90" s="5">
        <v>15133.233333</v>
      </c>
      <c r="BV90" s="5">
        <v>23429.45</v>
      </c>
      <c r="BW90" s="5">
        <v>19471.908211999998</v>
      </c>
      <c r="BX90" s="5">
        <v>14</v>
      </c>
      <c r="BZ90" s="5">
        <v>1</v>
      </c>
      <c r="CA90" s="5">
        <v>1</v>
      </c>
      <c r="CD90" s="143">
        <v>0.32079635404173668</v>
      </c>
      <c r="CE90" s="143">
        <v>0.20901126408010007</v>
      </c>
      <c r="CF90" s="143">
        <v>147999455.30000001</v>
      </c>
      <c r="CG90" s="144">
        <v>88.1</v>
      </c>
      <c r="CH90" s="144">
        <v>6.2</v>
      </c>
      <c r="CI90" s="144">
        <v>2.5</v>
      </c>
      <c r="CJ90" s="144">
        <v>86.9</v>
      </c>
      <c r="CK90" s="144">
        <v>5.8</v>
      </c>
      <c r="CL90" s="144">
        <v>3.8</v>
      </c>
      <c r="CM90" s="144">
        <v>96.8</v>
      </c>
      <c r="CN90" s="144">
        <v>96.4</v>
      </c>
    </row>
    <row r="91" spans="1:92" x14ac:dyDescent="0.3">
      <c r="A91">
        <v>830</v>
      </c>
      <c r="B91" s="1">
        <v>-1.726263871E-2</v>
      </c>
      <c r="C91" s="1">
        <v>-7.4156405699999997E-3</v>
      </c>
      <c r="D91" s="1">
        <v>4.7256982900000001E-3</v>
      </c>
      <c r="E91" s="1">
        <v>7.8409630899999999E-3</v>
      </c>
      <c r="F91" s="2">
        <v>1947</v>
      </c>
      <c r="G91" s="2">
        <v>0</v>
      </c>
      <c r="H91" s="2">
        <v>670</v>
      </c>
      <c r="I91" s="2">
        <v>40</v>
      </c>
      <c r="J91" s="2">
        <v>1026</v>
      </c>
      <c r="K91" s="2">
        <v>145</v>
      </c>
      <c r="L91" s="4">
        <v>101</v>
      </c>
      <c r="M91" s="4">
        <v>356</v>
      </c>
      <c r="N91" s="4">
        <v>116</v>
      </c>
      <c r="O91" s="4">
        <v>0</v>
      </c>
      <c r="Q91" s="4">
        <v>7020</v>
      </c>
      <c r="R91" s="4">
        <v>40801</v>
      </c>
      <c r="S91" s="4">
        <v>14557</v>
      </c>
      <c r="T91" s="4">
        <v>944</v>
      </c>
      <c r="V91" s="4">
        <f t="shared" si="20"/>
        <v>0.79755671902268765</v>
      </c>
      <c r="W91" s="4">
        <f t="shared" si="21"/>
        <v>97</v>
      </c>
      <c r="X91" s="4">
        <v>0</v>
      </c>
      <c r="Y91" s="4">
        <v>0</v>
      </c>
      <c r="Z91" s="4">
        <v>0</v>
      </c>
      <c r="AA91" s="4">
        <v>0</v>
      </c>
      <c r="AC91" s="4">
        <v>3599</v>
      </c>
      <c r="AD91" s="4">
        <v>19965</v>
      </c>
      <c r="AE91" s="4">
        <v>22550</v>
      </c>
      <c r="AF91" s="4">
        <v>3286</v>
      </c>
      <c r="AH91" s="4" t="str">
        <f t="shared" si="22"/>
        <v>N/A</v>
      </c>
      <c r="AI91" s="4" t="str">
        <f t="shared" si="23"/>
        <v>N/A</v>
      </c>
      <c r="AJ91" s="4">
        <v>0</v>
      </c>
      <c r="AK91" s="4">
        <v>277</v>
      </c>
      <c r="AL91" s="4">
        <v>110</v>
      </c>
      <c r="AM91" s="4">
        <v>186</v>
      </c>
      <c r="AN91" s="4">
        <f t="shared" si="24"/>
        <v>0</v>
      </c>
      <c r="AO91" s="4">
        <f t="shared" si="25"/>
        <v>100</v>
      </c>
      <c r="AP91" s="4">
        <v>3856</v>
      </c>
      <c r="AQ91" s="4">
        <v>32573</v>
      </c>
      <c r="AR91" s="4">
        <v>16055</v>
      </c>
      <c r="AS91" s="4">
        <v>10838</v>
      </c>
      <c r="AT91" s="4">
        <v>0</v>
      </c>
      <c r="AU91" s="4">
        <v>0</v>
      </c>
      <c r="AV91" s="4">
        <v>0</v>
      </c>
      <c r="AW91" s="4">
        <v>0</v>
      </c>
      <c r="AX91" s="4" t="str">
        <f t="shared" si="26"/>
        <v>N/A</v>
      </c>
      <c r="AY91" s="4" t="str">
        <f t="shared" si="27"/>
        <v>N/A</v>
      </c>
      <c r="AZ91" s="4">
        <v>6703</v>
      </c>
      <c r="BA91" s="4">
        <v>13571</v>
      </c>
      <c r="BB91" s="4">
        <v>29126</v>
      </c>
      <c r="BC91" s="4">
        <v>0</v>
      </c>
      <c r="BD91" s="5">
        <v>11571.801566</v>
      </c>
      <c r="BE91" s="5">
        <v>8254.7169809999996</v>
      </c>
      <c r="BF91" s="5">
        <v>93333.333333000002</v>
      </c>
      <c r="BG91" s="5">
        <f t="shared" si="28"/>
        <v>103</v>
      </c>
      <c r="BI91" s="5">
        <v>3500</v>
      </c>
      <c r="BK91" s="5" t="str">
        <f t="shared" si="29"/>
        <v>N/A</v>
      </c>
      <c r="BL91" s="5">
        <v>8804.4547380000004</v>
      </c>
      <c r="BM91" s="5">
        <v>3408.355474</v>
      </c>
      <c r="BN91" s="5">
        <v>18001.588462</v>
      </c>
      <c r="BO91" s="5">
        <v>4444.4444439999997</v>
      </c>
      <c r="BP91" s="5">
        <v>0</v>
      </c>
      <c r="BQ91" s="5">
        <v>0</v>
      </c>
      <c r="BR91" s="5">
        <v>7581.9538860000002</v>
      </c>
      <c r="BS91" s="5">
        <v>3750</v>
      </c>
      <c r="BT91" s="5">
        <v>21956.25</v>
      </c>
      <c r="BU91" s="5">
        <v>10331.4156195</v>
      </c>
      <c r="BV91" s="5">
        <v>2258.311111</v>
      </c>
      <c r="BW91" s="5">
        <v>0</v>
      </c>
      <c r="BX91" s="5">
        <v>25</v>
      </c>
      <c r="BY91" s="5">
        <v>4</v>
      </c>
      <c r="BZ91" s="5">
        <v>1</v>
      </c>
      <c r="CB91" s="5">
        <v>1</v>
      </c>
      <c r="CD91" s="143">
        <v>7.3597106532222734E-2</v>
      </c>
      <c r="CE91" s="143">
        <v>-0.11793841409279937</v>
      </c>
      <c r="CF91" s="143">
        <v>36094277.909999996</v>
      </c>
      <c r="CG91" s="144">
        <v>94.5</v>
      </c>
      <c r="CH91" s="144">
        <v>3.8</v>
      </c>
      <c r="CI91" s="144">
        <v>0.6</v>
      </c>
      <c r="CJ91" s="144">
        <v>95.8</v>
      </c>
      <c r="CK91" s="144">
        <v>2.7</v>
      </c>
      <c r="CL91" s="144">
        <v>0.7</v>
      </c>
      <c r="CM91" s="144">
        <v>98.9</v>
      </c>
      <c r="CN91" s="144">
        <v>99.2</v>
      </c>
    </row>
    <row r="92" spans="1:92" x14ac:dyDescent="0.3">
      <c r="A92">
        <v>831</v>
      </c>
      <c r="B92" s="1">
        <v>3.7364130430000003E-2</v>
      </c>
      <c r="C92" s="1">
        <v>4.9818840000000002E-4</v>
      </c>
      <c r="D92" s="1">
        <v>6.6485559000000003E-3</v>
      </c>
      <c r="E92" s="1">
        <v>2.3377180439999999E-2</v>
      </c>
      <c r="F92" s="2">
        <v>2810</v>
      </c>
      <c r="G92" s="2">
        <v>565</v>
      </c>
      <c r="H92" s="2">
        <v>410</v>
      </c>
      <c r="I92" s="2">
        <v>40</v>
      </c>
      <c r="J92" s="2">
        <v>391</v>
      </c>
      <c r="K92" s="2">
        <v>231</v>
      </c>
      <c r="L92" s="4">
        <v>0</v>
      </c>
      <c r="M92" s="4">
        <v>1375</v>
      </c>
      <c r="N92" s="4">
        <v>323</v>
      </c>
      <c r="O92" s="4">
        <v>28</v>
      </c>
      <c r="Q92" s="4">
        <v>2439</v>
      </c>
      <c r="R92" s="4">
        <v>13104</v>
      </c>
      <c r="S92" s="4">
        <v>6040</v>
      </c>
      <c r="T92" s="4">
        <v>357</v>
      </c>
      <c r="V92" s="4">
        <f t="shared" si="20"/>
        <v>0.79663962920046349</v>
      </c>
      <c r="W92" s="4">
        <f t="shared" si="21"/>
        <v>98</v>
      </c>
      <c r="X92" s="4">
        <v>214</v>
      </c>
      <c r="Y92" s="4">
        <v>65</v>
      </c>
      <c r="Z92" s="4">
        <v>0</v>
      </c>
      <c r="AA92" s="4">
        <v>0</v>
      </c>
      <c r="AC92" s="4">
        <v>3945</v>
      </c>
      <c r="AD92" s="4">
        <v>7896</v>
      </c>
      <c r="AE92" s="4">
        <v>4525</v>
      </c>
      <c r="AF92" s="4">
        <v>1260</v>
      </c>
      <c r="AH92" s="4">
        <f t="shared" si="22"/>
        <v>1</v>
      </c>
      <c r="AI92" s="4">
        <f t="shared" si="23"/>
        <v>1</v>
      </c>
      <c r="AJ92" s="4">
        <v>197</v>
      </c>
      <c r="AK92" s="4">
        <v>774</v>
      </c>
      <c r="AL92" s="4">
        <v>420</v>
      </c>
      <c r="AM92" s="4">
        <v>335</v>
      </c>
      <c r="AN92" s="4">
        <f t="shared" si="24"/>
        <v>0.14162473040977713</v>
      </c>
      <c r="AO92" s="4">
        <f t="shared" si="25"/>
        <v>72</v>
      </c>
      <c r="AP92" s="4">
        <v>4018</v>
      </c>
      <c r="AQ92" s="4">
        <v>8062</v>
      </c>
      <c r="AR92" s="4">
        <v>6745</v>
      </c>
      <c r="AS92" s="4">
        <v>3115</v>
      </c>
      <c r="AT92" s="4">
        <v>214</v>
      </c>
      <c r="AU92" s="4">
        <v>0</v>
      </c>
      <c r="AV92" s="4">
        <v>65</v>
      </c>
      <c r="AW92" s="4">
        <v>0</v>
      </c>
      <c r="AX92" s="4">
        <f t="shared" si="26"/>
        <v>0.76702508960573479</v>
      </c>
      <c r="AY92" s="4">
        <f t="shared" si="27"/>
        <v>38</v>
      </c>
      <c r="AZ92" s="4">
        <v>2820</v>
      </c>
      <c r="BA92" s="4">
        <v>4943</v>
      </c>
      <c r="BB92" s="4">
        <v>9863</v>
      </c>
      <c r="BC92" s="4">
        <v>0</v>
      </c>
      <c r="BD92" s="5">
        <v>9699.6461020000006</v>
      </c>
      <c r="BG92" s="5">
        <f t="shared" si="28"/>
        <v>79</v>
      </c>
      <c r="BH92" s="5">
        <v>11008.771929</v>
      </c>
      <c r="BK92" s="5">
        <f t="shared" si="29"/>
        <v>21</v>
      </c>
      <c r="BL92" s="5">
        <v>9797.1251315000009</v>
      </c>
      <c r="BM92" s="5">
        <v>5585.2396570000001</v>
      </c>
      <c r="BN92" s="5">
        <v>15059.4948405</v>
      </c>
      <c r="BO92" s="5">
        <v>10201.958284</v>
      </c>
      <c r="BP92" s="5">
        <v>0</v>
      </c>
      <c r="BQ92" s="5">
        <v>22527.364165999999</v>
      </c>
      <c r="BR92" s="5">
        <v>7581.9538860000002</v>
      </c>
      <c r="BS92" s="5">
        <v>3750</v>
      </c>
      <c r="BT92" s="5">
        <v>21956.25</v>
      </c>
      <c r="BU92" s="5">
        <v>10331.4156195</v>
      </c>
      <c r="BV92" s="5">
        <v>2258.311111</v>
      </c>
      <c r="BW92" s="5">
        <v>0</v>
      </c>
      <c r="BX92" s="5">
        <v>18</v>
      </c>
      <c r="CA92" s="5">
        <v>1</v>
      </c>
      <c r="CD92" s="143">
        <v>0.21525284644578924</v>
      </c>
      <c r="CE92" s="143">
        <v>8.5118829981718491E-2</v>
      </c>
      <c r="CF92" s="143">
        <v>43547509.969999999</v>
      </c>
      <c r="CG92" s="144">
        <v>88.4</v>
      </c>
      <c r="CH92" s="144">
        <v>6.8</v>
      </c>
      <c r="CI92" s="144">
        <v>2</v>
      </c>
      <c r="CJ92" s="144">
        <v>87</v>
      </c>
      <c r="CK92" s="144">
        <v>8</v>
      </c>
      <c r="CL92" s="144">
        <v>2.6</v>
      </c>
      <c r="CM92" s="144">
        <v>97.2</v>
      </c>
      <c r="CN92" s="144">
        <v>97.6</v>
      </c>
    </row>
    <row r="93" spans="1:92" x14ac:dyDescent="0.3">
      <c r="A93">
        <v>835</v>
      </c>
      <c r="B93" s="1">
        <v>-6.733768E-4</v>
      </c>
      <c r="C93" s="1">
        <v>-4.50099234E-3</v>
      </c>
      <c r="D93" s="1">
        <v>1.5800918090000001E-2</v>
      </c>
      <c r="E93" s="1">
        <v>5.7985019999999999E-4</v>
      </c>
      <c r="F93" s="2">
        <v>863</v>
      </c>
      <c r="G93" s="2">
        <v>240</v>
      </c>
      <c r="H93" s="2">
        <v>130</v>
      </c>
      <c r="I93" s="2">
        <v>80</v>
      </c>
      <c r="J93" s="2">
        <v>830</v>
      </c>
      <c r="K93" s="2">
        <v>535</v>
      </c>
      <c r="L93" s="4">
        <v>223</v>
      </c>
      <c r="M93" s="4">
        <v>245</v>
      </c>
      <c r="N93" s="4">
        <v>42</v>
      </c>
      <c r="O93" s="4">
        <v>93</v>
      </c>
      <c r="Q93" s="4">
        <v>7438</v>
      </c>
      <c r="R93" s="4">
        <v>17537</v>
      </c>
      <c r="S93" s="4">
        <v>5263</v>
      </c>
      <c r="T93" s="4">
        <v>516</v>
      </c>
      <c r="V93" s="4">
        <f t="shared" si="20"/>
        <v>0.77611940298507465</v>
      </c>
      <c r="W93" s="4">
        <f t="shared" si="21"/>
        <v>100</v>
      </c>
      <c r="X93" s="4">
        <v>71</v>
      </c>
      <c r="Y93" s="4">
        <v>202</v>
      </c>
      <c r="Z93" s="4">
        <v>0</v>
      </c>
      <c r="AA93" s="4">
        <v>0</v>
      </c>
      <c r="AC93" s="4">
        <v>7313</v>
      </c>
      <c r="AD93" s="4">
        <v>18640</v>
      </c>
      <c r="AE93" s="4">
        <v>1350</v>
      </c>
      <c r="AF93" s="4">
        <v>1229</v>
      </c>
      <c r="AH93" s="4">
        <f t="shared" si="22"/>
        <v>1</v>
      </c>
      <c r="AI93" s="4">
        <f t="shared" si="23"/>
        <v>1</v>
      </c>
      <c r="AJ93" s="4">
        <v>0</v>
      </c>
      <c r="AK93" s="4">
        <v>209</v>
      </c>
      <c r="AL93" s="4">
        <v>323</v>
      </c>
      <c r="AM93" s="4">
        <v>71</v>
      </c>
      <c r="AN93" s="4">
        <f t="shared" si="24"/>
        <v>0</v>
      </c>
      <c r="AO93" s="4">
        <f t="shared" si="25"/>
        <v>100</v>
      </c>
      <c r="AP93" s="4">
        <v>2732</v>
      </c>
      <c r="AQ93" s="4">
        <v>11181</v>
      </c>
      <c r="AR93" s="4">
        <v>9102</v>
      </c>
      <c r="AS93" s="4">
        <v>7739</v>
      </c>
      <c r="AT93" s="4">
        <v>154</v>
      </c>
      <c r="AU93" s="4">
        <v>48</v>
      </c>
      <c r="AV93" s="4">
        <v>71</v>
      </c>
      <c r="AW93" s="4">
        <v>0</v>
      </c>
      <c r="AX93" s="4">
        <f t="shared" si="26"/>
        <v>0.5641025641025641</v>
      </c>
      <c r="AY93" s="4">
        <f t="shared" si="27"/>
        <v>49</v>
      </c>
      <c r="AZ93" s="4">
        <v>8637</v>
      </c>
      <c r="BA93" s="4">
        <v>12226</v>
      </c>
      <c r="BB93" s="4">
        <v>4931</v>
      </c>
      <c r="BC93" s="4">
        <v>2738</v>
      </c>
      <c r="BD93" s="5">
        <v>10953.333333</v>
      </c>
      <c r="BE93" s="5">
        <v>4082.926829</v>
      </c>
      <c r="BG93" s="5">
        <f t="shared" si="28"/>
        <v>95</v>
      </c>
      <c r="BH93" s="5">
        <v>4700</v>
      </c>
      <c r="BK93" s="5">
        <f t="shared" si="29"/>
        <v>12</v>
      </c>
      <c r="BL93" s="5">
        <v>9400.5625010000003</v>
      </c>
      <c r="BM93" s="5">
        <v>3980.918181</v>
      </c>
      <c r="BN93" s="5">
        <v>11797.370706</v>
      </c>
      <c r="BO93" s="5">
        <v>7409.7325499999997</v>
      </c>
      <c r="BP93" s="5">
        <v>0</v>
      </c>
      <c r="BQ93" s="5">
        <v>12554.023134499999</v>
      </c>
      <c r="BR93" s="5">
        <v>10694.372525999999</v>
      </c>
      <c r="BS93" s="5">
        <v>4082.926829</v>
      </c>
      <c r="BT93" s="5">
        <v>13657.142857000001</v>
      </c>
      <c r="BU93" s="5">
        <v>7127.1501829999997</v>
      </c>
      <c r="BV93" s="5">
        <v>0</v>
      </c>
      <c r="BW93" s="5">
        <v>5489.5110839999998</v>
      </c>
      <c r="BX93" s="5">
        <v>9</v>
      </c>
      <c r="BY93" s="5">
        <v>4</v>
      </c>
      <c r="CA93" s="5">
        <v>1</v>
      </c>
      <c r="CD93" s="143">
        <v>9.5234521575984887E-2</v>
      </c>
      <c r="CE93" s="143">
        <v>-5.2141861824066216E-2</v>
      </c>
      <c r="CF93" s="143">
        <v>30382951.769999996</v>
      </c>
      <c r="CG93" s="144">
        <v>92.1</v>
      </c>
      <c r="CH93" s="144">
        <v>4.5999999999999996</v>
      </c>
      <c r="CI93" s="144">
        <v>1.1000000000000001</v>
      </c>
      <c r="CJ93" s="144">
        <v>93.2</v>
      </c>
      <c r="CK93" s="144">
        <v>3.5</v>
      </c>
      <c r="CL93" s="144">
        <v>0.4</v>
      </c>
      <c r="CM93" s="144">
        <v>97.8</v>
      </c>
      <c r="CN93" s="144">
        <v>97.1</v>
      </c>
    </row>
    <row r="94" spans="1:92" x14ac:dyDescent="0.3">
      <c r="A94">
        <v>836</v>
      </c>
      <c r="B94" s="1">
        <v>2.431165787E-2</v>
      </c>
      <c r="C94" s="1">
        <v>5.8582308100000001E-3</v>
      </c>
      <c r="D94" s="1">
        <v>1.4113196559999999E-2</v>
      </c>
      <c r="E94" s="1">
        <v>2.022406518E-2</v>
      </c>
      <c r="F94" s="2">
        <v>2167</v>
      </c>
      <c r="G94" s="2">
        <v>1131</v>
      </c>
      <c r="H94" s="2">
        <v>0</v>
      </c>
      <c r="I94" s="2">
        <v>0</v>
      </c>
      <c r="J94" s="2">
        <v>120</v>
      </c>
      <c r="K94" s="2">
        <v>0</v>
      </c>
      <c r="L94" s="4">
        <v>0</v>
      </c>
      <c r="M94" s="4">
        <v>295</v>
      </c>
      <c r="N94" s="4">
        <v>161</v>
      </c>
      <c r="O94" s="4">
        <v>0</v>
      </c>
      <c r="Q94" s="4">
        <v>2040</v>
      </c>
      <c r="R94" s="4">
        <v>7245</v>
      </c>
      <c r="S94" s="4">
        <v>1489</v>
      </c>
      <c r="T94" s="4">
        <v>0</v>
      </c>
      <c r="V94" s="4">
        <f t="shared" si="20"/>
        <v>0.64692982456140347</v>
      </c>
      <c r="W94" s="4">
        <f t="shared" si="21"/>
        <v>120</v>
      </c>
      <c r="X94" s="4">
        <v>0</v>
      </c>
      <c r="Y94" s="4">
        <v>17</v>
      </c>
      <c r="Z94" s="4">
        <v>0</v>
      </c>
      <c r="AA94" s="4">
        <v>0</v>
      </c>
      <c r="AC94" s="4">
        <v>2276</v>
      </c>
      <c r="AD94" s="4">
        <v>4190</v>
      </c>
      <c r="AE94" s="4">
        <v>2488</v>
      </c>
      <c r="AF94" s="4">
        <v>1100</v>
      </c>
      <c r="AH94" s="4">
        <f t="shared" si="22"/>
        <v>1</v>
      </c>
      <c r="AI94" s="4">
        <f t="shared" si="23"/>
        <v>1</v>
      </c>
      <c r="AJ94" s="4">
        <v>36</v>
      </c>
      <c r="AK94" s="4">
        <v>42</v>
      </c>
      <c r="AL94" s="4">
        <v>221</v>
      </c>
      <c r="AM94" s="4">
        <v>157</v>
      </c>
      <c r="AN94" s="4">
        <f t="shared" si="24"/>
        <v>0.12040133779264214</v>
      </c>
      <c r="AO94" s="4">
        <f t="shared" si="25"/>
        <v>79</v>
      </c>
      <c r="AP94" s="4">
        <v>954</v>
      </c>
      <c r="AQ94" s="4">
        <v>1308</v>
      </c>
      <c r="AR94" s="4">
        <v>4369</v>
      </c>
      <c r="AS94" s="4">
        <v>4143</v>
      </c>
      <c r="AT94" s="4">
        <v>17</v>
      </c>
      <c r="AU94" s="4">
        <v>0</v>
      </c>
      <c r="AV94" s="4">
        <v>0</v>
      </c>
      <c r="AW94" s="4">
        <v>0</v>
      </c>
      <c r="AX94" s="4">
        <f t="shared" si="26"/>
        <v>1</v>
      </c>
      <c r="AY94" s="4">
        <f t="shared" si="27"/>
        <v>1</v>
      </c>
      <c r="AZ94" s="4">
        <v>3574</v>
      </c>
      <c r="BA94" s="4">
        <v>5380</v>
      </c>
      <c r="BB94" s="4">
        <v>1100</v>
      </c>
      <c r="BC94" s="4">
        <v>0</v>
      </c>
      <c r="BD94" s="5">
        <v>4185.6166329999996</v>
      </c>
      <c r="BE94" s="5">
        <v>5288.5166660000004</v>
      </c>
      <c r="BG94" s="5">
        <f t="shared" si="28"/>
        <v>6</v>
      </c>
      <c r="BH94" s="5">
        <v>1417.6818270000001</v>
      </c>
      <c r="BK94" s="5">
        <f t="shared" si="29"/>
        <v>4</v>
      </c>
      <c r="BL94" s="5">
        <v>9661.5648414999996</v>
      </c>
      <c r="BM94" s="5">
        <v>4103.2656365000003</v>
      </c>
      <c r="BN94" s="5">
        <v>13657.142857000001</v>
      </c>
      <c r="BO94" s="5">
        <v>4488.7848100000001</v>
      </c>
      <c r="BP94" s="5">
        <v>0</v>
      </c>
      <c r="BQ94" s="5">
        <v>19618.535185000001</v>
      </c>
      <c r="BR94" s="5">
        <v>10694.372525999999</v>
      </c>
      <c r="BS94" s="5">
        <v>4082.926829</v>
      </c>
      <c r="BT94" s="5">
        <v>13657.142857000001</v>
      </c>
      <c r="BU94" s="5">
        <v>7127.1501829999997</v>
      </c>
      <c r="BV94" s="5">
        <v>0</v>
      </c>
      <c r="BW94" s="5">
        <v>5489.5110839999998</v>
      </c>
      <c r="BX94" s="5">
        <v>11</v>
      </c>
      <c r="BY94" s="5">
        <v>2</v>
      </c>
      <c r="CA94" s="5">
        <v>5</v>
      </c>
      <c r="CD94" s="143">
        <v>0.17517301038062283</v>
      </c>
      <c r="CE94" s="143">
        <v>-5.2026213722081049E-2</v>
      </c>
      <c r="CF94" s="143">
        <v>25130205.629999999</v>
      </c>
      <c r="CG94" s="144">
        <v>86.1</v>
      </c>
      <c r="CH94" s="144">
        <v>6.8</v>
      </c>
      <c r="CI94" s="144">
        <v>2.6</v>
      </c>
      <c r="CJ94" s="144">
        <v>86.1</v>
      </c>
      <c r="CK94" s="144">
        <v>8.1</v>
      </c>
      <c r="CL94" s="144">
        <v>1.8</v>
      </c>
      <c r="CM94" s="144">
        <v>95.5</v>
      </c>
      <c r="CN94" s="144">
        <v>96</v>
      </c>
    </row>
    <row r="95" spans="1:92" x14ac:dyDescent="0.3">
      <c r="A95">
        <v>837</v>
      </c>
      <c r="B95" s="1">
        <v>9.4918101599999992E-3</v>
      </c>
      <c r="C95" s="1">
        <v>-5.0398991999999997E-3</v>
      </c>
      <c r="D95" s="1">
        <v>9.6032347699999999E-3</v>
      </c>
      <c r="E95" s="1">
        <v>-3.5380338599999999E-3</v>
      </c>
      <c r="F95" s="2">
        <v>3598</v>
      </c>
      <c r="G95" s="2">
        <v>1462</v>
      </c>
      <c r="H95" s="2">
        <v>110</v>
      </c>
      <c r="I95" s="2">
        <v>0</v>
      </c>
      <c r="J95" s="2">
        <v>60</v>
      </c>
      <c r="K95" s="2">
        <v>0</v>
      </c>
      <c r="L95" s="4">
        <v>150</v>
      </c>
      <c r="M95" s="4">
        <v>1140</v>
      </c>
      <c r="N95" s="4">
        <v>60</v>
      </c>
      <c r="Q95" s="4">
        <v>2700</v>
      </c>
      <c r="R95" s="4">
        <v>8830</v>
      </c>
      <c r="S95" s="4">
        <v>780</v>
      </c>
      <c r="V95" s="4">
        <f t="shared" si="20"/>
        <v>0.9555555555555556</v>
      </c>
      <c r="W95" s="4">
        <f t="shared" si="21"/>
        <v>60</v>
      </c>
      <c r="X95" s="4">
        <v>0</v>
      </c>
      <c r="Y95" s="4">
        <v>0</v>
      </c>
      <c r="Z95" s="4">
        <v>0</v>
      </c>
      <c r="AC95" s="4">
        <v>2270</v>
      </c>
      <c r="AD95" s="4">
        <v>8699</v>
      </c>
      <c r="AE95" s="4">
        <v>0</v>
      </c>
      <c r="AH95" s="4" t="str">
        <f t="shared" si="22"/>
        <v>N/A</v>
      </c>
      <c r="AI95" s="4" t="str">
        <f t="shared" si="23"/>
        <v>N/A</v>
      </c>
      <c r="AJ95" s="4">
        <v>0</v>
      </c>
      <c r="AK95" s="4">
        <v>450</v>
      </c>
      <c r="AL95" s="4">
        <v>0</v>
      </c>
      <c r="AM95" s="4">
        <v>900</v>
      </c>
      <c r="AN95" s="4">
        <f t="shared" si="24"/>
        <v>0</v>
      </c>
      <c r="AO95" s="4">
        <f t="shared" si="25"/>
        <v>100</v>
      </c>
      <c r="AP95" s="4">
        <v>1633</v>
      </c>
      <c r="AQ95" s="4">
        <v>6331</v>
      </c>
      <c r="AR95" s="4">
        <v>2906</v>
      </c>
      <c r="AS95" s="4">
        <v>1440</v>
      </c>
      <c r="AT95" s="4">
        <v>0</v>
      </c>
      <c r="AU95" s="4">
        <v>0</v>
      </c>
      <c r="AV95" s="4">
        <v>0</v>
      </c>
      <c r="AW95" s="4">
        <v>0</v>
      </c>
      <c r="AX95" s="4" t="str">
        <f t="shared" si="26"/>
        <v>N/A</v>
      </c>
      <c r="AY95" s="4" t="str">
        <f t="shared" si="27"/>
        <v>N/A</v>
      </c>
      <c r="AZ95" s="4">
        <v>5437</v>
      </c>
      <c r="BA95" s="4">
        <v>1800</v>
      </c>
      <c r="BB95" s="4">
        <v>3732</v>
      </c>
      <c r="BC95" s="4">
        <v>0</v>
      </c>
      <c r="BD95" s="5">
        <v>11081.183966000001</v>
      </c>
      <c r="BF95" s="5">
        <v>14323.098808999999</v>
      </c>
      <c r="BG95" s="5">
        <f t="shared" si="28"/>
        <v>98</v>
      </c>
      <c r="BK95" s="5" t="str">
        <f t="shared" si="29"/>
        <v>N/A</v>
      </c>
      <c r="BL95" s="5">
        <v>7191.7813735</v>
      </c>
      <c r="BM95" s="5">
        <v>4324.7056679999996</v>
      </c>
      <c r="BN95" s="5">
        <v>15205.882555</v>
      </c>
      <c r="BO95" s="5">
        <v>4277.5696200000002</v>
      </c>
      <c r="BP95" s="5">
        <v>0</v>
      </c>
      <c r="BQ95" s="5">
        <v>21896.833331999998</v>
      </c>
      <c r="BR95" s="5">
        <v>10694.372525999999</v>
      </c>
      <c r="BS95" s="5">
        <v>4082.926829</v>
      </c>
      <c r="BT95" s="5">
        <v>13657.142857000001</v>
      </c>
      <c r="BU95" s="5">
        <v>7127.1501829999997</v>
      </c>
      <c r="BV95" s="5">
        <v>0</v>
      </c>
      <c r="BW95" s="5">
        <v>5489.5110839999998</v>
      </c>
      <c r="BX95" s="5">
        <v>20</v>
      </c>
      <c r="BZ95" s="5">
        <v>2</v>
      </c>
      <c r="CD95" s="143">
        <v>0.33057439170323089</v>
      </c>
      <c r="CE95" s="143">
        <v>-5.5139311636619004E-2</v>
      </c>
      <c r="CF95" s="143">
        <v>40531127.950000003</v>
      </c>
      <c r="CG95" s="144">
        <v>78.900000000000006</v>
      </c>
      <c r="CH95" s="144">
        <v>10.1</v>
      </c>
      <c r="CI95" s="144">
        <v>4.0999999999999996</v>
      </c>
      <c r="CJ95" s="144">
        <v>85.7</v>
      </c>
      <c r="CK95" s="144">
        <v>9.1999999999999993</v>
      </c>
      <c r="CL95" s="144">
        <v>1.5</v>
      </c>
      <c r="CM95" s="144">
        <v>93.2</v>
      </c>
      <c r="CN95" s="144">
        <v>96.3</v>
      </c>
    </row>
    <row r="96" spans="1:92" x14ac:dyDescent="0.3">
      <c r="A96">
        <v>840</v>
      </c>
      <c r="B96" s="1">
        <v>-5.2680100000000001E-3</v>
      </c>
      <c r="C96" s="1">
        <v>-4.0827077500000001E-3</v>
      </c>
      <c r="D96" s="1">
        <v>2.360641891E-2</v>
      </c>
      <c r="E96" s="1">
        <v>5.8277027000000004E-3</v>
      </c>
      <c r="F96" s="2">
        <v>1588</v>
      </c>
      <c r="G96" s="2">
        <v>0</v>
      </c>
      <c r="H96" s="2">
        <v>120</v>
      </c>
      <c r="I96" s="2">
        <v>30</v>
      </c>
      <c r="J96" s="2">
        <v>796</v>
      </c>
      <c r="K96" s="2">
        <v>120</v>
      </c>
      <c r="L96" s="4">
        <v>17</v>
      </c>
      <c r="M96" s="4">
        <v>221</v>
      </c>
      <c r="N96" s="4">
        <v>89</v>
      </c>
      <c r="O96" s="4">
        <v>0</v>
      </c>
      <c r="P96" s="4">
        <v>30</v>
      </c>
      <c r="Q96" s="4">
        <v>6613</v>
      </c>
      <c r="R96" s="4">
        <v>31584</v>
      </c>
      <c r="S96" s="4">
        <v>3121</v>
      </c>
      <c r="T96" s="4">
        <v>980</v>
      </c>
      <c r="U96" s="4">
        <v>1415</v>
      </c>
      <c r="V96" s="4">
        <f t="shared" si="20"/>
        <v>0.72782874617737003</v>
      </c>
      <c r="W96" s="4">
        <f t="shared" si="21"/>
        <v>112</v>
      </c>
      <c r="X96" s="4">
        <v>0</v>
      </c>
      <c r="Y96" s="4">
        <v>0</v>
      </c>
      <c r="Z96" s="4">
        <v>0</v>
      </c>
      <c r="AA96" s="4">
        <v>0</v>
      </c>
      <c r="AB96" s="4">
        <v>0</v>
      </c>
      <c r="AC96" s="4">
        <v>7532</v>
      </c>
      <c r="AD96" s="4">
        <v>15962</v>
      </c>
      <c r="AE96" s="4">
        <v>7173</v>
      </c>
      <c r="AF96" s="4">
        <v>1404</v>
      </c>
      <c r="AG96" s="4">
        <v>1754</v>
      </c>
      <c r="AH96" s="4" t="str">
        <f t="shared" si="22"/>
        <v>N/A</v>
      </c>
      <c r="AI96" s="4" t="str">
        <f t="shared" si="23"/>
        <v>N/A</v>
      </c>
      <c r="AJ96" s="4">
        <v>56</v>
      </c>
      <c r="AK96" s="4">
        <v>254</v>
      </c>
      <c r="AL96" s="4">
        <v>30</v>
      </c>
      <c r="AM96" s="4">
        <v>17</v>
      </c>
      <c r="AN96" s="4">
        <f t="shared" si="24"/>
        <v>0.16470588235294117</v>
      </c>
      <c r="AO96" s="4">
        <f t="shared" si="25"/>
        <v>64</v>
      </c>
      <c r="AP96" s="4">
        <v>12523</v>
      </c>
      <c r="AQ96" s="4">
        <v>23837</v>
      </c>
      <c r="AR96" s="4">
        <v>4455</v>
      </c>
      <c r="AS96" s="4">
        <v>2898</v>
      </c>
      <c r="AT96" s="4">
        <v>0</v>
      </c>
      <c r="AU96" s="4">
        <v>0</v>
      </c>
      <c r="AV96" s="4">
        <v>0</v>
      </c>
      <c r="AW96" s="4">
        <v>0</v>
      </c>
      <c r="AX96" s="4" t="str">
        <f t="shared" si="26"/>
        <v>N/A</v>
      </c>
      <c r="AY96" s="4" t="str">
        <f t="shared" si="27"/>
        <v>N/A</v>
      </c>
      <c r="AZ96" s="4">
        <v>6163</v>
      </c>
      <c r="BA96" s="4">
        <v>14050</v>
      </c>
      <c r="BB96" s="4">
        <v>13612</v>
      </c>
      <c r="BC96" s="4">
        <v>0</v>
      </c>
      <c r="BD96" s="5">
        <v>6314.2377319999996</v>
      </c>
      <c r="BE96" s="5">
        <v>529.03225799999996</v>
      </c>
      <c r="BF96" s="5">
        <v>2560.0840330000001</v>
      </c>
      <c r="BG96" s="5">
        <f t="shared" si="28"/>
        <v>29</v>
      </c>
      <c r="BK96" s="5" t="str">
        <f t="shared" si="29"/>
        <v>N/A</v>
      </c>
      <c r="BL96" s="5">
        <v>6910.0229280000003</v>
      </c>
      <c r="BM96" s="5">
        <v>5366.6666664999993</v>
      </c>
      <c r="BN96" s="5">
        <v>8025.5428564999993</v>
      </c>
      <c r="BO96" s="5">
        <v>23194.585714000001</v>
      </c>
      <c r="BP96" s="5">
        <v>0</v>
      </c>
      <c r="BQ96" s="5">
        <v>0</v>
      </c>
      <c r="BR96" s="5">
        <v>6353.8938660000003</v>
      </c>
      <c r="BS96" s="5">
        <v>5833.3333329999996</v>
      </c>
      <c r="BT96" s="5">
        <v>2830.1623370000002</v>
      </c>
      <c r="BU96" s="5">
        <v>23194.585714000001</v>
      </c>
      <c r="BV96" s="5">
        <v>0</v>
      </c>
      <c r="BW96" s="5">
        <v>0</v>
      </c>
      <c r="BX96" s="5">
        <v>33</v>
      </c>
      <c r="BY96" s="5">
        <v>1</v>
      </c>
      <c r="BZ96" s="5">
        <v>1</v>
      </c>
      <c r="CD96" s="143">
        <v>7.7357330501369503E-2</v>
      </c>
      <c r="CE96" s="143">
        <v>-7.7696765750607577E-2</v>
      </c>
      <c r="CF96" s="143">
        <v>15970903.65</v>
      </c>
      <c r="CG96" s="144">
        <v>92.8</v>
      </c>
      <c r="CH96" s="144">
        <v>3.9</v>
      </c>
      <c r="CI96" s="144">
        <v>0.8</v>
      </c>
      <c r="CJ96" s="144">
        <v>95.6</v>
      </c>
      <c r="CK96" s="144">
        <v>2.4</v>
      </c>
      <c r="CL96" s="144">
        <v>0.3</v>
      </c>
      <c r="CM96" s="144">
        <v>97.6</v>
      </c>
      <c r="CN96" s="144">
        <v>98.3</v>
      </c>
    </row>
    <row r="97" spans="1:92" x14ac:dyDescent="0.3">
      <c r="A97">
        <v>841</v>
      </c>
      <c r="B97" s="1">
        <v>2.4829371610000001E-2</v>
      </c>
      <c r="C97" s="1">
        <v>3.6479171499999999E-3</v>
      </c>
      <c r="D97" s="1">
        <v>6.8878013400000002E-3</v>
      </c>
      <c r="E97" s="1">
        <v>5.4377378999999997E-3</v>
      </c>
      <c r="F97" s="2">
        <v>696</v>
      </c>
      <c r="G97" s="2">
        <v>2</v>
      </c>
      <c r="H97" s="2">
        <v>0</v>
      </c>
      <c r="I97" s="2">
        <v>0</v>
      </c>
      <c r="J97" s="2">
        <v>666</v>
      </c>
      <c r="K97" s="2">
        <v>338</v>
      </c>
      <c r="L97" s="4">
        <v>0</v>
      </c>
      <c r="M97" s="4">
        <v>402</v>
      </c>
      <c r="N97" s="4">
        <v>45</v>
      </c>
      <c r="O97" s="4">
        <v>0</v>
      </c>
      <c r="Q97" s="4">
        <v>1376</v>
      </c>
      <c r="R97" s="4">
        <v>6408</v>
      </c>
      <c r="S97" s="4">
        <v>945</v>
      </c>
      <c r="T97" s="4">
        <v>0</v>
      </c>
      <c r="V97" s="4">
        <f t="shared" si="20"/>
        <v>0.89932885906040272</v>
      </c>
      <c r="W97" s="4">
        <f t="shared" si="21"/>
        <v>70</v>
      </c>
      <c r="X97" s="4">
        <v>0</v>
      </c>
      <c r="Y97" s="4">
        <v>0</v>
      </c>
      <c r="Z97" s="4">
        <v>0</v>
      </c>
      <c r="AA97" s="4">
        <v>0</v>
      </c>
      <c r="AC97" s="4">
        <v>1835</v>
      </c>
      <c r="AD97" s="4">
        <v>2100</v>
      </c>
      <c r="AE97" s="4">
        <v>1800</v>
      </c>
      <c r="AF97" s="4">
        <v>700</v>
      </c>
      <c r="AH97" s="4" t="str">
        <f t="shared" si="22"/>
        <v>N/A</v>
      </c>
      <c r="AI97" s="4" t="str">
        <f t="shared" si="23"/>
        <v>N/A</v>
      </c>
      <c r="AJ97" s="4">
        <v>0</v>
      </c>
      <c r="AK97" s="4">
        <v>230</v>
      </c>
      <c r="AL97" s="4">
        <v>157</v>
      </c>
      <c r="AM97" s="4">
        <v>60</v>
      </c>
      <c r="AN97" s="4">
        <f t="shared" si="24"/>
        <v>0</v>
      </c>
      <c r="AO97" s="4">
        <f t="shared" si="25"/>
        <v>100</v>
      </c>
      <c r="AP97" s="4">
        <v>4080</v>
      </c>
      <c r="AQ97" s="4">
        <v>2976</v>
      </c>
      <c r="AR97" s="4">
        <v>1193</v>
      </c>
      <c r="AS97" s="4">
        <v>480</v>
      </c>
      <c r="AT97" s="4">
        <v>0</v>
      </c>
      <c r="AU97" s="4">
        <v>0</v>
      </c>
      <c r="AV97" s="4">
        <v>0</v>
      </c>
      <c r="AW97" s="4">
        <v>0</v>
      </c>
      <c r="AX97" s="4" t="str">
        <f t="shared" si="26"/>
        <v>N/A</v>
      </c>
      <c r="AY97" s="4" t="str">
        <f t="shared" si="27"/>
        <v>N/A</v>
      </c>
      <c r="AZ97" s="4">
        <v>1835</v>
      </c>
      <c r="BA97" s="4">
        <v>3000</v>
      </c>
      <c r="BB97" s="4">
        <v>1600</v>
      </c>
      <c r="BC97" s="4">
        <v>0</v>
      </c>
      <c r="BD97" s="5">
        <v>7883.0623850000002</v>
      </c>
      <c r="BE97" s="5">
        <v>5833.3333329999996</v>
      </c>
      <c r="BG97" s="5">
        <f t="shared" si="28"/>
        <v>54</v>
      </c>
      <c r="BK97" s="5" t="str">
        <f t="shared" si="29"/>
        <v>N/A</v>
      </c>
      <c r="BL97" s="5">
        <v>6109.3714774999999</v>
      </c>
      <c r="BM97" s="5">
        <v>3333.333333</v>
      </c>
      <c r="BN97" s="5">
        <v>7472.2515400000002</v>
      </c>
      <c r="BO97" s="5">
        <v>23194.585714000001</v>
      </c>
      <c r="BP97" s="5">
        <v>0</v>
      </c>
      <c r="BQ97" s="5">
        <v>3386.6666660000001</v>
      </c>
      <c r="BR97" s="5">
        <v>6353.8938660000003</v>
      </c>
      <c r="BS97" s="5">
        <v>5833.3333329999996</v>
      </c>
      <c r="BT97" s="5">
        <v>2830.1623370000002</v>
      </c>
      <c r="BU97" s="5">
        <v>23194.585714000001</v>
      </c>
      <c r="BV97" s="5">
        <v>0</v>
      </c>
      <c r="BW97" s="5">
        <v>0</v>
      </c>
      <c r="BX97" s="5">
        <v>6</v>
      </c>
      <c r="BY97" s="5">
        <v>1</v>
      </c>
      <c r="CD97" s="143">
        <v>7.8519070692011361E-2</v>
      </c>
      <c r="CE97" s="143">
        <v>0.16382853787433937</v>
      </c>
      <c r="CF97" s="143">
        <v>9492317.3399999999</v>
      </c>
      <c r="CG97" s="144">
        <v>88.3</v>
      </c>
      <c r="CH97" s="144">
        <v>6.5</v>
      </c>
      <c r="CI97" s="144">
        <v>1.3</v>
      </c>
      <c r="CJ97" s="144">
        <v>85.7</v>
      </c>
      <c r="CK97" s="144">
        <v>6.5</v>
      </c>
      <c r="CL97" s="144">
        <v>1.7</v>
      </c>
      <c r="CM97" s="144">
        <v>96</v>
      </c>
      <c r="CN97" s="144">
        <v>93.9</v>
      </c>
    </row>
    <row r="98" spans="1:92" x14ac:dyDescent="0.3">
      <c r="A98">
        <v>845</v>
      </c>
      <c r="B98" s="1">
        <v>1.1155939449999999E-2</v>
      </c>
      <c r="C98" s="1">
        <v>2.2203568800000001E-3</v>
      </c>
      <c r="D98" s="1">
        <v>3.311859927E-2</v>
      </c>
      <c r="E98" s="1">
        <v>5.53353154E-3</v>
      </c>
      <c r="F98" s="2">
        <v>1760</v>
      </c>
      <c r="G98" s="2">
        <v>761</v>
      </c>
      <c r="H98" s="2">
        <v>240</v>
      </c>
      <c r="I98" s="2">
        <v>120</v>
      </c>
      <c r="J98" s="2">
        <v>3258</v>
      </c>
      <c r="K98" s="2">
        <v>250</v>
      </c>
      <c r="L98" s="4">
        <v>60</v>
      </c>
      <c r="M98" s="4">
        <v>450</v>
      </c>
      <c r="N98" s="4">
        <v>160</v>
      </c>
      <c r="O98" s="4">
        <v>0</v>
      </c>
      <c r="Q98" s="4">
        <v>2626</v>
      </c>
      <c r="R98" s="4">
        <v>22635</v>
      </c>
      <c r="S98" s="4">
        <v>9610</v>
      </c>
      <c r="T98" s="4">
        <v>210</v>
      </c>
      <c r="V98" s="4">
        <f t="shared" ref="V98:V129" si="30">IFERROR(SUM(L98:M98)/SUM(L98:O98),"N/A")</f>
        <v>0.76119402985074625</v>
      </c>
      <c r="W98" s="4">
        <f t="shared" ref="W98:W129" si="31">IFERROR(_xlfn.RANK.EQ(V98,Qual_P_Prop,0),V98)</f>
        <v>104</v>
      </c>
      <c r="X98" s="4">
        <v>0</v>
      </c>
      <c r="Y98" s="4">
        <v>355</v>
      </c>
      <c r="Z98" s="4">
        <v>50</v>
      </c>
      <c r="AA98" s="4">
        <v>0</v>
      </c>
      <c r="AC98" s="4">
        <v>2020</v>
      </c>
      <c r="AD98" s="4">
        <v>20354</v>
      </c>
      <c r="AE98" s="4">
        <v>6180</v>
      </c>
      <c r="AF98" s="4">
        <v>0</v>
      </c>
      <c r="AH98" s="4">
        <f t="shared" ref="AH98:AH129" si="32">IFERROR(SUM(X98:Y98)/SUM(X98:AA98),"N/A")</f>
        <v>0.87654320987654322</v>
      </c>
      <c r="AI98" s="4">
        <f t="shared" ref="AI98:AI129" si="33">IFERROR(_xlfn.RANK.EQ(AH98,Qual_S_Prop,0),AH98)</f>
        <v>69</v>
      </c>
      <c r="AJ98" s="4">
        <v>90</v>
      </c>
      <c r="AK98" s="4">
        <v>430</v>
      </c>
      <c r="AL98" s="4">
        <v>90</v>
      </c>
      <c r="AM98" s="4">
        <v>60</v>
      </c>
      <c r="AN98" s="4">
        <f t="shared" ref="AN98:AN129" si="34">IFERROR(AJ98/SUM(AJ98:AL98),"N/A")</f>
        <v>0.14754098360655737</v>
      </c>
      <c r="AO98" s="4">
        <f t="shared" ref="AO98:AO129" si="35">IFERROR(_xlfn.RANK.EQ(AN98,Qual_KS2_Prop,0),AN98)</f>
        <v>69</v>
      </c>
      <c r="AP98" s="4">
        <v>6330</v>
      </c>
      <c r="AQ98" s="4">
        <v>18461</v>
      </c>
      <c r="AR98" s="4">
        <v>7830</v>
      </c>
      <c r="AS98" s="4">
        <v>2460</v>
      </c>
      <c r="AT98" s="4">
        <v>355</v>
      </c>
      <c r="AU98" s="4">
        <v>0</v>
      </c>
      <c r="AV98" s="4">
        <v>50</v>
      </c>
      <c r="AW98" s="4">
        <v>0</v>
      </c>
      <c r="AX98" s="4">
        <f t="shared" ref="AX98:AX129" si="36">IFERROR(AT98/SUM(AT98:AV98),"N/A")</f>
        <v>0.87654320987654322</v>
      </c>
      <c r="AY98" s="4">
        <f t="shared" ref="AY98:AY129" si="37">IFERROR(_xlfn.RANK.EQ(AX98,Qual_KS4_Prop,0),AX98)</f>
        <v>32</v>
      </c>
      <c r="AZ98" s="4">
        <v>11936</v>
      </c>
      <c r="BA98" s="4">
        <v>9973</v>
      </c>
      <c r="BB98" s="4">
        <v>6645</v>
      </c>
      <c r="BC98" s="4">
        <v>0</v>
      </c>
      <c r="BD98" s="5">
        <v>7260.3984490000003</v>
      </c>
      <c r="BE98" s="5">
        <v>4123.6044439999996</v>
      </c>
      <c r="BG98" s="5">
        <f t="shared" ref="BG98:BG129" si="38">IFERROR(_xlfn.RANK.EQ(BD98,Cost_P_EP,1),"N/A")</f>
        <v>46</v>
      </c>
      <c r="BK98" s="5" t="str">
        <f t="shared" ref="BK98:BK129" si="39">IFERROR(_xlfn.RANK.EQ(BH98,Cost_S_EP,1),"N/A")</f>
        <v>N/A</v>
      </c>
      <c r="BL98" s="5">
        <v>9220.0806454999984</v>
      </c>
      <c r="BM98" s="5">
        <v>4227.5523030000004</v>
      </c>
      <c r="BN98" s="5">
        <v>17244.835086999999</v>
      </c>
      <c r="BO98" s="5">
        <v>4700</v>
      </c>
      <c r="BP98" s="5">
        <v>0</v>
      </c>
      <c r="BQ98" s="5">
        <v>12554.023134499999</v>
      </c>
      <c r="BR98" s="5">
        <v>10571.237112999999</v>
      </c>
      <c r="BS98" s="5">
        <v>4525.6289299999999</v>
      </c>
      <c r="BT98" s="5">
        <v>17545.036591</v>
      </c>
      <c r="BU98" s="5">
        <v>15133.233333</v>
      </c>
      <c r="BV98" s="5">
        <v>23429.45</v>
      </c>
      <c r="BW98" s="5">
        <v>19471.908211999998</v>
      </c>
      <c r="BX98" s="5">
        <v>6</v>
      </c>
      <c r="BY98" s="5">
        <v>28</v>
      </c>
      <c r="CD98" s="143">
        <v>0.14855326099638311</v>
      </c>
      <c r="CE98" s="143">
        <v>-4.2680571649285404E-2</v>
      </c>
      <c r="CF98" s="143">
        <v>70664672.909999996</v>
      </c>
      <c r="CG98" s="144">
        <v>86.5</v>
      </c>
      <c r="CH98" s="144">
        <v>6.8</v>
      </c>
      <c r="CI98" s="144">
        <v>2</v>
      </c>
      <c r="CJ98" s="144">
        <v>92.4</v>
      </c>
      <c r="CK98" s="144">
        <v>4</v>
      </c>
      <c r="CL98" s="144">
        <v>1</v>
      </c>
      <c r="CM98" s="144">
        <v>95.4</v>
      </c>
      <c r="CN98" s="144">
        <v>97.5</v>
      </c>
    </row>
    <row r="99" spans="1:92" x14ac:dyDescent="0.3">
      <c r="A99">
        <v>846</v>
      </c>
      <c r="B99" s="1">
        <v>1.5992627119999998E-2</v>
      </c>
      <c r="C99" s="1">
        <v>8.6197549599999999E-3</v>
      </c>
      <c r="D99" s="1">
        <v>1.1284011280000001E-2</v>
      </c>
      <c r="E99" s="1">
        <v>1.9019019009999999E-2</v>
      </c>
      <c r="F99" s="2">
        <v>2539</v>
      </c>
      <c r="G99" s="2">
        <v>2118</v>
      </c>
      <c r="H99" s="2">
        <v>440</v>
      </c>
      <c r="I99" s="2">
        <v>190</v>
      </c>
      <c r="J99" s="2">
        <v>480</v>
      </c>
      <c r="K99" s="2">
        <v>0</v>
      </c>
      <c r="L99" s="4">
        <v>67</v>
      </c>
      <c r="M99" s="4">
        <v>705</v>
      </c>
      <c r="N99" s="4">
        <v>0</v>
      </c>
      <c r="Q99" s="4">
        <v>3513</v>
      </c>
      <c r="R99" s="4">
        <v>13828</v>
      </c>
      <c r="S99" s="4">
        <v>2297</v>
      </c>
      <c r="V99" s="4">
        <f t="shared" si="30"/>
        <v>1</v>
      </c>
      <c r="W99" s="4">
        <f t="shared" si="31"/>
        <v>1</v>
      </c>
      <c r="X99" s="4">
        <v>0</v>
      </c>
      <c r="Y99" s="4">
        <v>211</v>
      </c>
      <c r="Z99" s="4">
        <v>90</v>
      </c>
      <c r="AC99" s="4">
        <v>0</v>
      </c>
      <c r="AD99" s="4">
        <v>9426</v>
      </c>
      <c r="AE99" s="4">
        <v>3963</v>
      </c>
      <c r="AH99" s="4">
        <f t="shared" si="32"/>
        <v>0.70099667774086383</v>
      </c>
      <c r="AI99" s="4">
        <f t="shared" si="33"/>
        <v>78</v>
      </c>
      <c r="AJ99" s="4">
        <v>30</v>
      </c>
      <c r="AK99" s="4">
        <v>183</v>
      </c>
      <c r="AL99" s="4">
        <v>432</v>
      </c>
      <c r="AM99" s="4">
        <v>127</v>
      </c>
      <c r="AN99" s="4">
        <f t="shared" si="34"/>
        <v>4.6511627906976744E-2</v>
      </c>
      <c r="AO99" s="4">
        <f t="shared" si="35"/>
        <v>95</v>
      </c>
      <c r="AP99" s="4">
        <v>3579</v>
      </c>
      <c r="AQ99" s="4">
        <v>8295</v>
      </c>
      <c r="AR99" s="4">
        <v>4796</v>
      </c>
      <c r="AS99" s="4">
        <v>2968</v>
      </c>
      <c r="AT99" s="4">
        <v>184</v>
      </c>
      <c r="AU99" s="4">
        <v>117</v>
      </c>
      <c r="AV99" s="4">
        <v>0</v>
      </c>
      <c r="AW99" s="4">
        <v>0</v>
      </c>
      <c r="AX99" s="4">
        <f t="shared" si="36"/>
        <v>0.61129568106312293</v>
      </c>
      <c r="AY99" s="4">
        <f t="shared" si="37"/>
        <v>47</v>
      </c>
      <c r="AZ99" s="4">
        <v>3733</v>
      </c>
      <c r="BA99" s="4">
        <v>6093</v>
      </c>
      <c r="BB99" s="4">
        <v>3563</v>
      </c>
      <c r="BC99" s="4">
        <v>0</v>
      </c>
      <c r="BD99" s="5">
        <v>14407.501819999999</v>
      </c>
      <c r="BE99" s="5">
        <v>3988.888888</v>
      </c>
      <c r="BF99" s="5">
        <v>10639.386189000001</v>
      </c>
      <c r="BG99" s="5">
        <f t="shared" si="38"/>
        <v>124</v>
      </c>
      <c r="BH99" s="5">
        <v>18933.333332999999</v>
      </c>
      <c r="BK99" s="5">
        <f t="shared" si="39"/>
        <v>40</v>
      </c>
      <c r="BL99" s="5">
        <v>7759.5999615000001</v>
      </c>
      <c r="BM99" s="5">
        <v>4652.4080825000001</v>
      </c>
      <c r="BN99" s="5">
        <v>14323.098808999999</v>
      </c>
      <c r="BO99" s="5">
        <v>10047.7849995</v>
      </c>
      <c r="BP99" s="5">
        <v>0</v>
      </c>
      <c r="BQ99" s="5">
        <v>21896.833331999998</v>
      </c>
      <c r="BR99" s="5">
        <v>10571.237112999999</v>
      </c>
      <c r="BS99" s="5">
        <v>4525.6289299999999</v>
      </c>
      <c r="BT99" s="5">
        <v>17545.036591</v>
      </c>
      <c r="BU99" s="5">
        <v>15133.233333</v>
      </c>
      <c r="BV99" s="5">
        <v>23429.45</v>
      </c>
      <c r="BW99" s="5">
        <v>19471.908211999998</v>
      </c>
      <c r="BX99" s="5">
        <v>11</v>
      </c>
      <c r="BY99" s="5">
        <v>6</v>
      </c>
      <c r="BZ99" s="5">
        <v>2</v>
      </c>
      <c r="CA99" s="5">
        <v>1</v>
      </c>
      <c r="CD99" s="143">
        <v>0.16477101763254498</v>
      </c>
      <c r="CE99" s="143">
        <v>2.7940790049925557E-2</v>
      </c>
      <c r="CF99" s="143">
        <v>54421446.170000002</v>
      </c>
      <c r="CG99" s="144">
        <v>88.4</v>
      </c>
      <c r="CH99" s="144">
        <v>6</v>
      </c>
      <c r="CI99" s="144">
        <v>1.9</v>
      </c>
      <c r="CJ99" s="144">
        <v>82</v>
      </c>
      <c r="CK99" s="144">
        <v>10.6</v>
      </c>
      <c r="CL99" s="144">
        <v>3.2</v>
      </c>
      <c r="CM99" s="144">
        <v>96.4</v>
      </c>
      <c r="CN99" s="144">
        <v>95.8</v>
      </c>
    </row>
    <row r="100" spans="1:92" x14ac:dyDescent="0.3">
      <c r="A100">
        <v>850</v>
      </c>
      <c r="B100" s="1">
        <v>2.4587396470000002E-2</v>
      </c>
      <c r="C100" s="1">
        <v>5.98796448E-3</v>
      </c>
      <c r="D100" s="1">
        <v>1.658837573E-2</v>
      </c>
      <c r="E100" s="1">
        <v>6.0462304000000004E-4</v>
      </c>
      <c r="F100" s="2">
        <v>5780</v>
      </c>
      <c r="G100" s="2">
        <v>0</v>
      </c>
      <c r="H100" s="2">
        <v>2780</v>
      </c>
      <c r="I100" s="2">
        <v>590</v>
      </c>
      <c r="J100" s="2">
        <v>5066</v>
      </c>
      <c r="K100" s="2">
        <v>415</v>
      </c>
      <c r="L100" s="4">
        <v>302</v>
      </c>
      <c r="M100" s="4">
        <v>2070</v>
      </c>
      <c r="N100" s="4">
        <v>349</v>
      </c>
      <c r="O100" s="4">
        <v>0</v>
      </c>
      <c r="Q100" s="4">
        <v>24006</v>
      </c>
      <c r="R100" s="4">
        <v>63086</v>
      </c>
      <c r="S100" s="4">
        <v>16838</v>
      </c>
      <c r="T100" s="4">
        <v>1175</v>
      </c>
      <c r="V100" s="4">
        <f t="shared" si="30"/>
        <v>0.87173833149577362</v>
      </c>
      <c r="W100" s="4">
        <f t="shared" si="31"/>
        <v>77</v>
      </c>
      <c r="X100" s="4">
        <v>0</v>
      </c>
      <c r="Y100" s="4">
        <v>168</v>
      </c>
      <c r="Z100" s="4">
        <v>0</v>
      </c>
      <c r="AA100" s="4">
        <v>0</v>
      </c>
      <c r="AC100" s="4">
        <v>10424</v>
      </c>
      <c r="AD100" s="4">
        <v>48580</v>
      </c>
      <c r="AE100" s="4">
        <v>12855</v>
      </c>
      <c r="AF100" s="4">
        <v>4247</v>
      </c>
      <c r="AH100" s="4">
        <f t="shared" si="32"/>
        <v>1</v>
      </c>
      <c r="AI100" s="4">
        <f t="shared" si="33"/>
        <v>1</v>
      </c>
      <c r="AJ100" s="4">
        <v>478</v>
      </c>
      <c r="AK100" s="4">
        <v>825</v>
      </c>
      <c r="AL100" s="4">
        <v>225</v>
      </c>
      <c r="AM100" s="4">
        <v>1193</v>
      </c>
      <c r="AN100" s="4">
        <f t="shared" si="34"/>
        <v>0.31282722513089006</v>
      </c>
      <c r="AO100" s="4">
        <f t="shared" si="35"/>
        <v>48</v>
      </c>
      <c r="AP100" s="4">
        <v>10941</v>
      </c>
      <c r="AQ100" s="4">
        <v>44226</v>
      </c>
      <c r="AR100" s="4">
        <v>24639</v>
      </c>
      <c r="AS100" s="4">
        <v>25299</v>
      </c>
      <c r="AT100" s="4">
        <v>37</v>
      </c>
      <c r="AU100" s="4">
        <v>131</v>
      </c>
      <c r="AV100" s="4">
        <v>0</v>
      </c>
      <c r="AW100" s="4">
        <v>0</v>
      </c>
      <c r="AX100" s="4">
        <f t="shared" si="36"/>
        <v>0.22023809523809523</v>
      </c>
      <c r="AY100" s="4">
        <f t="shared" si="37"/>
        <v>63</v>
      </c>
      <c r="AZ100" s="4">
        <v>18134</v>
      </c>
      <c r="BA100" s="4">
        <v>32675</v>
      </c>
      <c r="BB100" s="4">
        <v>25297</v>
      </c>
      <c r="BC100" s="4">
        <v>0</v>
      </c>
      <c r="BD100" s="5">
        <v>10571.237112999999</v>
      </c>
      <c r="BE100" s="5">
        <v>4134.5911939999996</v>
      </c>
      <c r="BF100" s="5">
        <v>21743.232726999999</v>
      </c>
      <c r="BG100" s="5">
        <f t="shared" si="38"/>
        <v>91</v>
      </c>
      <c r="BK100" s="5" t="str">
        <f t="shared" si="39"/>
        <v>N/A</v>
      </c>
      <c r="BL100" s="5">
        <v>10023.473237</v>
      </c>
      <c r="BM100" s="5">
        <v>5291.1082079999996</v>
      </c>
      <c r="BN100" s="5">
        <v>15751.190476</v>
      </c>
      <c r="BO100" s="5">
        <v>12749.887147000001</v>
      </c>
      <c r="BP100" s="5">
        <v>1016.622222</v>
      </c>
      <c r="BQ100" s="5">
        <v>24709.333332999999</v>
      </c>
      <c r="BR100" s="5">
        <v>10571.237112999999</v>
      </c>
      <c r="BS100" s="5">
        <v>4525.6289299999999</v>
      </c>
      <c r="BT100" s="5">
        <v>17545.036591</v>
      </c>
      <c r="BU100" s="5">
        <v>15133.233333</v>
      </c>
      <c r="BV100" s="5">
        <v>23429.45</v>
      </c>
      <c r="BW100" s="5">
        <v>19471.908211999998</v>
      </c>
      <c r="BX100" s="5">
        <v>34</v>
      </c>
      <c r="BY100" s="5">
        <v>19</v>
      </c>
      <c r="BZ100" s="5">
        <v>6</v>
      </c>
      <c r="CD100" s="143">
        <v>0.14716591431734938</v>
      </c>
      <c r="CE100" s="143">
        <v>-3.7869390733308972E-2</v>
      </c>
      <c r="CF100" s="143">
        <v>216445292.60999998</v>
      </c>
      <c r="CG100" s="144">
        <v>89.4</v>
      </c>
      <c r="CH100" s="144">
        <v>6.1</v>
      </c>
      <c r="CI100" s="144">
        <v>1.8</v>
      </c>
      <c r="CJ100" s="144">
        <v>92.9</v>
      </c>
      <c r="CK100" s="144">
        <v>4.7</v>
      </c>
      <c r="CL100" s="144">
        <v>0.8</v>
      </c>
      <c r="CM100" s="144">
        <v>97.4</v>
      </c>
      <c r="CN100" s="144">
        <v>98.4</v>
      </c>
    </row>
    <row r="101" spans="1:92" x14ac:dyDescent="0.3">
      <c r="A101">
        <v>851</v>
      </c>
      <c r="B101" s="1">
        <v>-8.08572179E-3</v>
      </c>
      <c r="C101" s="1">
        <v>5.7191690700000002E-3</v>
      </c>
      <c r="D101" s="1">
        <v>4.3631075000000004E-3</v>
      </c>
      <c r="E101" s="1">
        <v>-3.87831777E-3</v>
      </c>
      <c r="F101" s="2">
        <v>1375</v>
      </c>
      <c r="G101" s="2">
        <v>66</v>
      </c>
      <c r="H101" s="2">
        <v>50</v>
      </c>
      <c r="I101" s="2">
        <v>0</v>
      </c>
      <c r="J101" s="2">
        <v>360</v>
      </c>
      <c r="K101" s="2">
        <v>0</v>
      </c>
      <c r="L101" s="4">
        <v>0</v>
      </c>
      <c r="M101" s="4">
        <v>0</v>
      </c>
      <c r="N101" s="4">
        <v>420</v>
      </c>
      <c r="P101" s="4">
        <v>0</v>
      </c>
      <c r="Q101" s="4">
        <v>750</v>
      </c>
      <c r="R101" s="4">
        <v>10613</v>
      </c>
      <c r="S101" s="4">
        <v>2680</v>
      </c>
      <c r="U101" s="4">
        <v>1110</v>
      </c>
      <c r="V101" s="4">
        <f t="shared" si="30"/>
        <v>0</v>
      </c>
      <c r="W101" s="4">
        <f t="shared" si="31"/>
        <v>140</v>
      </c>
      <c r="X101" s="4">
        <v>0</v>
      </c>
      <c r="Y101" s="4">
        <v>200</v>
      </c>
      <c r="Z101" s="4">
        <v>0</v>
      </c>
      <c r="AB101" s="4">
        <v>0</v>
      </c>
      <c r="AC101" s="4">
        <v>0</v>
      </c>
      <c r="AD101" s="4">
        <v>4741</v>
      </c>
      <c r="AE101" s="4">
        <v>2200</v>
      </c>
      <c r="AG101" s="4">
        <v>0</v>
      </c>
      <c r="AH101" s="4">
        <f t="shared" si="32"/>
        <v>1</v>
      </c>
      <c r="AI101" s="4">
        <f t="shared" si="33"/>
        <v>1</v>
      </c>
      <c r="AJ101" s="4">
        <v>0</v>
      </c>
      <c r="AK101" s="4">
        <v>0</v>
      </c>
      <c r="AL101" s="4">
        <v>0</v>
      </c>
      <c r="AM101" s="4">
        <v>420</v>
      </c>
      <c r="AN101" s="4" t="str">
        <f t="shared" si="34"/>
        <v>N/A</v>
      </c>
      <c r="AO101" s="4" t="str">
        <f t="shared" si="35"/>
        <v>N/A</v>
      </c>
      <c r="AP101" s="4">
        <v>1560</v>
      </c>
      <c r="AQ101" s="4">
        <v>7020</v>
      </c>
      <c r="AR101" s="4">
        <v>2725</v>
      </c>
      <c r="AS101" s="4">
        <v>3848</v>
      </c>
      <c r="AT101" s="4">
        <v>200</v>
      </c>
      <c r="AU101" s="4">
        <v>0</v>
      </c>
      <c r="AV101" s="4">
        <v>0</v>
      </c>
      <c r="AW101" s="4">
        <v>0</v>
      </c>
      <c r="AX101" s="4">
        <f t="shared" si="36"/>
        <v>1</v>
      </c>
      <c r="AY101" s="4">
        <f t="shared" si="37"/>
        <v>1</v>
      </c>
      <c r="AZ101" s="4">
        <v>2661</v>
      </c>
      <c r="BA101" s="4">
        <v>1080</v>
      </c>
      <c r="BB101" s="4">
        <v>3200</v>
      </c>
      <c r="BC101" s="4">
        <v>0</v>
      </c>
      <c r="BD101" s="5">
        <v>5109.962861</v>
      </c>
      <c r="BE101" s="5">
        <v>3376.7959179999998</v>
      </c>
      <c r="BG101" s="5">
        <f t="shared" si="38"/>
        <v>13</v>
      </c>
      <c r="BK101" s="5" t="str">
        <f t="shared" si="39"/>
        <v>N/A</v>
      </c>
      <c r="BL101" s="5">
        <v>10390.415034000001</v>
      </c>
      <c r="BM101" s="5">
        <v>3331.4736379999999</v>
      </c>
      <c r="BN101" s="5">
        <v>14323.098808999999</v>
      </c>
      <c r="BO101" s="5">
        <v>11008.771929</v>
      </c>
      <c r="BP101" s="5">
        <v>0</v>
      </c>
      <c r="BQ101" s="5">
        <v>22527.364165999999</v>
      </c>
      <c r="BR101" s="5">
        <v>10571.237112999999</v>
      </c>
      <c r="BS101" s="5">
        <v>4525.6289299999999</v>
      </c>
      <c r="BT101" s="5">
        <v>17545.036591</v>
      </c>
      <c r="BU101" s="5">
        <v>15133.233333</v>
      </c>
      <c r="BV101" s="5">
        <v>23429.45</v>
      </c>
      <c r="BW101" s="5">
        <v>19471.908211999998</v>
      </c>
      <c r="BX101" s="5">
        <v>8</v>
      </c>
      <c r="BY101" s="5">
        <v>5</v>
      </c>
      <c r="CD101" s="143">
        <v>0.20877153725665698</v>
      </c>
      <c r="CE101" s="143">
        <v>-1.0082493125572856E-2</v>
      </c>
      <c r="CF101" s="143">
        <v>20782258.300000001</v>
      </c>
      <c r="CG101" s="144">
        <v>87.2</v>
      </c>
      <c r="CH101" s="144">
        <v>7.4</v>
      </c>
      <c r="CI101" s="144">
        <v>1.4</v>
      </c>
      <c r="CJ101" s="144">
        <v>86.5</v>
      </c>
      <c r="CK101" s="144">
        <v>5.9</v>
      </c>
      <c r="CL101" s="144">
        <v>1.8</v>
      </c>
      <c r="CM101" s="144">
        <v>96</v>
      </c>
      <c r="CN101" s="144">
        <v>94.2</v>
      </c>
    </row>
    <row r="102" spans="1:92" x14ac:dyDescent="0.3">
      <c r="A102">
        <v>852</v>
      </c>
      <c r="B102" s="1">
        <v>5.43183052E-3</v>
      </c>
      <c r="C102" s="1">
        <v>1.6295491499999999E-3</v>
      </c>
      <c r="D102" s="1">
        <v>-2.0879005999999999E-4</v>
      </c>
      <c r="E102" s="1">
        <v>-1.0439502999999999E-4</v>
      </c>
      <c r="F102" s="2">
        <v>3988</v>
      </c>
      <c r="G102" s="2">
        <v>372</v>
      </c>
      <c r="H102" s="2">
        <v>170</v>
      </c>
      <c r="I102" s="2">
        <v>0</v>
      </c>
      <c r="J102" s="2">
        <v>570</v>
      </c>
      <c r="K102" s="2">
        <v>300</v>
      </c>
      <c r="L102" s="4">
        <v>49</v>
      </c>
      <c r="M102" s="4">
        <v>130</v>
      </c>
      <c r="N102" s="4">
        <v>0</v>
      </c>
      <c r="O102" s="4">
        <v>0</v>
      </c>
      <c r="P102" s="4">
        <v>0</v>
      </c>
      <c r="Q102" s="4">
        <v>4158</v>
      </c>
      <c r="R102" s="4">
        <v>12423</v>
      </c>
      <c r="S102" s="4">
        <v>2993</v>
      </c>
      <c r="T102" s="4">
        <v>720</v>
      </c>
      <c r="U102" s="4">
        <v>417</v>
      </c>
      <c r="V102" s="4">
        <f t="shared" si="30"/>
        <v>1</v>
      </c>
      <c r="W102" s="4">
        <f t="shared" si="31"/>
        <v>1</v>
      </c>
      <c r="X102" s="4">
        <v>0</v>
      </c>
      <c r="Y102" s="4">
        <v>42</v>
      </c>
      <c r="Z102" s="4">
        <v>0</v>
      </c>
      <c r="AA102" s="4">
        <v>0</v>
      </c>
      <c r="AB102" s="4">
        <v>0</v>
      </c>
      <c r="AC102" s="4">
        <v>1050</v>
      </c>
      <c r="AD102" s="4">
        <v>8291</v>
      </c>
      <c r="AE102" s="4">
        <v>2961</v>
      </c>
      <c r="AF102" s="4">
        <v>0</v>
      </c>
      <c r="AG102" s="4">
        <v>0</v>
      </c>
      <c r="AH102" s="4">
        <f t="shared" si="32"/>
        <v>1</v>
      </c>
      <c r="AI102" s="4">
        <f t="shared" si="33"/>
        <v>1</v>
      </c>
      <c r="AJ102" s="4">
        <v>79</v>
      </c>
      <c r="AK102" s="4">
        <v>0</v>
      </c>
      <c r="AL102" s="4">
        <v>60</v>
      </c>
      <c r="AM102" s="4">
        <v>40</v>
      </c>
      <c r="AN102" s="4">
        <f t="shared" si="34"/>
        <v>0.56834532374100721</v>
      </c>
      <c r="AO102" s="4">
        <f t="shared" si="35"/>
        <v>20</v>
      </c>
      <c r="AP102" s="4">
        <v>4853</v>
      </c>
      <c r="AQ102" s="4">
        <v>6593</v>
      </c>
      <c r="AR102" s="4">
        <v>5882</v>
      </c>
      <c r="AS102" s="4">
        <v>3383</v>
      </c>
      <c r="AT102" s="4">
        <v>0</v>
      </c>
      <c r="AU102" s="4">
        <v>0</v>
      </c>
      <c r="AV102" s="4">
        <v>42</v>
      </c>
      <c r="AW102" s="4">
        <v>0</v>
      </c>
      <c r="AX102" s="4">
        <f t="shared" si="36"/>
        <v>0</v>
      </c>
      <c r="AY102" s="4">
        <f t="shared" si="37"/>
        <v>73</v>
      </c>
      <c r="AZ102" s="4">
        <v>4493</v>
      </c>
      <c r="BA102" s="4">
        <v>3640</v>
      </c>
      <c r="BB102" s="4">
        <v>4169</v>
      </c>
      <c r="BC102" s="4">
        <v>0</v>
      </c>
      <c r="BD102" s="5">
        <v>5551.0028650000004</v>
      </c>
      <c r="BE102" s="5">
        <v>1000</v>
      </c>
      <c r="BF102" s="5">
        <v>13024.144444</v>
      </c>
      <c r="BG102" s="5">
        <f t="shared" si="38"/>
        <v>16</v>
      </c>
      <c r="BK102" s="5" t="str">
        <f t="shared" si="39"/>
        <v>N/A</v>
      </c>
      <c r="BL102" s="5">
        <v>9642.3555185000005</v>
      </c>
      <c r="BM102" s="5">
        <v>3376.7959179999998</v>
      </c>
      <c r="BN102" s="5">
        <v>14323.098808999999</v>
      </c>
      <c r="BO102" s="5">
        <v>11008.771929</v>
      </c>
      <c r="BP102" s="5">
        <v>0</v>
      </c>
      <c r="BQ102" s="5">
        <v>22527.364165999999</v>
      </c>
      <c r="BR102" s="5">
        <v>10571.237112999999</v>
      </c>
      <c r="BS102" s="5">
        <v>4525.6289299999999</v>
      </c>
      <c r="BT102" s="5">
        <v>17545.036591</v>
      </c>
      <c r="BU102" s="5">
        <v>15133.233333</v>
      </c>
      <c r="BV102" s="5">
        <v>23429.45</v>
      </c>
      <c r="BW102" s="5">
        <v>19471.908211999998</v>
      </c>
      <c r="BX102" s="5">
        <v>23</v>
      </c>
      <c r="BY102" s="5">
        <v>1</v>
      </c>
      <c r="BZ102" s="5">
        <v>3</v>
      </c>
      <c r="CD102" s="143">
        <v>0.28039591315453394</v>
      </c>
      <c r="CE102" s="143">
        <v>0.20792079207920788</v>
      </c>
      <c r="CF102" s="143">
        <v>39445736.460000001</v>
      </c>
      <c r="CG102" s="144">
        <v>85.6</v>
      </c>
      <c r="CH102" s="144">
        <v>7.6</v>
      </c>
      <c r="CI102" s="144">
        <v>2.6</v>
      </c>
      <c r="CJ102" s="144">
        <v>88.5</v>
      </c>
      <c r="CK102" s="144">
        <v>7.1</v>
      </c>
      <c r="CL102" s="144">
        <v>1.6</v>
      </c>
      <c r="CM102" s="144">
        <v>95.9</v>
      </c>
      <c r="CN102" s="144">
        <v>97.3</v>
      </c>
    </row>
    <row r="103" spans="1:92" x14ac:dyDescent="0.3">
      <c r="A103">
        <v>855</v>
      </c>
      <c r="B103" s="1">
        <v>-3.51319875E-3</v>
      </c>
      <c r="C103" s="1">
        <v>-6.2500000000000003E-3</v>
      </c>
      <c r="D103" s="1">
        <v>3.9007703800000001E-2</v>
      </c>
      <c r="E103" s="1">
        <v>5.40416235E-3</v>
      </c>
      <c r="F103" s="2">
        <v>218</v>
      </c>
      <c r="G103" s="2">
        <v>2773</v>
      </c>
      <c r="H103" s="2">
        <v>1090</v>
      </c>
      <c r="I103" s="2">
        <v>970</v>
      </c>
      <c r="J103" s="2">
        <v>2633</v>
      </c>
      <c r="K103" s="2">
        <v>879</v>
      </c>
      <c r="L103" s="4">
        <v>0</v>
      </c>
      <c r="M103" s="4">
        <v>405</v>
      </c>
      <c r="N103" s="4">
        <v>0</v>
      </c>
      <c r="O103" s="4">
        <v>0</v>
      </c>
      <c r="Q103" s="4">
        <v>9131</v>
      </c>
      <c r="R103" s="4">
        <v>35858</v>
      </c>
      <c r="S103" s="4">
        <v>7742</v>
      </c>
      <c r="T103" s="4">
        <v>240</v>
      </c>
      <c r="V103" s="4">
        <f t="shared" si="30"/>
        <v>1</v>
      </c>
      <c r="W103" s="4">
        <f t="shared" si="31"/>
        <v>1</v>
      </c>
      <c r="X103" s="4">
        <v>23</v>
      </c>
      <c r="Y103" s="4">
        <v>210</v>
      </c>
      <c r="Z103" s="4">
        <v>21</v>
      </c>
      <c r="AA103" s="4">
        <v>0</v>
      </c>
      <c r="AC103" s="4">
        <v>8942</v>
      </c>
      <c r="AD103" s="4">
        <v>27985</v>
      </c>
      <c r="AE103" s="4">
        <v>7164</v>
      </c>
      <c r="AF103" s="4">
        <v>2254</v>
      </c>
      <c r="AH103" s="4">
        <f t="shared" si="32"/>
        <v>0.91732283464566933</v>
      </c>
      <c r="AI103" s="4">
        <f t="shared" si="33"/>
        <v>65</v>
      </c>
      <c r="AJ103" s="4">
        <v>53</v>
      </c>
      <c r="AK103" s="4">
        <v>117</v>
      </c>
      <c r="AL103" s="4">
        <v>235</v>
      </c>
      <c r="AM103" s="4">
        <v>0</v>
      </c>
      <c r="AN103" s="4">
        <f t="shared" si="34"/>
        <v>0.1308641975308642</v>
      </c>
      <c r="AO103" s="4">
        <f t="shared" si="35"/>
        <v>73</v>
      </c>
      <c r="AP103" s="4">
        <v>3761</v>
      </c>
      <c r="AQ103" s="4">
        <v>24819</v>
      </c>
      <c r="AR103" s="4">
        <v>16613</v>
      </c>
      <c r="AS103" s="4">
        <v>7778</v>
      </c>
      <c r="AT103" s="4">
        <v>210</v>
      </c>
      <c r="AU103" s="4">
        <v>0</v>
      </c>
      <c r="AV103" s="4">
        <v>21</v>
      </c>
      <c r="AW103" s="4">
        <v>23</v>
      </c>
      <c r="AX103" s="4">
        <f t="shared" si="36"/>
        <v>0.90909090909090906</v>
      </c>
      <c r="AY103" s="4">
        <f t="shared" si="37"/>
        <v>30</v>
      </c>
      <c r="AZ103" s="4">
        <v>7581</v>
      </c>
      <c r="BA103" s="4">
        <v>9581</v>
      </c>
      <c r="BB103" s="4">
        <v>11371</v>
      </c>
      <c r="BC103" s="4">
        <v>17812</v>
      </c>
      <c r="BD103" s="5">
        <v>7094.7443290000001</v>
      </c>
      <c r="BE103" s="5">
        <v>5291.1082079999996</v>
      </c>
      <c r="BG103" s="5">
        <f t="shared" si="38"/>
        <v>40</v>
      </c>
      <c r="BH103" s="5">
        <v>9654.0593100000006</v>
      </c>
      <c r="BI103" s="5">
        <v>1016.622222</v>
      </c>
      <c r="BK103" s="5">
        <f t="shared" si="39"/>
        <v>17</v>
      </c>
      <c r="BL103" s="5">
        <v>10762.285222999999</v>
      </c>
      <c r="BM103" s="5">
        <v>4372.1777769999999</v>
      </c>
      <c r="BN103" s="5">
        <v>19172.776666000002</v>
      </c>
      <c r="BO103" s="5">
        <v>13267.030004</v>
      </c>
      <c r="BP103" s="5">
        <v>0</v>
      </c>
      <c r="BQ103" s="5">
        <v>0</v>
      </c>
      <c r="BR103" s="5">
        <v>7581.9538860000002</v>
      </c>
      <c r="BS103" s="5">
        <v>3750</v>
      </c>
      <c r="BT103" s="5">
        <v>21956.25</v>
      </c>
      <c r="BU103" s="5">
        <v>10331.4156195</v>
      </c>
      <c r="BV103" s="5">
        <v>2258.311111</v>
      </c>
      <c r="BW103" s="5">
        <v>0</v>
      </c>
      <c r="BX103" s="5">
        <v>28</v>
      </c>
      <c r="BY103" s="5">
        <v>6</v>
      </c>
      <c r="CA103" s="5">
        <v>5</v>
      </c>
      <c r="CB103" s="5">
        <v>2</v>
      </c>
      <c r="CD103" s="143">
        <v>0.12879321051542125</v>
      </c>
      <c r="CE103" s="143">
        <v>4.851973684210531E-3</v>
      </c>
      <c r="CF103" s="143">
        <v>96809967.63000001</v>
      </c>
      <c r="CG103" s="144">
        <v>89</v>
      </c>
      <c r="CH103" s="144">
        <v>5.0999999999999996</v>
      </c>
      <c r="CI103" s="144">
        <v>1.5</v>
      </c>
      <c r="CJ103" s="144">
        <v>94.3</v>
      </c>
      <c r="CK103" s="144">
        <v>3.1</v>
      </c>
      <c r="CL103" s="144">
        <v>0.4</v>
      </c>
      <c r="CM103" s="144">
        <v>95.5</v>
      </c>
      <c r="CN103" s="144">
        <v>97.9</v>
      </c>
    </row>
    <row r="104" spans="1:92" x14ac:dyDescent="0.3">
      <c r="A104">
        <v>856</v>
      </c>
      <c r="B104" s="1">
        <v>1.8566408E-3</v>
      </c>
      <c r="C104" s="1">
        <v>-1.186923944E-2</v>
      </c>
      <c r="D104" s="1">
        <v>-3.6395864100000001E-2</v>
      </c>
      <c r="E104" s="1">
        <v>-2.1920236329999999E-2</v>
      </c>
      <c r="F104" s="2">
        <v>3902</v>
      </c>
      <c r="G104" s="2">
        <v>0</v>
      </c>
      <c r="H104" s="2">
        <v>640</v>
      </c>
      <c r="I104" s="2">
        <v>1090</v>
      </c>
      <c r="J104" s="2">
        <v>1855</v>
      </c>
      <c r="K104" s="2">
        <v>0</v>
      </c>
      <c r="L104" s="4">
        <v>90</v>
      </c>
      <c r="M104" s="4">
        <v>770</v>
      </c>
      <c r="N104" s="4">
        <v>241</v>
      </c>
      <c r="O104" s="4">
        <v>49</v>
      </c>
      <c r="Q104" s="4">
        <v>4491</v>
      </c>
      <c r="R104" s="4">
        <v>16088</v>
      </c>
      <c r="S104" s="4">
        <v>7492</v>
      </c>
      <c r="T104" s="4">
        <v>1214</v>
      </c>
      <c r="V104" s="4">
        <f t="shared" si="30"/>
        <v>0.74782608695652175</v>
      </c>
      <c r="W104" s="4">
        <f t="shared" si="31"/>
        <v>108</v>
      </c>
      <c r="X104" s="4">
        <v>0</v>
      </c>
      <c r="Y104" s="4">
        <v>99</v>
      </c>
      <c r="Z104" s="4">
        <v>42</v>
      </c>
      <c r="AA104" s="4">
        <v>0</v>
      </c>
      <c r="AC104" s="4">
        <v>5027</v>
      </c>
      <c r="AD104" s="4">
        <v>9931</v>
      </c>
      <c r="AE104" s="4">
        <v>3090</v>
      </c>
      <c r="AF104" s="4">
        <v>600</v>
      </c>
      <c r="AH104" s="4">
        <f t="shared" si="32"/>
        <v>0.7021276595744681</v>
      </c>
      <c r="AI104" s="4">
        <f t="shared" si="33"/>
        <v>77</v>
      </c>
      <c r="AJ104" s="4">
        <v>155</v>
      </c>
      <c r="AK104" s="4">
        <v>684</v>
      </c>
      <c r="AL104" s="4">
        <v>251</v>
      </c>
      <c r="AM104" s="4">
        <v>60</v>
      </c>
      <c r="AN104" s="4">
        <f t="shared" si="34"/>
        <v>0.14220183486238533</v>
      </c>
      <c r="AO104" s="4">
        <f t="shared" si="35"/>
        <v>71</v>
      </c>
      <c r="AP104" s="4">
        <v>5529</v>
      </c>
      <c r="AQ104" s="4">
        <v>15501</v>
      </c>
      <c r="AR104" s="4">
        <v>5609</v>
      </c>
      <c r="AS104" s="4">
        <v>2646</v>
      </c>
      <c r="AT104" s="4">
        <v>0</v>
      </c>
      <c r="AU104" s="4">
        <v>0</v>
      </c>
      <c r="AV104" s="4">
        <v>141</v>
      </c>
      <c r="AW104" s="4">
        <v>0</v>
      </c>
      <c r="AX104" s="4">
        <f t="shared" si="36"/>
        <v>0</v>
      </c>
      <c r="AY104" s="4">
        <f t="shared" si="37"/>
        <v>73</v>
      </c>
      <c r="AZ104" s="4">
        <v>5327</v>
      </c>
      <c r="BA104" s="4">
        <v>4650</v>
      </c>
      <c r="BB104" s="4">
        <v>8671</v>
      </c>
      <c r="BC104" s="4">
        <v>0</v>
      </c>
      <c r="BD104" s="5">
        <v>6807.1791119999998</v>
      </c>
      <c r="BE104" s="5">
        <v>1222.2222220000001</v>
      </c>
      <c r="BG104" s="5">
        <f t="shared" si="38"/>
        <v>35</v>
      </c>
      <c r="BK104" s="5" t="str">
        <f t="shared" si="39"/>
        <v>N/A</v>
      </c>
      <c r="BL104" s="5">
        <v>9573.9788234999996</v>
      </c>
      <c r="BM104" s="5">
        <v>4173.8894920000002</v>
      </c>
      <c r="BN104" s="5">
        <v>13807.801587</v>
      </c>
      <c r="BO104" s="5">
        <v>8677.536666</v>
      </c>
      <c r="BP104" s="5">
        <v>0</v>
      </c>
      <c r="BQ104" s="5">
        <v>17276.650324999999</v>
      </c>
      <c r="BR104" s="5">
        <v>7581.9538860000002</v>
      </c>
      <c r="BS104" s="5">
        <v>3750</v>
      </c>
      <c r="BT104" s="5">
        <v>21956.25</v>
      </c>
      <c r="BU104" s="5">
        <v>10331.4156195</v>
      </c>
      <c r="BV104" s="5">
        <v>2258.311111</v>
      </c>
      <c r="BW104" s="5">
        <v>0</v>
      </c>
      <c r="BX104" s="5">
        <v>20</v>
      </c>
      <c r="BY104" s="5">
        <v>3</v>
      </c>
      <c r="CD104" s="143">
        <v>0.30598906757506139</v>
      </c>
      <c r="CE104" s="143">
        <v>0.15756035578144845</v>
      </c>
      <c r="CF104" s="143">
        <v>137399398.83000001</v>
      </c>
      <c r="CG104" s="144">
        <v>88</v>
      </c>
      <c r="CH104" s="144">
        <v>6.2</v>
      </c>
      <c r="CI104" s="144">
        <v>2.1</v>
      </c>
      <c r="CJ104" s="144">
        <v>87.9</v>
      </c>
      <c r="CK104" s="144">
        <v>7.7</v>
      </c>
      <c r="CL104" s="144">
        <v>1.2</v>
      </c>
      <c r="CM104" s="144">
        <v>96.3</v>
      </c>
      <c r="CN104" s="144">
        <v>96.8</v>
      </c>
    </row>
    <row r="105" spans="1:92" x14ac:dyDescent="0.3">
      <c r="A105">
        <v>857</v>
      </c>
      <c r="B105" s="1">
        <v>5.6964351339999997E-2</v>
      </c>
      <c r="C105" s="1">
        <v>3.675119441E-2</v>
      </c>
      <c r="D105" s="1">
        <v>-1.19952019E-3</v>
      </c>
      <c r="E105" s="1">
        <v>1.1995201909999999E-2</v>
      </c>
      <c r="F105" s="2">
        <v>0</v>
      </c>
      <c r="G105" s="2">
        <v>393</v>
      </c>
      <c r="H105" s="2">
        <v>0</v>
      </c>
      <c r="I105" s="2">
        <v>0</v>
      </c>
      <c r="J105" s="2">
        <v>120</v>
      </c>
      <c r="K105" s="2">
        <v>130</v>
      </c>
      <c r="L105" s="4">
        <v>35</v>
      </c>
      <c r="M105" s="4">
        <v>56</v>
      </c>
      <c r="N105" s="4">
        <v>150</v>
      </c>
      <c r="Q105" s="4">
        <v>568</v>
      </c>
      <c r="R105" s="4">
        <v>1744</v>
      </c>
      <c r="S105" s="4">
        <v>472</v>
      </c>
      <c r="V105" s="4">
        <f t="shared" si="30"/>
        <v>0.37759336099585061</v>
      </c>
      <c r="W105" s="4">
        <f t="shared" si="31"/>
        <v>136</v>
      </c>
      <c r="X105" s="4">
        <v>0</v>
      </c>
      <c r="Y105" s="4">
        <v>0</v>
      </c>
      <c r="Z105" s="4">
        <v>0</v>
      </c>
      <c r="AC105" s="4">
        <v>900</v>
      </c>
      <c r="AD105" s="4">
        <v>915</v>
      </c>
      <c r="AE105" s="4">
        <v>1329</v>
      </c>
      <c r="AH105" s="4" t="str">
        <f t="shared" si="32"/>
        <v>N/A</v>
      </c>
      <c r="AI105" s="4" t="str">
        <f t="shared" si="33"/>
        <v>N/A</v>
      </c>
      <c r="AJ105" s="4">
        <v>0</v>
      </c>
      <c r="AK105" s="4">
        <v>206</v>
      </c>
      <c r="AL105" s="4">
        <v>35</v>
      </c>
      <c r="AM105" s="4">
        <v>0</v>
      </c>
      <c r="AN105" s="4">
        <f t="shared" si="34"/>
        <v>0</v>
      </c>
      <c r="AO105" s="4">
        <f t="shared" si="35"/>
        <v>100</v>
      </c>
      <c r="AP105" s="4">
        <v>126</v>
      </c>
      <c r="AQ105" s="4">
        <v>1766</v>
      </c>
      <c r="AR105" s="4">
        <v>735</v>
      </c>
      <c r="AS105" s="4">
        <v>157</v>
      </c>
      <c r="AT105" s="4">
        <v>0</v>
      </c>
      <c r="AU105" s="4">
        <v>0</v>
      </c>
      <c r="AW105" s="4">
        <v>0</v>
      </c>
      <c r="AX105" s="4" t="str">
        <f t="shared" si="36"/>
        <v>N/A</v>
      </c>
      <c r="AY105" s="4" t="str">
        <f t="shared" si="37"/>
        <v>N/A</v>
      </c>
      <c r="AZ105" s="4">
        <v>900</v>
      </c>
      <c r="BA105" s="4">
        <v>2244</v>
      </c>
      <c r="BC105" s="4">
        <v>0</v>
      </c>
      <c r="BD105" s="5">
        <v>6828.5714280000002</v>
      </c>
      <c r="BF105" s="5">
        <v>21956.25</v>
      </c>
      <c r="BG105" s="5">
        <f t="shared" si="38"/>
        <v>36</v>
      </c>
      <c r="BK105" s="5" t="str">
        <f t="shared" si="39"/>
        <v>N/A</v>
      </c>
      <c r="BL105" s="5">
        <v>10388.068445000001</v>
      </c>
      <c r="BM105" s="5">
        <v>3539.393939</v>
      </c>
      <c r="BN105" s="5">
        <v>19172.776666000002</v>
      </c>
      <c r="BO105" s="5">
        <v>13267.030004</v>
      </c>
      <c r="BP105" s="5">
        <v>0</v>
      </c>
      <c r="BQ105" s="5">
        <v>22090.620772499999</v>
      </c>
      <c r="BR105" s="5">
        <v>7581.9538860000002</v>
      </c>
      <c r="BS105" s="5">
        <v>3750</v>
      </c>
      <c r="BT105" s="5">
        <v>21956.25</v>
      </c>
      <c r="BU105" s="5">
        <v>10331.4156195</v>
      </c>
      <c r="BV105" s="5">
        <v>2258.311111</v>
      </c>
      <c r="BW105" s="5">
        <v>0</v>
      </c>
      <c r="BX105" s="5">
        <v>3</v>
      </c>
      <c r="BZ105" s="5">
        <v>1</v>
      </c>
      <c r="CD105" s="143">
        <v>0.17505030181086512</v>
      </c>
      <c r="CE105" s="143">
        <v>0.13630626840555315</v>
      </c>
      <c r="CF105" s="143">
        <v>4283834.41</v>
      </c>
      <c r="CG105" s="144">
        <v>92.1</v>
      </c>
      <c r="CH105" s="144">
        <v>4.4000000000000004</v>
      </c>
      <c r="CI105" s="144">
        <v>1.6</v>
      </c>
      <c r="CJ105" s="144">
        <v>91.8</v>
      </c>
      <c r="CK105" s="144">
        <v>5.2</v>
      </c>
      <c r="CL105" s="144">
        <v>0.6</v>
      </c>
      <c r="CM105" s="144">
        <v>98.1</v>
      </c>
      <c r="CN105" s="144">
        <v>97.6</v>
      </c>
    </row>
    <row r="106" spans="1:92" x14ac:dyDescent="0.3">
      <c r="A106">
        <v>860</v>
      </c>
      <c r="B106" s="1">
        <v>1.6076064170000001E-2</v>
      </c>
      <c r="C106" s="1">
        <v>-2.5021111499999998E-3</v>
      </c>
      <c r="D106" s="1">
        <v>3.3802087010000002E-2</v>
      </c>
      <c r="E106" s="1">
        <v>8.1737450799999993E-3</v>
      </c>
      <c r="F106" s="2">
        <v>3216</v>
      </c>
      <c r="G106" s="2">
        <v>1468</v>
      </c>
      <c r="H106" s="2">
        <v>420</v>
      </c>
      <c r="I106" s="2">
        <v>250</v>
      </c>
      <c r="J106" s="2">
        <v>4250</v>
      </c>
      <c r="K106" s="2">
        <v>516</v>
      </c>
      <c r="L106" s="4">
        <v>135</v>
      </c>
      <c r="M106" s="4">
        <v>627</v>
      </c>
      <c r="N106" s="4">
        <v>170</v>
      </c>
      <c r="O106" s="4">
        <v>15</v>
      </c>
      <c r="P106" s="4">
        <v>0</v>
      </c>
      <c r="Q106" s="4">
        <v>7779</v>
      </c>
      <c r="R106" s="4">
        <v>44108</v>
      </c>
      <c r="S106" s="4">
        <v>12310</v>
      </c>
      <c r="T106" s="4">
        <v>2108</v>
      </c>
      <c r="U106" s="4">
        <v>0</v>
      </c>
      <c r="V106" s="4">
        <f t="shared" si="30"/>
        <v>0.80464625131995771</v>
      </c>
      <c r="W106" s="4">
        <f t="shared" si="31"/>
        <v>92</v>
      </c>
      <c r="X106" s="4">
        <v>0</v>
      </c>
      <c r="Y106" s="4">
        <v>21</v>
      </c>
      <c r="Z106" s="4">
        <v>135</v>
      </c>
      <c r="AA106" s="4">
        <v>0</v>
      </c>
      <c r="AB106" s="4">
        <v>0</v>
      </c>
      <c r="AC106" s="4">
        <v>2362</v>
      </c>
      <c r="AD106" s="4">
        <v>34678</v>
      </c>
      <c r="AE106" s="4">
        <v>17112</v>
      </c>
      <c r="AF106" s="4">
        <v>1791</v>
      </c>
      <c r="AG106" s="4">
        <v>866</v>
      </c>
      <c r="AH106" s="4">
        <f t="shared" si="32"/>
        <v>0.13461538461538461</v>
      </c>
      <c r="AI106" s="4">
        <f t="shared" si="33"/>
        <v>89</v>
      </c>
      <c r="AJ106" s="4">
        <v>63</v>
      </c>
      <c r="AK106" s="4">
        <v>593</v>
      </c>
      <c r="AL106" s="4">
        <v>270</v>
      </c>
      <c r="AM106" s="4">
        <v>21</v>
      </c>
      <c r="AN106" s="4">
        <f t="shared" si="34"/>
        <v>6.8034557235421164E-2</v>
      </c>
      <c r="AO106" s="4">
        <f t="shared" si="35"/>
        <v>89</v>
      </c>
      <c r="AP106" s="4">
        <v>9276</v>
      </c>
      <c r="AQ106" s="4">
        <v>29394</v>
      </c>
      <c r="AR106" s="4">
        <v>16574</v>
      </c>
      <c r="AS106" s="4">
        <v>11061</v>
      </c>
      <c r="AT106" s="4">
        <v>25</v>
      </c>
      <c r="AU106" s="4">
        <v>131</v>
      </c>
      <c r="AV106" s="4">
        <v>0</v>
      </c>
      <c r="AW106" s="4">
        <v>0</v>
      </c>
      <c r="AX106" s="4">
        <f t="shared" si="36"/>
        <v>0.16025641025641027</v>
      </c>
      <c r="AY106" s="4">
        <f t="shared" si="37"/>
        <v>65</v>
      </c>
      <c r="AZ106" s="4">
        <v>10113</v>
      </c>
      <c r="BA106" s="4">
        <v>24725</v>
      </c>
      <c r="BB106" s="4">
        <v>17893</v>
      </c>
      <c r="BC106" s="4">
        <v>4078</v>
      </c>
      <c r="BD106" s="5">
        <v>12064.787877999999</v>
      </c>
      <c r="BE106" s="5">
        <v>6300</v>
      </c>
      <c r="BF106" s="5">
        <v>24105.388953999998</v>
      </c>
      <c r="BG106" s="5">
        <f t="shared" si="38"/>
        <v>110</v>
      </c>
      <c r="BK106" s="5" t="str">
        <f t="shared" si="39"/>
        <v>N/A</v>
      </c>
      <c r="BL106" s="5">
        <v>9661.5648414999996</v>
      </c>
      <c r="BM106" s="5">
        <v>3727.0124999999998</v>
      </c>
      <c r="BN106" s="5">
        <v>20816.744811500001</v>
      </c>
      <c r="BO106" s="5">
        <v>12209.933333000001</v>
      </c>
      <c r="BP106" s="5">
        <v>2908.333333</v>
      </c>
      <c r="BQ106" s="5">
        <v>0</v>
      </c>
      <c r="BR106" s="5">
        <v>9741.1953059999996</v>
      </c>
      <c r="BS106" s="5">
        <v>3330.1900734999999</v>
      </c>
      <c r="BT106" s="5">
        <v>17819.047618500001</v>
      </c>
      <c r="BU106" s="5">
        <v>11195.911189999999</v>
      </c>
      <c r="BV106" s="5">
        <v>0</v>
      </c>
      <c r="BW106" s="5">
        <v>17276.650324999999</v>
      </c>
      <c r="BX106" s="5">
        <v>11</v>
      </c>
      <c r="BY106" s="5">
        <v>1</v>
      </c>
      <c r="BZ106" s="5">
        <v>3</v>
      </c>
      <c r="CD106" s="143">
        <v>0.10722385272145152</v>
      </c>
      <c r="CE106" s="143">
        <v>-7.1131737158527608E-2</v>
      </c>
      <c r="CF106" s="143">
        <v>95116024.180000007</v>
      </c>
      <c r="CG106" s="144">
        <v>90.6</v>
      </c>
      <c r="CH106" s="144">
        <v>5.0999999999999996</v>
      </c>
      <c r="CI106" s="144">
        <v>1.3</v>
      </c>
      <c r="CJ106" s="144">
        <v>94</v>
      </c>
      <c r="CK106" s="144">
        <v>3.7</v>
      </c>
      <c r="CL106" s="144">
        <v>0.7</v>
      </c>
      <c r="CM106" s="144">
        <v>97</v>
      </c>
      <c r="CN106" s="144">
        <v>98.3</v>
      </c>
    </row>
    <row r="107" spans="1:92" x14ac:dyDescent="0.3">
      <c r="A107">
        <v>861</v>
      </c>
      <c r="B107" s="1">
        <v>1.7454476799999999E-3</v>
      </c>
      <c r="C107" s="1">
        <v>1.0897254449999999E-2</v>
      </c>
      <c r="D107" s="1">
        <v>3.8481539260000003E-2</v>
      </c>
      <c r="E107" s="1">
        <v>-8.6670132999999998E-4</v>
      </c>
      <c r="F107" s="2">
        <v>3795</v>
      </c>
      <c r="G107" s="2">
        <v>0</v>
      </c>
      <c r="H107" s="2">
        <v>0</v>
      </c>
      <c r="I107" s="2">
        <v>0</v>
      </c>
      <c r="J107" s="2">
        <v>540</v>
      </c>
      <c r="K107" s="2">
        <v>0</v>
      </c>
      <c r="L107" s="4">
        <v>21</v>
      </c>
      <c r="M107" s="4">
        <v>541</v>
      </c>
      <c r="N107" s="4">
        <v>210</v>
      </c>
      <c r="O107" s="4">
        <v>0</v>
      </c>
      <c r="Q107" s="4">
        <v>2454</v>
      </c>
      <c r="R107" s="4">
        <v>14383</v>
      </c>
      <c r="S107" s="4">
        <v>3700</v>
      </c>
      <c r="T107" s="4">
        <v>1335</v>
      </c>
      <c r="V107" s="4">
        <f t="shared" si="30"/>
        <v>0.727979274611399</v>
      </c>
      <c r="W107" s="4">
        <f t="shared" si="31"/>
        <v>111</v>
      </c>
      <c r="X107" s="4">
        <v>0</v>
      </c>
      <c r="Y107" s="4">
        <v>0</v>
      </c>
      <c r="Z107" s="4">
        <v>0</v>
      </c>
      <c r="AA107" s="4">
        <v>0</v>
      </c>
      <c r="AC107" s="4">
        <v>1060</v>
      </c>
      <c r="AD107" s="4">
        <v>6450</v>
      </c>
      <c r="AE107" s="4">
        <v>2935</v>
      </c>
      <c r="AF107" s="4">
        <v>4404</v>
      </c>
      <c r="AH107" s="4" t="str">
        <f t="shared" si="32"/>
        <v>N/A</v>
      </c>
      <c r="AI107" s="4" t="str">
        <f t="shared" si="33"/>
        <v>N/A</v>
      </c>
      <c r="AJ107" s="4">
        <v>521</v>
      </c>
      <c r="AK107" s="4">
        <v>251</v>
      </c>
      <c r="AL107" s="4">
        <v>0</v>
      </c>
      <c r="AM107" s="4">
        <v>0</v>
      </c>
      <c r="AN107" s="4">
        <f t="shared" si="34"/>
        <v>0.67487046632124348</v>
      </c>
      <c r="AO107" s="4">
        <f t="shared" si="35"/>
        <v>9</v>
      </c>
      <c r="AP107" s="4">
        <v>9740</v>
      </c>
      <c r="AQ107" s="4">
        <v>8335</v>
      </c>
      <c r="AR107" s="4">
        <v>2841</v>
      </c>
      <c r="AS107" s="4">
        <v>956</v>
      </c>
      <c r="AT107" s="4">
        <v>0</v>
      </c>
      <c r="AU107" s="4">
        <v>0</v>
      </c>
      <c r="AV107" s="4">
        <v>0</v>
      </c>
      <c r="AW107" s="4">
        <v>0</v>
      </c>
      <c r="AX107" s="4" t="str">
        <f t="shared" si="36"/>
        <v>N/A</v>
      </c>
      <c r="AY107" s="4" t="str">
        <f t="shared" si="37"/>
        <v>N/A</v>
      </c>
      <c r="AZ107" s="4">
        <v>3160</v>
      </c>
      <c r="BA107" s="4">
        <v>3300</v>
      </c>
      <c r="BB107" s="4">
        <v>8389</v>
      </c>
      <c r="BC107" s="4">
        <v>0</v>
      </c>
      <c r="BD107" s="5">
        <v>7140.2879999999996</v>
      </c>
      <c r="BE107" s="5">
        <v>2460.2549009999998</v>
      </c>
      <c r="BG107" s="5">
        <f t="shared" si="38"/>
        <v>43</v>
      </c>
      <c r="BK107" s="5" t="str">
        <f t="shared" si="39"/>
        <v>N/A</v>
      </c>
      <c r="BL107" s="5">
        <v>6453.8915660000002</v>
      </c>
      <c r="BM107" s="5">
        <v>4340.5333330000003</v>
      </c>
      <c r="BN107" s="5">
        <v>8214.2857140000015</v>
      </c>
      <c r="BO107" s="5">
        <v>0</v>
      </c>
      <c r="BP107" s="5">
        <v>0</v>
      </c>
      <c r="BQ107" s="5">
        <v>20392.818365499999</v>
      </c>
      <c r="BR107" s="5">
        <v>9741.1953059999996</v>
      </c>
      <c r="BS107" s="5">
        <v>3330.1900734999999</v>
      </c>
      <c r="BT107" s="5">
        <v>17819.047618500001</v>
      </c>
      <c r="BU107" s="5">
        <v>11195.911189999999</v>
      </c>
      <c r="BV107" s="5">
        <v>0</v>
      </c>
      <c r="BW107" s="5">
        <v>17276.650324999999</v>
      </c>
      <c r="BX107" s="5">
        <v>28</v>
      </c>
      <c r="BY107" s="5">
        <v>5</v>
      </c>
      <c r="CD107" s="143">
        <v>0.19927887202669248</v>
      </c>
      <c r="CE107" s="143">
        <v>-2.946041748719963E-2</v>
      </c>
      <c r="CF107" s="143">
        <v>16769984.74</v>
      </c>
      <c r="CG107" s="144">
        <v>88.9</v>
      </c>
      <c r="CH107" s="144">
        <v>4.9000000000000004</v>
      </c>
      <c r="CI107" s="144">
        <v>1.7</v>
      </c>
      <c r="CJ107" s="144">
        <v>89.4</v>
      </c>
      <c r="CK107" s="144">
        <v>6.8</v>
      </c>
      <c r="CL107" s="144">
        <v>1.1000000000000001</v>
      </c>
      <c r="CM107" s="144">
        <v>95.5</v>
      </c>
      <c r="CN107" s="144">
        <v>97.3</v>
      </c>
    </row>
    <row r="108" spans="1:92" x14ac:dyDescent="0.3">
      <c r="A108">
        <v>865</v>
      </c>
      <c r="B108" s="1">
        <v>4.3290522579999997E-2</v>
      </c>
      <c r="C108" s="1">
        <v>5.9787422400000003E-3</v>
      </c>
      <c r="D108" s="1">
        <v>6.3461058929999994E-2</v>
      </c>
      <c r="E108" s="1">
        <v>2.306541434E-2</v>
      </c>
      <c r="F108" s="2">
        <v>2390</v>
      </c>
      <c r="G108" s="2">
        <v>1594</v>
      </c>
      <c r="H108" s="2">
        <v>30</v>
      </c>
      <c r="I108" s="2">
        <v>470</v>
      </c>
      <c r="J108" s="2">
        <v>2937</v>
      </c>
      <c r="K108" s="2">
        <v>307</v>
      </c>
      <c r="L108" s="4">
        <v>0</v>
      </c>
      <c r="M108" s="4">
        <v>270</v>
      </c>
      <c r="N108" s="4">
        <v>150</v>
      </c>
      <c r="O108" s="4">
        <v>0</v>
      </c>
      <c r="Q108" s="4">
        <v>6463</v>
      </c>
      <c r="R108" s="4">
        <v>28319</v>
      </c>
      <c r="S108" s="4">
        <v>5199</v>
      </c>
      <c r="T108" s="4">
        <v>855</v>
      </c>
      <c r="V108" s="4">
        <f t="shared" si="30"/>
        <v>0.6428571428571429</v>
      </c>
      <c r="W108" s="4">
        <f t="shared" si="31"/>
        <v>122</v>
      </c>
      <c r="X108" s="4">
        <v>0</v>
      </c>
      <c r="Y108" s="4">
        <v>75</v>
      </c>
      <c r="Z108" s="4">
        <v>0</v>
      </c>
      <c r="AA108" s="4">
        <v>0</v>
      </c>
      <c r="AC108" s="4">
        <v>7616</v>
      </c>
      <c r="AD108" s="4">
        <v>23377</v>
      </c>
      <c r="AE108" s="4">
        <v>3735</v>
      </c>
      <c r="AF108" s="4">
        <v>0</v>
      </c>
      <c r="AH108" s="4">
        <f t="shared" si="32"/>
        <v>1</v>
      </c>
      <c r="AI108" s="4">
        <f t="shared" si="33"/>
        <v>1</v>
      </c>
      <c r="AJ108" s="4">
        <v>40</v>
      </c>
      <c r="AK108" s="4">
        <v>320</v>
      </c>
      <c r="AL108" s="4">
        <v>60</v>
      </c>
      <c r="AM108" s="4">
        <v>0</v>
      </c>
      <c r="AN108" s="4">
        <f t="shared" si="34"/>
        <v>9.5238095238095233E-2</v>
      </c>
      <c r="AO108" s="4">
        <f t="shared" si="35"/>
        <v>85</v>
      </c>
      <c r="AP108" s="4">
        <v>4789</v>
      </c>
      <c r="AQ108" s="4">
        <v>24435</v>
      </c>
      <c r="AR108" s="4">
        <v>9173</v>
      </c>
      <c r="AS108" s="4">
        <v>2439</v>
      </c>
      <c r="AT108" s="4">
        <v>0</v>
      </c>
      <c r="AU108" s="4">
        <v>75</v>
      </c>
      <c r="AV108" s="4">
        <v>0</v>
      </c>
      <c r="AW108" s="4">
        <v>0</v>
      </c>
      <c r="AX108" s="4">
        <f t="shared" si="36"/>
        <v>0</v>
      </c>
      <c r="AY108" s="4">
        <f t="shared" si="37"/>
        <v>73</v>
      </c>
      <c r="AZ108" s="4">
        <v>11546</v>
      </c>
      <c r="BA108" s="4">
        <v>18002</v>
      </c>
      <c r="BB108" s="4">
        <v>5180</v>
      </c>
      <c r="BC108" s="4">
        <v>0</v>
      </c>
      <c r="BD108" s="5">
        <v>10694.372525999999</v>
      </c>
      <c r="BE108" s="5">
        <v>2992.8571419999998</v>
      </c>
      <c r="BF108" s="5">
        <v>14402.042995</v>
      </c>
      <c r="BG108" s="5">
        <f t="shared" si="38"/>
        <v>94</v>
      </c>
      <c r="BH108" s="5">
        <v>19599.947618999999</v>
      </c>
      <c r="BK108" s="5">
        <f t="shared" si="39"/>
        <v>42</v>
      </c>
      <c r="BL108" s="5">
        <v>10762.285222999999</v>
      </c>
      <c r="BM108" s="5">
        <v>3839.9666659999998</v>
      </c>
      <c r="BN108" s="5">
        <v>20900</v>
      </c>
      <c r="BO108" s="5">
        <v>10186.1574585</v>
      </c>
      <c r="BP108" s="5">
        <v>0</v>
      </c>
      <c r="BQ108" s="5">
        <v>15099.422208499998</v>
      </c>
      <c r="BR108" s="5">
        <v>10694.372525999999</v>
      </c>
      <c r="BS108" s="5">
        <v>4082.926829</v>
      </c>
      <c r="BT108" s="5">
        <v>13657.142857000001</v>
      </c>
      <c r="BU108" s="5">
        <v>7127.1501829999997</v>
      </c>
      <c r="BV108" s="5">
        <v>0</v>
      </c>
      <c r="BW108" s="5">
        <v>5489.5110839999998</v>
      </c>
      <c r="BX108" s="5">
        <v>15</v>
      </c>
      <c r="BY108" s="5">
        <v>5</v>
      </c>
      <c r="BZ108" s="5">
        <v>4</v>
      </c>
      <c r="CA108" s="5">
        <v>2</v>
      </c>
      <c r="CD108" s="143">
        <v>0.15394830028328621</v>
      </c>
      <c r="CE108" s="143">
        <v>4.6067415730337125E-2</v>
      </c>
      <c r="CF108" s="143">
        <v>64196989.980000004</v>
      </c>
      <c r="CG108" s="144">
        <v>90.3</v>
      </c>
      <c r="CH108" s="144">
        <v>5</v>
      </c>
      <c r="CI108" s="144">
        <v>1.5</v>
      </c>
      <c r="CJ108" s="144">
        <v>94.9</v>
      </c>
      <c r="CK108" s="144">
        <v>3.3</v>
      </c>
      <c r="CL108" s="144">
        <v>0.5</v>
      </c>
      <c r="CM108" s="144">
        <v>96.8</v>
      </c>
      <c r="CN108" s="144">
        <v>98.7</v>
      </c>
    </row>
    <row r="109" spans="1:92" x14ac:dyDescent="0.3">
      <c r="A109">
        <v>866</v>
      </c>
      <c r="B109" s="1">
        <v>-1.1838697739999999E-2</v>
      </c>
      <c r="C109" s="1">
        <v>-7.3463347599999999E-3</v>
      </c>
      <c r="D109" s="1">
        <v>1.044061302E-2</v>
      </c>
      <c r="E109" s="1">
        <v>1.3409961599999999E-3</v>
      </c>
      <c r="F109" s="2">
        <v>3581</v>
      </c>
      <c r="G109" s="2">
        <v>1947</v>
      </c>
      <c r="H109" s="2">
        <v>0</v>
      </c>
      <c r="I109" s="2">
        <v>0</v>
      </c>
      <c r="J109" s="2">
        <v>1500</v>
      </c>
      <c r="K109" s="2">
        <v>0</v>
      </c>
      <c r="L109" s="4">
        <v>0</v>
      </c>
      <c r="M109" s="4">
        <v>151</v>
      </c>
      <c r="N109" s="4">
        <v>0</v>
      </c>
      <c r="O109" s="4">
        <v>0</v>
      </c>
      <c r="Q109" s="4">
        <v>3802</v>
      </c>
      <c r="R109" s="4">
        <v>13846</v>
      </c>
      <c r="S109" s="4">
        <v>3114</v>
      </c>
      <c r="T109" s="4">
        <v>404</v>
      </c>
      <c r="V109" s="4">
        <f t="shared" si="30"/>
        <v>1</v>
      </c>
      <c r="W109" s="4">
        <f t="shared" si="31"/>
        <v>1</v>
      </c>
      <c r="X109" s="4">
        <v>0</v>
      </c>
      <c r="Y109" s="4">
        <v>0</v>
      </c>
      <c r="Z109" s="4">
        <v>0</v>
      </c>
      <c r="AA109" s="4">
        <v>0</v>
      </c>
      <c r="AC109" s="4">
        <v>0</v>
      </c>
      <c r="AD109" s="4">
        <v>7652</v>
      </c>
      <c r="AE109" s="4">
        <v>6502</v>
      </c>
      <c r="AF109" s="4">
        <v>0</v>
      </c>
      <c r="AH109" s="4" t="str">
        <f t="shared" si="32"/>
        <v>N/A</v>
      </c>
      <c r="AI109" s="4" t="str">
        <f t="shared" si="33"/>
        <v>N/A</v>
      </c>
      <c r="AJ109" s="4">
        <v>0</v>
      </c>
      <c r="AK109" s="4">
        <v>0</v>
      </c>
      <c r="AL109" s="4">
        <v>151</v>
      </c>
      <c r="AM109" s="4">
        <v>0</v>
      </c>
      <c r="AN109" s="4">
        <f t="shared" si="34"/>
        <v>0</v>
      </c>
      <c r="AO109" s="4">
        <f t="shared" si="35"/>
        <v>100</v>
      </c>
      <c r="AP109" s="4">
        <v>4063</v>
      </c>
      <c r="AQ109" s="4">
        <v>11360</v>
      </c>
      <c r="AR109" s="4">
        <v>3785</v>
      </c>
      <c r="AS109" s="4">
        <v>1958</v>
      </c>
      <c r="AT109" s="4">
        <v>0</v>
      </c>
      <c r="AU109" s="4">
        <v>0</v>
      </c>
      <c r="AV109" s="4">
        <v>0</v>
      </c>
      <c r="AW109" s="4">
        <v>0</v>
      </c>
      <c r="AX109" s="4" t="str">
        <f t="shared" si="36"/>
        <v>N/A</v>
      </c>
      <c r="AY109" s="4" t="str">
        <f t="shared" si="37"/>
        <v>N/A</v>
      </c>
      <c r="AZ109" s="4">
        <v>3649</v>
      </c>
      <c r="BA109" s="4">
        <v>6871</v>
      </c>
      <c r="BB109" s="4">
        <v>3634</v>
      </c>
      <c r="BC109" s="4">
        <v>0</v>
      </c>
      <c r="BD109" s="5">
        <v>12197.578020999999</v>
      </c>
      <c r="BE109" s="5">
        <v>3359.090909</v>
      </c>
      <c r="BF109" s="5">
        <v>13506.998444000001</v>
      </c>
      <c r="BG109" s="5">
        <f t="shared" si="38"/>
        <v>112</v>
      </c>
      <c r="BK109" s="5" t="str">
        <f t="shared" si="39"/>
        <v>N/A</v>
      </c>
      <c r="BL109" s="5">
        <v>9220.0806454999984</v>
      </c>
      <c r="BM109" s="5">
        <v>4324.7056679999996</v>
      </c>
      <c r="BN109" s="5">
        <v>18001.588462</v>
      </c>
      <c r="BO109" s="5">
        <v>4246.7453100000002</v>
      </c>
      <c r="BP109" s="5">
        <v>0</v>
      </c>
      <c r="BQ109" s="5">
        <v>19618.535185000001</v>
      </c>
      <c r="BR109" s="5">
        <v>10694.372525999999</v>
      </c>
      <c r="BS109" s="5">
        <v>4082.926829</v>
      </c>
      <c r="BT109" s="5">
        <v>13657.142857000001</v>
      </c>
      <c r="BU109" s="5">
        <v>7127.1501829999997</v>
      </c>
      <c r="BV109" s="5">
        <v>0</v>
      </c>
      <c r="BW109" s="5">
        <v>5489.5110839999998</v>
      </c>
      <c r="BX109" s="5">
        <v>5</v>
      </c>
      <c r="BY109" s="5">
        <v>4</v>
      </c>
      <c r="BZ109" s="5">
        <v>3</v>
      </c>
      <c r="CD109" s="143">
        <v>0.29159008809176745</v>
      </c>
      <c r="CE109" s="143">
        <v>1.1410788381742698E-2</v>
      </c>
      <c r="CF109" s="143">
        <v>23495660.189999998</v>
      </c>
      <c r="CG109" s="144">
        <v>93</v>
      </c>
      <c r="CH109" s="144">
        <v>3.7</v>
      </c>
      <c r="CI109" s="144">
        <v>1.4</v>
      </c>
      <c r="CJ109" s="144">
        <v>95.6</v>
      </c>
      <c r="CK109" s="144">
        <v>3</v>
      </c>
      <c r="CL109" s="144">
        <v>0.6</v>
      </c>
      <c r="CM109" s="144">
        <v>98.1</v>
      </c>
      <c r="CN109" s="144">
        <v>99.2</v>
      </c>
    </row>
    <row r="110" spans="1:92" x14ac:dyDescent="0.3">
      <c r="A110">
        <v>867</v>
      </c>
      <c r="B110" s="1">
        <v>2.7443724940000001E-2</v>
      </c>
      <c r="C110" s="1">
        <v>2.8779936270000001E-2</v>
      </c>
      <c r="D110" s="1">
        <v>5.8898382110000001E-2</v>
      </c>
      <c r="E110" s="1">
        <v>4.1992365019999998E-2</v>
      </c>
      <c r="F110" s="2">
        <v>1287</v>
      </c>
      <c r="G110" s="2">
        <v>379</v>
      </c>
      <c r="H110" s="2">
        <v>50</v>
      </c>
      <c r="I110" s="2">
        <v>0</v>
      </c>
      <c r="J110" s="2">
        <v>700</v>
      </c>
      <c r="K110" s="2">
        <v>1410</v>
      </c>
      <c r="L110" s="4">
        <v>0</v>
      </c>
      <c r="M110" s="4">
        <v>149</v>
      </c>
      <c r="N110" s="4">
        <v>0</v>
      </c>
      <c r="O110" s="4">
        <v>0</v>
      </c>
      <c r="Q110" s="4">
        <v>839</v>
      </c>
      <c r="R110" s="4">
        <v>5768</v>
      </c>
      <c r="S110" s="4">
        <v>3471</v>
      </c>
      <c r="T110" s="4">
        <v>420</v>
      </c>
      <c r="V110" s="4">
        <f t="shared" si="30"/>
        <v>1</v>
      </c>
      <c r="W110" s="4">
        <f t="shared" si="31"/>
        <v>1</v>
      </c>
      <c r="X110" s="4">
        <v>86</v>
      </c>
      <c r="Y110" s="4">
        <v>0</v>
      </c>
      <c r="Z110" s="4">
        <v>181</v>
      </c>
      <c r="AA110" s="4">
        <v>0</v>
      </c>
      <c r="AC110" s="4">
        <v>2394</v>
      </c>
      <c r="AD110" s="4">
        <v>2756</v>
      </c>
      <c r="AE110" s="4">
        <v>2456</v>
      </c>
      <c r="AF110" s="4">
        <v>0</v>
      </c>
      <c r="AH110" s="4">
        <f t="shared" si="32"/>
        <v>0.32209737827715357</v>
      </c>
      <c r="AI110" s="4">
        <f t="shared" si="33"/>
        <v>86</v>
      </c>
      <c r="AJ110" s="4">
        <v>0</v>
      </c>
      <c r="AK110" s="4">
        <v>149</v>
      </c>
      <c r="AL110" s="4">
        <v>0</v>
      </c>
      <c r="AM110" s="4">
        <v>0</v>
      </c>
      <c r="AN110" s="4">
        <f t="shared" si="34"/>
        <v>0</v>
      </c>
      <c r="AO110" s="4">
        <f t="shared" si="35"/>
        <v>100</v>
      </c>
      <c r="AP110" s="4">
        <v>839</v>
      </c>
      <c r="AQ110" s="4">
        <v>6329</v>
      </c>
      <c r="AR110" s="4">
        <v>2550</v>
      </c>
      <c r="AS110" s="4">
        <v>780</v>
      </c>
      <c r="AT110" s="4">
        <v>86</v>
      </c>
      <c r="AU110" s="4">
        <v>181</v>
      </c>
      <c r="AV110" s="4">
        <v>0</v>
      </c>
      <c r="AW110" s="4">
        <v>0</v>
      </c>
      <c r="AX110" s="4">
        <f t="shared" si="36"/>
        <v>0.32209737827715357</v>
      </c>
      <c r="AY110" s="4">
        <f t="shared" si="37"/>
        <v>58</v>
      </c>
      <c r="AZ110" s="4">
        <v>2394</v>
      </c>
      <c r="BA110" s="4">
        <v>3850</v>
      </c>
      <c r="BB110" s="4">
        <v>1362</v>
      </c>
      <c r="BC110" s="4">
        <v>0</v>
      </c>
      <c r="BD110" s="5">
        <v>16039.390554</v>
      </c>
      <c r="BG110" s="5">
        <f t="shared" si="38"/>
        <v>133</v>
      </c>
      <c r="BH110" s="5">
        <v>16508.267929000001</v>
      </c>
      <c r="BK110" s="5">
        <f t="shared" si="39"/>
        <v>37</v>
      </c>
      <c r="BL110" s="5">
        <v>10885.311148999999</v>
      </c>
      <c r="BM110" s="5">
        <v>4134.5911939999996</v>
      </c>
      <c r="BN110" s="5">
        <v>18509.007380499999</v>
      </c>
      <c r="BO110" s="5">
        <v>14677.042857</v>
      </c>
      <c r="BP110" s="5">
        <v>0</v>
      </c>
      <c r="BQ110" s="5">
        <v>19471.908211999998</v>
      </c>
      <c r="BR110" s="5">
        <v>10571.237112999999</v>
      </c>
      <c r="BS110" s="5">
        <v>4525.6289299999999</v>
      </c>
      <c r="BT110" s="5">
        <v>17545.036591</v>
      </c>
      <c r="BU110" s="5">
        <v>15133.233333</v>
      </c>
      <c r="BV110" s="5">
        <v>23429.45</v>
      </c>
      <c r="BW110" s="5">
        <v>19471.908211999998</v>
      </c>
      <c r="BX110" s="5">
        <v>8</v>
      </c>
      <c r="CA110" s="5">
        <v>3</v>
      </c>
      <c r="CD110" s="143">
        <v>0.29484709848302426</v>
      </c>
      <c r="CE110" s="143">
        <v>0.12147505422993499</v>
      </c>
      <c r="CF110" s="143">
        <v>50731502.770000003</v>
      </c>
      <c r="CG110" s="144">
        <v>84.5</v>
      </c>
      <c r="CH110" s="144">
        <v>9.1999999999999993</v>
      </c>
      <c r="CI110" s="144">
        <v>3.6</v>
      </c>
      <c r="CJ110" s="144">
        <v>77.5</v>
      </c>
      <c r="CK110" s="144">
        <v>10.3</v>
      </c>
      <c r="CL110" s="144">
        <v>4.4000000000000004</v>
      </c>
      <c r="CM110" s="144">
        <v>97.3</v>
      </c>
      <c r="CN110" s="144">
        <v>92.2</v>
      </c>
    </row>
    <row r="111" spans="1:92" x14ac:dyDescent="0.3">
      <c r="A111">
        <v>868</v>
      </c>
      <c r="B111" s="1">
        <v>3.7481259369999999E-2</v>
      </c>
      <c r="C111" s="1">
        <v>5.9032983499999999E-3</v>
      </c>
      <c r="D111" s="1">
        <v>3.6446469240000001E-2</v>
      </c>
      <c r="E111" s="1">
        <v>4.4218142800000002E-3</v>
      </c>
      <c r="F111" s="2">
        <v>2159</v>
      </c>
      <c r="G111" s="2">
        <v>1133</v>
      </c>
      <c r="H111" s="2">
        <v>230</v>
      </c>
      <c r="I111" s="2">
        <v>130</v>
      </c>
      <c r="J111" s="2">
        <v>59</v>
      </c>
      <c r="K111" s="2">
        <v>32</v>
      </c>
      <c r="L111" s="4">
        <v>30</v>
      </c>
      <c r="M111" s="4">
        <v>105</v>
      </c>
      <c r="N111" s="4">
        <v>211</v>
      </c>
      <c r="O111" s="4">
        <v>0</v>
      </c>
      <c r="Q111" s="4">
        <v>2402</v>
      </c>
      <c r="R111" s="4">
        <v>6181</v>
      </c>
      <c r="S111" s="4">
        <v>2365</v>
      </c>
      <c r="T111" s="4">
        <v>248</v>
      </c>
      <c r="V111" s="4">
        <f t="shared" si="30"/>
        <v>0.39017341040462428</v>
      </c>
      <c r="W111" s="4">
        <f t="shared" si="31"/>
        <v>135</v>
      </c>
      <c r="X111" s="4">
        <v>16</v>
      </c>
      <c r="Y111" s="4">
        <v>49</v>
      </c>
      <c r="Z111" s="4">
        <v>45</v>
      </c>
      <c r="AA111" s="4">
        <v>0</v>
      </c>
      <c r="AC111" s="4">
        <v>2390</v>
      </c>
      <c r="AD111" s="4">
        <v>3878</v>
      </c>
      <c r="AE111" s="4">
        <v>4273</v>
      </c>
      <c r="AF111" s="4">
        <v>0</v>
      </c>
      <c r="AH111" s="4">
        <f t="shared" si="32"/>
        <v>0.59090909090909094</v>
      </c>
      <c r="AI111" s="4">
        <f t="shared" si="33"/>
        <v>80</v>
      </c>
      <c r="AJ111" s="4">
        <v>30</v>
      </c>
      <c r="AK111" s="4">
        <v>241</v>
      </c>
      <c r="AL111" s="4">
        <v>0</v>
      </c>
      <c r="AM111" s="4">
        <v>75</v>
      </c>
      <c r="AN111" s="4">
        <f t="shared" si="34"/>
        <v>0.11070110701107011</v>
      </c>
      <c r="AO111" s="4">
        <f t="shared" si="35"/>
        <v>81</v>
      </c>
      <c r="AP111" s="4">
        <v>2127</v>
      </c>
      <c r="AQ111" s="4">
        <v>3787</v>
      </c>
      <c r="AR111" s="4">
        <v>1672</v>
      </c>
      <c r="AS111" s="4">
        <v>3610</v>
      </c>
      <c r="AT111" s="4">
        <v>16</v>
      </c>
      <c r="AU111" s="4">
        <v>94</v>
      </c>
      <c r="AV111" s="4">
        <v>0</v>
      </c>
      <c r="AW111" s="4">
        <v>0</v>
      </c>
      <c r="AX111" s="4">
        <f t="shared" si="36"/>
        <v>0.14545454545454545</v>
      </c>
      <c r="AY111" s="4">
        <f t="shared" si="37"/>
        <v>66</v>
      </c>
      <c r="AZ111" s="4">
        <v>4851</v>
      </c>
      <c r="BA111" s="4">
        <v>3988</v>
      </c>
      <c r="BB111" s="4">
        <v>900</v>
      </c>
      <c r="BC111" s="4">
        <v>802</v>
      </c>
      <c r="BD111" s="5">
        <v>8346.5816759999998</v>
      </c>
      <c r="BE111" s="5">
        <v>11190.733333</v>
      </c>
      <c r="BF111" s="5">
        <v>18623.048507</v>
      </c>
      <c r="BG111" s="5">
        <f t="shared" si="38"/>
        <v>59</v>
      </c>
      <c r="BH111" s="5">
        <v>10612.25625</v>
      </c>
      <c r="BK111" s="5">
        <f t="shared" si="39"/>
        <v>20</v>
      </c>
      <c r="BL111" s="5">
        <v>12717.055035000001</v>
      </c>
      <c r="BM111" s="5">
        <v>4099.529587</v>
      </c>
      <c r="BN111" s="5">
        <v>21743.232726999999</v>
      </c>
      <c r="BO111" s="5">
        <v>14626.666665999999</v>
      </c>
      <c r="BP111" s="5">
        <v>23429.45</v>
      </c>
      <c r="BQ111" s="5">
        <v>22090.620772499999</v>
      </c>
      <c r="BR111" s="5">
        <v>10571.237112999999</v>
      </c>
      <c r="BS111" s="5">
        <v>4525.6289299999999</v>
      </c>
      <c r="BT111" s="5">
        <v>17545.036591</v>
      </c>
      <c r="BU111" s="5">
        <v>15133.233333</v>
      </c>
      <c r="BV111" s="5">
        <v>23429.45</v>
      </c>
      <c r="BW111" s="5">
        <v>19471.908211999998</v>
      </c>
      <c r="BX111" s="5">
        <v>19</v>
      </c>
      <c r="BY111" s="5">
        <v>2</v>
      </c>
      <c r="BZ111" s="5">
        <v>2</v>
      </c>
      <c r="CA111" s="5">
        <v>2</v>
      </c>
      <c r="CD111" s="143">
        <v>0.29442881260551501</v>
      </c>
      <c r="CE111" s="143">
        <v>5.2965552965553053E-2</v>
      </c>
      <c r="CF111" s="143">
        <v>29200675.77</v>
      </c>
      <c r="CG111" s="144">
        <v>85.8</v>
      </c>
      <c r="CH111" s="144">
        <v>7.2</v>
      </c>
      <c r="CI111" s="144">
        <v>2.2999999999999998</v>
      </c>
      <c r="CJ111" s="144">
        <v>77.599999999999994</v>
      </c>
      <c r="CK111" s="144">
        <v>7.5</v>
      </c>
      <c r="CL111" s="144">
        <v>2.2999999999999998</v>
      </c>
      <c r="CM111" s="144">
        <v>95.3</v>
      </c>
      <c r="CN111" s="144">
        <v>87.4</v>
      </c>
    </row>
    <row r="112" spans="1:92" x14ac:dyDescent="0.3">
      <c r="A112">
        <v>869</v>
      </c>
      <c r="B112" s="1">
        <v>2.3400935999999999E-3</v>
      </c>
      <c r="C112" s="1">
        <v>9.3603744100000004E-3</v>
      </c>
      <c r="D112" s="1">
        <v>2.5540702089999999E-2</v>
      </c>
      <c r="E112" s="1">
        <v>1.0107596999999999E-2</v>
      </c>
      <c r="F112" s="2">
        <v>901</v>
      </c>
      <c r="G112" s="2">
        <v>14</v>
      </c>
      <c r="H112" s="2">
        <v>230</v>
      </c>
      <c r="I112" s="2">
        <v>10</v>
      </c>
      <c r="J112" s="2">
        <v>681</v>
      </c>
      <c r="K112" s="2">
        <v>0</v>
      </c>
      <c r="L112" s="4">
        <v>0</v>
      </c>
      <c r="M112" s="4">
        <v>127</v>
      </c>
      <c r="N112" s="4">
        <v>119</v>
      </c>
      <c r="Q112" s="4">
        <v>1293</v>
      </c>
      <c r="R112" s="4">
        <v>7789</v>
      </c>
      <c r="S112" s="4">
        <v>4195</v>
      </c>
      <c r="V112" s="4">
        <f t="shared" si="30"/>
        <v>0.51626016260162599</v>
      </c>
      <c r="W112" s="4">
        <f t="shared" si="31"/>
        <v>130</v>
      </c>
      <c r="X112" s="4">
        <v>0</v>
      </c>
      <c r="Y112" s="4">
        <v>0</v>
      </c>
      <c r="Z112" s="4">
        <v>0</v>
      </c>
      <c r="AC112" s="4">
        <v>1161</v>
      </c>
      <c r="AD112" s="4">
        <v>7887</v>
      </c>
      <c r="AE112" s="4">
        <v>3732</v>
      </c>
      <c r="AH112" s="4" t="str">
        <f t="shared" si="32"/>
        <v>N/A</v>
      </c>
      <c r="AI112" s="4" t="str">
        <f t="shared" si="33"/>
        <v>N/A</v>
      </c>
      <c r="AJ112" s="4">
        <v>75</v>
      </c>
      <c r="AK112" s="4">
        <v>21</v>
      </c>
      <c r="AL112" s="4">
        <v>101</v>
      </c>
      <c r="AM112" s="4">
        <v>49</v>
      </c>
      <c r="AN112" s="4">
        <f t="shared" si="34"/>
        <v>0.38071065989847713</v>
      </c>
      <c r="AO112" s="4">
        <f t="shared" si="35"/>
        <v>36</v>
      </c>
      <c r="AP112" s="4">
        <v>1249</v>
      </c>
      <c r="AQ112" s="4">
        <v>5496</v>
      </c>
      <c r="AR112" s="4">
        <v>4910</v>
      </c>
      <c r="AS112" s="4">
        <v>1622</v>
      </c>
      <c r="AT112" s="4">
        <v>0</v>
      </c>
      <c r="AU112" s="4">
        <v>0</v>
      </c>
      <c r="AV112" s="4">
        <v>0</v>
      </c>
      <c r="AW112" s="4">
        <v>0</v>
      </c>
      <c r="AX112" s="4" t="str">
        <f t="shared" si="36"/>
        <v>N/A</v>
      </c>
      <c r="AY112" s="4" t="str">
        <f t="shared" si="37"/>
        <v>N/A</v>
      </c>
      <c r="AZ112" s="4">
        <v>6739</v>
      </c>
      <c r="BA112" s="4">
        <v>5389</v>
      </c>
      <c r="BB112" s="4">
        <v>652</v>
      </c>
      <c r="BC112" s="4">
        <v>0</v>
      </c>
      <c r="BD112" s="5">
        <v>9732.1442459999998</v>
      </c>
      <c r="BE112" s="5">
        <v>4064.4679799999999</v>
      </c>
      <c r="BG112" s="5">
        <f t="shared" si="38"/>
        <v>81</v>
      </c>
      <c r="BK112" s="5" t="str">
        <f t="shared" si="39"/>
        <v>N/A</v>
      </c>
      <c r="BL112" s="5">
        <v>12717.055035000001</v>
      </c>
      <c r="BM112" s="5">
        <v>3947.8966604999996</v>
      </c>
      <c r="BN112" s="5">
        <v>21743.232726999999</v>
      </c>
      <c r="BO112" s="5">
        <v>15562.637939</v>
      </c>
      <c r="BP112" s="5">
        <v>23429.45</v>
      </c>
      <c r="BQ112" s="5">
        <v>22090.620772499999</v>
      </c>
      <c r="BR112" s="5">
        <v>10571.237112999999</v>
      </c>
      <c r="BS112" s="5">
        <v>4525.6289299999999</v>
      </c>
      <c r="BT112" s="5">
        <v>17545.036591</v>
      </c>
      <c r="BU112" s="5">
        <v>15133.233333</v>
      </c>
      <c r="BV112" s="5">
        <v>23429.45</v>
      </c>
      <c r="BW112" s="5">
        <v>19471.908211999998</v>
      </c>
      <c r="BX112" s="5">
        <v>13</v>
      </c>
      <c r="BY112" s="5">
        <v>6</v>
      </c>
      <c r="CD112" s="143">
        <v>0.15099571464582806</v>
      </c>
      <c r="CE112" s="143">
        <v>-4.0485417091576603E-2</v>
      </c>
      <c r="CF112" s="143">
        <v>25667395.010000002</v>
      </c>
      <c r="CG112" s="144">
        <v>89.1</v>
      </c>
      <c r="CH112" s="144">
        <v>6</v>
      </c>
      <c r="CI112" s="144">
        <v>2</v>
      </c>
      <c r="CJ112" s="144">
        <v>92</v>
      </c>
      <c r="CK112" s="144">
        <v>3.5</v>
      </c>
      <c r="CL112" s="144">
        <v>1</v>
      </c>
      <c r="CM112" s="144">
        <v>97</v>
      </c>
      <c r="CN112" s="144">
        <v>96.5</v>
      </c>
    </row>
    <row r="113" spans="1:92" x14ac:dyDescent="0.3">
      <c r="A113">
        <v>870</v>
      </c>
      <c r="B113" s="1">
        <v>1.3452174630000001E-2</v>
      </c>
      <c r="C113" s="1">
        <v>1.3864818019999999E-2</v>
      </c>
      <c r="D113" s="1">
        <v>3.9782016339999997E-2</v>
      </c>
      <c r="E113" s="1">
        <v>1.4532243400000001E-3</v>
      </c>
      <c r="F113" s="2">
        <v>2315</v>
      </c>
      <c r="G113" s="2">
        <v>773</v>
      </c>
      <c r="H113" s="2">
        <v>390</v>
      </c>
      <c r="I113" s="2">
        <v>0</v>
      </c>
      <c r="J113" s="2">
        <v>1656</v>
      </c>
      <c r="K113" s="2">
        <v>1044</v>
      </c>
      <c r="L113" s="4">
        <v>0</v>
      </c>
      <c r="M113" s="4">
        <v>522</v>
      </c>
      <c r="N113" s="4">
        <v>108</v>
      </c>
      <c r="O113" s="4">
        <v>30</v>
      </c>
      <c r="Q113" s="4">
        <v>1890</v>
      </c>
      <c r="R113" s="4">
        <v>6958</v>
      </c>
      <c r="S113" s="4">
        <v>2586</v>
      </c>
      <c r="T113" s="4">
        <v>1350</v>
      </c>
      <c r="V113" s="4">
        <f t="shared" si="30"/>
        <v>0.79090909090909089</v>
      </c>
      <c r="W113" s="4">
        <f t="shared" si="31"/>
        <v>99</v>
      </c>
      <c r="X113" s="4">
        <v>0</v>
      </c>
      <c r="Y113" s="4">
        <v>0</v>
      </c>
      <c r="Z113" s="4">
        <v>0</v>
      </c>
      <c r="AA113" s="4">
        <v>0</v>
      </c>
      <c r="AC113" s="4">
        <v>1677</v>
      </c>
      <c r="AD113" s="4">
        <v>3166</v>
      </c>
      <c r="AE113" s="4">
        <v>2706</v>
      </c>
      <c r="AF113" s="4">
        <v>0</v>
      </c>
      <c r="AH113" s="4" t="str">
        <f t="shared" si="32"/>
        <v>N/A</v>
      </c>
      <c r="AI113" s="4" t="str">
        <f t="shared" si="33"/>
        <v>N/A</v>
      </c>
      <c r="AJ113" s="4">
        <v>78</v>
      </c>
      <c r="AK113" s="4">
        <v>462</v>
      </c>
      <c r="AL113" s="4">
        <v>120</v>
      </c>
      <c r="AM113" s="4">
        <v>0</v>
      </c>
      <c r="AN113" s="4">
        <f t="shared" si="34"/>
        <v>0.11818181818181818</v>
      </c>
      <c r="AO113" s="4">
        <f t="shared" si="35"/>
        <v>80</v>
      </c>
      <c r="AP113" s="4">
        <v>1560</v>
      </c>
      <c r="AQ113" s="4">
        <v>7533</v>
      </c>
      <c r="AR113" s="4">
        <v>3361</v>
      </c>
      <c r="AS113" s="4">
        <v>330</v>
      </c>
      <c r="AT113" s="4">
        <v>0</v>
      </c>
      <c r="AU113" s="4">
        <v>0</v>
      </c>
      <c r="AV113" s="4">
        <v>0</v>
      </c>
      <c r="AW113" s="4">
        <v>0</v>
      </c>
      <c r="AX113" s="4" t="str">
        <f t="shared" si="36"/>
        <v>N/A</v>
      </c>
      <c r="AY113" s="4" t="str">
        <f t="shared" si="37"/>
        <v>N/A</v>
      </c>
      <c r="AZ113" s="4">
        <v>3896</v>
      </c>
      <c r="BA113" s="4">
        <v>1606</v>
      </c>
      <c r="BB113" s="4">
        <v>2047</v>
      </c>
      <c r="BC113" s="4">
        <v>0</v>
      </c>
      <c r="BD113" s="5">
        <v>52830.780018999998</v>
      </c>
      <c r="BE113" s="5">
        <v>8913.3333330000005</v>
      </c>
      <c r="BG113" s="5">
        <f t="shared" si="38"/>
        <v>147</v>
      </c>
      <c r="BH113" s="5">
        <v>4666.6666660000001</v>
      </c>
      <c r="BK113" s="5">
        <f t="shared" si="39"/>
        <v>10</v>
      </c>
      <c r="BL113" s="5">
        <v>10158.625361</v>
      </c>
      <c r="BM113" s="5">
        <v>4030.5899719999998</v>
      </c>
      <c r="BN113" s="5">
        <v>14046.632936</v>
      </c>
      <c r="BO113" s="5">
        <v>15711.373333</v>
      </c>
      <c r="BP113" s="5">
        <v>0</v>
      </c>
      <c r="BQ113" s="5">
        <v>21896.833331999998</v>
      </c>
      <c r="BR113" s="5">
        <v>10571.237112999999</v>
      </c>
      <c r="BS113" s="5">
        <v>4525.6289299999999</v>
      </c>
      <c r="BT113" s="5">
        <v>17545.036591</v>
      </c>
      <c r="BU113" s="5">
        <v>15133.233333</v>
      </c>
      <c r="BV113" s="5">
        <v>23429.45</v>
      </c>
      <c r="BW113" s="5">
        <v>19471.908211999998</v>
      </c>
      <c r="BX113" s="5">
        <v>18</v>
      </c>
      <c r="BY113" s="5">
        <v>3</v>
      </c>
      <c r="CA113" s="5">
        <v>1</v>
      </c>
      <c r="CD113" s="143">
        <v>0.42107912220656329</v>
      </c>
      <c r="CE113" s="143">
        <v>0.49595749595749594</v>
      </c>
      <c r="CF113" s="143">
        <v>52747485.810000002</v>
      </c>
      <c r="CG113" s="144">
        <v>76.2</v>
      </c>
      <c r="CH113" s="144">
        <v>10.5</v>
      </c>
      <c r="CI113" s="144">
        <v>4.7</v>
      </c>
      <c r="CJ113" s="144">
        <v>78.3</v>
      </c>
      <c r="CK113" s="144">
        <v>14.7</v>
      </c>
      <c r="CL113" s="144">
        <v>3.2</v>
      </c>
      <c r="CM113" s="144">
        <v>91.4</v>
      </c>
      <c r="CN113" s="144">
        <v>96.2</v>
      </c>
    </row>
    <row r="114" spans="1:92" x14ac:dyDescent="0.3">
      <c r="A114">
        <v>871</v>
      </c>
      <c r="B114" s="1">
        <v>7.6361003200000003E-3</v>
      </c>
      <c r="C114" s="1">
        <v>-2.7647949399999998E-3</v>
      </c>
      <c r="D114" s="1">
        <v>-6.3054647299999999E-3</v>
      </c>
      <c r="E114" s="1">
        <v>-7.0060719000000001E-4</v>
      </c>
      <c r="F114" s="2">
        <v>4265</v>
      </c>
      <c r="G114" s="2">
        <v>2576</v>
      </c>
      <c r="H114" s="2">
        <v>50</v>
      </c>
      <c r="I114" s="2">
        <v>30</v>
      </c>
      <c r="J114" s="2">
        <v>1170</v>
      </c>
      <c r="K114" s="2">
        <v>558</v>
      </c>
      <c r="L114" s="4">
        <v>0</v>
      </c>
      <c r="M114" s="4">
        <v>342</v>
      </c>
      <c r="N114" s="4">
        <v>60</v>
      </c>
      <c r="O114" s="4">
        <v>0</v>
      </c>
      <c r="Q114" s="4">
        <v>2325</v>
      </c>
      <c r="R114" s="4">
        <v>6890</v>
      </c>
      <c r="S114" s="4">
        <v>2217</v>
      </c>
      <c r="T114" s="4">
        <v>1062</v>
      </c>
      <c r="V114" s="4">
        <f t="shared" si="30"/>
        <v>0.85074626865671643</v>
      </c>
      <c r="W114" s="4">
        <f t="shared" si="31"/>
        <v>81</v>
      </c>
      <c r="X114" s="4">
        <v>0</v>
      </c>
      <c r="Y114" s="4">
        <v>0</v>
      </c>
      <c r="Z114" s="4">
        <v>0</v>
      </c>
      <c r="AA114" s="4">
        <v>0</v>
      </c>
      <c r="AC114" s="4">
        <v>7010</v>
      </c>
      <c r="AD114" s="4">
        <v>2135</v>
      </c>
      <c r="AE114" s="4">
        <v>1635</v>
      </c>
      <c r="AF114" s="4">
        <v>0</v>
      </c>
      <c r="AH114" s="4" t="str">
        <f t="shared" si="32"/>
        <v>N/A</v>
      </c>
      <c r="AI114" s="4" t="str">
        <f t="shared" si="33"/>
        <v>N/A</v>
      </c>
      <c r="AJ114" s="4">
        <v>102</v>
      </c>
      <c r="AK114" s="4">
        <v>60</v>
      </c>
      <c r="AL114" s="4">
        <v>240</v>
      </c>
      <c r="AM114" s="4">
        <v>0</v>
      </c>
      <c r="AN114" s="4">
        <f t="shared" si="34"/>
        <v>0.2537313432835821</v>
      </c>
      <c r="AO114" s="4">
        <f t="shared" si="35"/>
        <v>53</v>
      </c>
      <c r="AP114" s="4">
        <v>4996</v>
      </c>
      <c r="AQ114" s="4">
        <v>2990</v>
      </c>
      <c r="AR114" s="4">
        <v>3623</v>
      </c>
      <c r="AS114" s="4">
        <v>885</v>
      </c>
      <c r="AT114" s="4">
        <v>0</v>
      </c>
      <c r="AU114" s="4">
        <v>0</v>
      </c>
      <c r="AV114" s="4">
        <v>0</v>
      </c>
      <c r="AW114" s="4">
        <v>0</v>
      </c>
      <c r="AX114" s="4" t="str">
        <f t="shared" si="36"/>
        <v>N/A</v>
      </c>
      <c r="AY114" s="4" t="str">
        <f t="shared" si="37"/>
        <v>N/A</v>
      </c>
      <c r="AZ114" s="4">
        <v>7729</v>
      </c>
      <c r="BA114" s="4">
        <v>2146</v>
      </c>
      <c r="BB114" s="4">
        <v>905</v>
      </c>
      <c r="BC114" s="4">
        <v>0</v>
      </c>
      <c r="BD114" s="5">
        <v>8576.6710349999994</v>
      </c>
      <c r="BE114" s="5">
        <v>4916.6666660000001</v>
      </c>
      <c r="BF114" s="5">
        <v>8500</v>
      </c>
      <c r="BG114" s="5">
        <f t="shared" si="38"/>
        <v>63</v>
      </c>
      <c r="BK114" s="5" t="str">
        <f t="shared" si="39"/>
        <v>N/A</v>
      </c>
      <c r="BL114" s="5">
        <v>11501.688667</v>
      </c>
      <c r="BM114" s="5">
        <v>4316.6666660000001</v>
      </c>
      <c r="BN114" s="5">
        <v>13363.3345245</v>
      </c>
      <c r="BO114" s="5">
        <v>8677.536666</v>
      </c>
      <c r="BP114" s="5">
        <v>1000</v>
      </c>
      <c r="BQ114" s="5">
        <v>18952.858599499999</v>
      </c>
      <c r="BR114" s="5">
        <v>10571.237112999999</v>
      </c>
      <c r="BS114" s="5">
        <v>4525.6289299999999</v>
      </c>
      <c r="BT114" s="5">
        <v>17545.036591</v>
      </c>
      <c r="BU114" s="5">
        <v>15133.233333</v>
      </c>
      <c r="BV114" s="5">
        <v>23429.45</v>
      </c>
      <c r="BW114" s="5">
        <v>19471.908211999998</v>
      </c>
      <c r="BX114" s="5">
        <v>18</v>
      </c>
      <c r="BY114" s="5">
        <v>3</v>
      </c>
      <c r="BZ114" s="5">
        <v>2</v>
      </c>
      <c r="CD114" s="143">
        <v>0.47510409437890355</v>
      </c>
      <c r="CE114" s="143">
        <v>0.36248275862068957</v>
      </c>
      <c r="CF114" s="143">
        <v>75672437.340000004</v>
      </c>
      <c r="CG114" s="144">
        <v>85.8</v>
      </c>
      <c r="CH114" s="144">
        <v>8.6</v>
      </c>
      <c r="CI114" s="144">
        <v>2.4</v>
      </c>
      <c r="CJ114" s="144">
        <v>72.099999999999994</v>
      </c>
      <c r="CK114" s="144">
        <v>13.6</v>
      </c>
      <c r="CL114" s="144">
        <v>5.6</v>
      </c>
      <c r="CM114" s="144">
        <v>96.8</v>
      </c>
      <c r="CN114" s="144">
        <v>91.3</v>
      </c>
    </row>
    <row r="115" spans="1:92" x14ac:dyDescent="0.3">
      <c r="A115">
        <v>872</v>
      </c>
      <c r="B115" s="1">
        <v>1.8137148629999999E-2</v>
      </c>
      <c r="C115" s="1">
        <v>-3.6852373699999999E-3</v>
      </c>
      <c r="D115" s="1">
        <v>-4.72727272E-3</v>
      </c>
      <c r="E115" s="1">
        <v>7.51515151E-3</v>
      </c>
      <c r="F115" s="2">
        <v>1818</v>
      </c>
      <c r="G115" s="2">
        <v>1052</v>
      </c>
      <c r="H115" s="2">
        <v>180</v>
      </c>
      <c r="I115" s="2">
        <v>0</v>
      </c>
      <c r="J115" s="2">
        <v>855</v>
      </c>
      <c r="K115" s="2">
        <v>900</v>
      </c>
      <c r="L115" s="4">
        <v>0</v>
      </c>
      <c r="M115" s="4">
        <v>15</v>
      </c>
      <c r="N115" s="4">
        <v>0</v>
      </c>
      <c r="Q115" s="4">
        <v>2371</v>
      </c>
      <c r="R115" s="4">
        <v>9087</v>
      </c>
      <c r="S115" s="4">
        <v>2847</v>
      </c>
      <c r="V115" s="4">
        <f t="shared" si="30"/>
        <v>1</v>
      </c>
      <c r="W115" s="4">
        <f t="shared" si="31"/>
        <v>1</v>
      </c>
      <c r="X115" s="4">
        <v>0</v>
      </c>
      <c r="Y115" s="4">
        <v>0</v>
      </c>
      <c r="Z115" s="4">
        <v>0</v>
      </c>
      <c r="AC115" s="4">
        <v>1209</v>
      </c>
      <c r="AD115" s="4">
        <v>9561</v>
      </c>
      <c r="AE115" s="4">
        <v>0</v>
      </c>
      <c r="AH115" s="4" t="str">
        <f t="shared" si="32"/>
        <v>N/A</v>
      </c>
      <c r="AI115" s="4" t="str">
        <f t="shared" si="33"/>
        <v>N/A</v>
      </c>
      <c r="AJ115" s="4">
        <v>0</v>
      </c>
      <c r="AK115" s="4">
        <v>15</v>
      </c>
      <c r="AL115" s="4">
        <v>0</v>
      </c>
      <c r="AM115" s="4">
        <v>0</v>
      </c>
      <c r="AN115" s="4">
        <f t="shared" si="34"/>
        <v>0</v>
      </c>
      <c r="AO115" s="4">
        <f t="shared" si="35"/>
        <v>100</v>
      </c>
      <c r="AP115" s="4">
        <v>2590</v>
      </c>
      <c r="AQ115" s="4">
        <v>7700</v>
      </c>
      <c r="AR115" s="4">
        <v>2120</v>
      </c>
      <c r="AS115" s="4">
        <v>1895</v>
      </c>
      <c r="AT115" s="4">
        <v>0</v>
      </c>
      <c r="AU115" s="4">
        <v>0</v>
      </c>
      <c r="AW115" s="4">
        <v>0</v>
      </c>
      <c r="AX115" s="4" t="str">
        <f t="shared" si="36"/>
        <v>N/A</v>
      </c>
      <c r="AY115" s="4" t="str">
        <f t="shared" si="37"/>
        <v>N/A</v>
      </c>
      <c r="AZ115" s="4">
        <v>8437</v>
      </c>
      <c r="BA115" s="4">
        <v>2333</v>
      </c>
      <c r="BC115" s="4">
        <v>0</v>
      </c>
      <c r="BD115" s="5">
        <v>15414.748083</v>
      </c>
      <c r="BE115" s="5">
        <v>10891.60101</v>
      </c>
      <c r="BF115" s="5">
        <v>17967.126189999999</v>
      </c>
      <c r="BG115" s="5">
        <f t="shared" si="38"/>
        <v>129</v>
      </c>
      <c r="BH115" s="5">
        <v>1109.413333</v>
      </c>
      <c r="BK115" s="5">
        <f t="shared" si="39"/>
        <v>1</v>
      </c>
      <c r="BL115" s="5">
        <v>10151.6906795</v>
      </c>
      <c r="BM115" s="5">
        <v>4134.5911939999996</v>
      </c>
      <c r="BN115" s="5">
        <v>21849.741363499998</v>
      </c>
      <c r="BO115" s="5">
        <v>16498.609211999999</v>
      </c>
      <c r="BP115" s="5">
        <v>23429.45</v>
      </c>
      <c r="BQ115" s="5">
        <v>19471.908211999998</v>
      </c>
      <c r="BR115" s="5">
        <v>10571.237112999999</v>
      </c>
      <c r="BS115" s="5">
        <v>4525.6289299999999</v>
      </c>
      <c r="BT115" s="5">
        <v>17545.036591</v>
      </c>
      <c r="BU115" s="5">
        <v>15133.233333</v>
      </c>
      <c r="BV115" s="5">
        <v>23429.45</v>
      </c>
      <c r="BW115" s="5">
        <v>19471.908211999998</v>
      </c>
      <c r="BX115" s="5">
        <v>11</v>
      </c>
      <c r="BY115" s="5">
        <v>3</v>
      </c>
      <c r="BZ115" s="5">
        <v>2</v>
      </c>
      <c r="CA115" s="5">
        <v>1</v>
      </c>
      <c r="CD115" s="143">
        <v>0.23098283406260522</v>
      </c>
      <c r="CE115" s="143">
        <v>2.1027761370348452E-2</v>
      </c>
      <c r="CF115" s="143">
        <v>48135812.350000001</v>
      </c>
      <c r="CG115" s="144">
        <v>84.5</v>
      </c>
      <c r="CH115" s="144">
        <v>7.7</v>
      </c>
      <c r="CI115" s="144">
        <v>2.5</v>
      </c>
      <c r="CJ115" s="144">
        <v>84.2</v>
      </c>
      <c r="CK115" s="144">
        <v>9.8000000000000007</v>
      </c>
      <c r="CL115" s="144">
        <v>2.5</v>
      </c>
      <c r="CM115" s="144">
        <v>94.8</v>
      </c>
      <c r="CN115" s="144">
        <v>96.5</v>
      </c>
    </row>
    <row r="116" spans="1:92" x14ac:dyDescent="0.3">
      <c r="A116">
        <v>873</v>
      </c>
      <c r="B116" s="1">
        <v>3.1492575090000002E-2</v>
      </c>
      <c r="C116" s="1">
        <v>8.6272359000000003E-3</v>
      </c>
      <c r="D116" s="1">
        <v>1.151333215E-2</v>
      </c>
      <c r="E116" s="1">
        <v>9.3236800200000008E-3</v>
      </c>
      <c r="F116" s="2">
        <v>6062</v>
      </c>
      <c r="G116" s="2">
        <v>2560</v>
      </c>
      <c r="H116" s="2">
        <v>840</v>
      </c>
      <c r="I116" s="2">
        <v>460</v>
      </c>
      <c r="J116" s="2">
        <v>3720</v>
      </c>
      <c r="K116" s="2">
        <v>450</v>
      </c>
      <c r="L116" s="4">
        <v>0</v>
      </c>
      <c r="M116" s="4">
        <v>372</v>
      </c>
      <c r="N116" s="4">
        <v>300</v>
      </c>
      <c r="O116" s="4">
        <v>0</v>
      </c>
      <c r="Q116" s="4">
        <v>5175</v>
      </c>
      <c r="R116" s="4">
        <v>35069</v>
      </c>
      <c r="S116" s="4">
        <v>10461</v>
      </c>
      <c r="T116" s="4">
        <v>1110</v>
      </c>
      <c r="V116" s="4">
        <f t="shared" si="30"/>
        <v>0.5535714285714286</v>
      </c>
      <c r="W116" s="4">
        <f t="shared" si="31"/>
        <v>128</v>
      </c>
      <c r="X116" s="4">
        <v>0</v>
      </c>
      <c r="Y116" s="4">
        <v>0</v>
      </c>
      <c r="Z116" s="4">
        <v>0</v>
      </c>
      <c r="AA116" s="4">
        <v>150</v>
      </c>
      <c r="AC116" s="4">
        <v>5870</v>
      </c>
      <c r="AD116" s="4">
        <v>9518</v>
      </c>
      <c r="AE116" s="4">
        <v>19057</v>
      </c>
      <c r="AF116" s="4">
        <v>2796</v>
      </c>
      <c r="AH116" s="4">
        <f t="shared" si="32"/>
        <v>0</v>
      </c>
      <c r="AI116" s="4">
        <f t="shared" si="33"/>
        <v>90</v>
      </c>
      <c r="AJ116" s="4">
        <v>0</v>
      </c>
      <c r="AK116" s="4">
        <v>608</v>
      </c>
      <c r="AL116" s="4">
        <v>34</v>
      </c>
      <c r="AM116" s="4">
        <v>30</v>
      </c>
      <c r="AN116" s="4">
        <f t="shared" si="34"/>
        <v>0</v>
      </c>
      <c r="AO116" s="4">
        <f t="shared" si="35"/>
        <v>100</v>
      </c>
      <c r="AP116" s="4">
        <v>4242</v>
      </c>
      <c r="AQ116" s="4">
        <v>31098</v>
      </c>
      <c r="AR116" s="4">
        <v>12215</v>
      </c>
      <c r="AS116" s="4">
        <v>4260</v>
      </c>
      <c r="AT116" s="4">
        <v>0</v>
      </c>
      <c r="AU116" s="4">
        <v>0</v>
      </c>
      <c r="AV116" s="4">
        <v>150</v>
      </c>
      <c r="AW116" s="4">
        <v>0</v>
      </c>
      <c r="AX116" s="4">
        <f t="shared" si="36"/>
        <v>0</v>
      </c>
      <c r="AY116" s="4">
        <f t="shared" si="37"/>
        <v>73</v>
      </c>
      <c r="AZ116" s="4">
        <v>11205</v>
      </c>
      <c r="BA116" s="4">
        <v>14546</v>
      </c>
      <c r="BB116" s="4">
        <v>11370</v>
      </c>
      <c r="BC116" s="4">
        <v>120</v>
      </c>
      <c r="BD116" s="5">
        <v>14127.765237</v>
      </c>
      <c r="BE116" s="5">
        <v>3539.393939</v>
      </c>
      <c r="BF116" s="5">
        <v>20900</v>
      </c>
      <c r="BG116" s="5">
        <f t="shared" si="38"/>
        <v>121</v>
      </c>
      <c r="BH116" s="5">
        <v>12680</v>
      </c>
      <c r="BJ116" s="5">
        <v>24709.333332999999</v>
      </c>
      <c r="BK116" s="5">
        <f t="shared" si="39"/>
        <v>27</v>
      </c>
      <c r="BL116" s="5">
        <v>10206.641905</v>
      </c>
      <c r="BM116" s="5">
        <v>4099.529587</v>
      </c>
      <c r="BN116" s="5">
        <v>17845.238095000001</v>
      </c>
      <c r="BO116" s="5">
        <v>16498.609211999999</v>
      </c>
      <c r="BP116" s="5">
        <v>0</v>
      </c>
      <c r="BQ116" s="5">
        <v>0</v>
      </c>
      <c r="BR116" s="5">
        <v>9481.0829859999994</v>
      </c>
      <c r="BS116" s="5">
        <v>4148.7924235</v>
      </c>
      <c r="BT116" s="5">
        <v>18129.543333000001</v>
      </c>
      <c r="BU116" s="5">
        <v>11440.979142</v>
      </c>
      <c r="BV116" s="5">
        <v>0</v>
      </c>
      <c r="BW116" s="5">
        <v>23157.895</v>
      </c>
      <c r="BX116" s="5">
        <v>19</v>
      </c>
      <c r="BY116" s="5">
        <v>8</v>
      </c>
      <c r="BZ116" s="5">
        <v>5</v>
      </c>
      <c r="CA116" s="5">
        <v>1</v>
      </c>
      <c r="CC116" s="5">
        <v>1</v>
      </c>
      <c r="CD116" s="143">
        <v>0.21564752383166708</v>
      </c>
      <c r="CE116" s="143">
        <v>-1.2887635924285101E-2</v>
      </c>
      <c r="CF116" s="143">
        <v>137751006.57999998</v>
      </c>
      <c r="CG116" s="144">
        <v>90.1</v>
      </c>
      <c r="CH116" s="144">
        <v>5.3</v>
      </c>
      <c r="CI116" s="144">
        <v>1.3</v>
      </c>
      <c r="CJ116" s="144">
        <v>92</v>
      </c>
      <c r="CK116" s="144">
        <v>4.5999999999999996</v>
      </c>
      <c r="CL116" s="144">
        <v>0.7</v>
      </c>
      <c r="CM116" s="144">
        <v>96.7</v>
      </c>
      <c r="CN116" s="144">
        <v>97.4</v>
      </c>
    </row>
    <row r="117" spans="1:92" x14ac:dyDescent="0.3">
      <c r="A117">
        <v>874</v>
      </c>
      <c r="B117" s="1">
        <v>6.0460055950000001E-2</v>
      </c>
      <c r="C117" s="1">
        <v>4.5073049399999999E-3</v>
      </c>
      <c r="D117" s="1">
        <v>1.422175401E-2</v>
      </c>
      <c r="E117" s="1">
        <v>-4.3894301999999999E-4</v>
      </c>
      <c r="F117" s="2">
        <v>4803</v>
      </c>
      <c r="G117" s="2">
        <v>1900</v>
      </c>
      <c r="H117" s="2">
        <v>170</v>
      </c>
      <c r="I117" s="2">
        <v>10</v>
      </c>
      <c r="J117" s="2">
        <v>1716</v>
      </c>
      <c r="K117" s="2">
        <v>0</v>
      </c>
      <c r="L117" s="4">
        <v>259</v>
      </c>
      <c r="M117" s="4">
        <v>1098</v>
      </c>
      <c r="N117" s="4">
        <v>180</v>
      </c>
      <c r="O117" s="4">
        <v>0</v>
      </c>
      <c r="Q117" s="4">
        <v>2201</v>
      </c>
      <c r="R117" s="4">
        <v>13801</v>
      </c>
      <c r="S117" s="4">
        <v>2295</v>
      </c>
      <c r="T117" s="4">
        <v>660</v>
      </c>
      <c r="V117" s="4">
        <f t="shared" si="30"/>
        <v>0.88288874430709174</v>
      </c>
      <c r="W117" s="4">
        <f t="shared" si="31"/>
        <v>72</v>
      </c>
      <c r="X117" s="4">
        <v>0</v>
      </c>
      <c r="Y117" s="4">
        <v>0</v>
      </c>
      <c r="Z117" s="4">
        <v>0</v>
      </c>
      <c r="AA117" s="4">
        <v>0</v>
      </c>
      <c r="AC117" s="4">
        <v>2650</v>
      </c>
      <c r="AD117" s="4">
        <v>9887</v>
      </c>
      <c r="AE117" s="4">
        <v>1262</v>
      </c>
      <c r="AF117" s="4">
        <v>1650</v>
      </c>
      <c r="AH117" s="4" t="str">
        <f t="shared" si="32"/>
        <v>N/A</v>
      </c>
      <c r="AI117" s="4" t="str">
        <f t="shared" si="33"/>
        <v>N/A</v>
      </c>
      <c r="AJ117" s="4">
        <v>180</v>
      </c>
      <c r="AK117" s="4">
        <v>544</v>
      </c>
      <c r="AL117" s="4">
        <v>423</v>
      </c>
      <c r="AM117" s="4">
        <v>390</v>
      </c>
      <c r="AN117" s="4">
        <f t="shared" si="34"/>
        <v>0.15693112467306017</v>
      </c>
      <c r="AO117" s="4">
        <f t="shared" si="35"/>
        <v>66</v>
      </c>
      <c r="AP117" s="4">
        <v>2655</v>
      </c>
      <c r="AQ117" s="4">
        <v>9653</v>
      </c>
      <c r="AR117" s="4">
        <v>5299</v>
      </c>
      <c r="AS117" s="4">
        <v>1350</v>
      </c>
      <c r="AT117" s="4">
        <v>0</v>
      </c>
      <c r="AU117" s="4">
        <v>0</v>
      </c>
      <c r="AV117" s="4">
        <v>0</v>
      </c>
      <c r="AW117" s="4">
        <v>0</v>
      </c>
      <c r="AX117" s="4" t="str">
        <f t="shared" si="36"/>
        <v>N/A</v>
      </c>
      <c r="AY117" s="4" t="str">
        <f t="shared" si="37"/>
        <v>N/A</v>
      </c>
      <c r="AZ117" s="4">
        <v>4435</v>
      </c>
      <c r="BA117" s="4">
        <v>4102</v>
      </c>
      <c r="BB117" s="4">
        <v>6912</v>
      </c>
      <c r="BC117" s="4">
        <v>0</v>
      </c>
      <c r="BD117" s="5">
        <v>11780.118453999999</v>
      </c>
      <c r="BE117" s="5">
        <v>2000</v>
      </c>
      <c r="BF117" s="5">
        <v>17086.310000000001</v>
      </c>
      <c r="BG117" s="5">
        <f t="shared" si="38"/>
        <v>105</v>
      </c>
      <c r="BH117" s="5">
        <v>10201.958284</v>
      </c>
      <c r="BJ117" s="5">
        <v>23157.895</v>
      </c>
      <c r="BK117" s="5">
        <f t="shared" si="39"/>
        <v>19</v>
      </c>
      <c r="BL117" s="5">
        <v>9642.3555185000005</v>
      </c>
      <c r="BM117" s="5">
        <v>5536.2095719999998</v>
      </c>
      <c r="BN117" s="5">
        <v>13262.975793</v>
      </c>
      <c r="BO117" s="5">
        <v>13218.837631</v>
      </c>
      <c r="BP117" s="5">
        <v>0</v>
      </c>
      <c r="BQ117" s="5">
        <v>21896.833331999998</v>
      </c>
      <c r="BR117" s="5">
        <v>9481.0829859999994</v>
      </c>
      <c r="BS117" s="5">
        <v>4148.7924235</v>
      </c>
      <c r="BT117" s="5">
        <v>18129.543333000001</v>
      </c>
      <c r="BU117" s="5">
        <v>11440.979142</v>
      </c>
      <c r="BV117" s="5">
        <v>0</v>
      </c>
      <c r="BW117" s="5">
        <v>23157.895</v>
      </c>
      <c r="BX117" s="5">
        <v>22</v>
      </c>
      <c r="BY117" s="5">
        <v>2</v>
      </c>
      <c r="BZ117" s="5">
        <v>3</v>
      </c>
      <c r="CA117" s="5">
        <v>3</v>
      </c>
      <c r="CC117" s="5">
        <v>1</v>
      </c>
      <c r="CD117" s="143">
        <v>0.40762613942739767</v>
      </c>
      <c r="CE117" s="143">
        <v>0.45268804930943962</v>
      </c>
      <c r="CF117" s="143">
        <v>51953817.450000003</v>
      </c>
      <c r="CG117" s="144">
        <v>90.9</v>
      </c>
      <c r="CH117" s="144">
        <v>5.5</v>
      </c>
      <c r="CI117" s="144">
        <v>1.5</v>
      </c>
      <c r="CJ117" s="144">
        <v>85.9</v>
      </c>
      <c r="CK117" s="144">
        <v>9.9</v>
      </c>
      <c r="CL117" s="144">
        <v>2.6</v>
      </c>
      <c r="CM117" s="144">
        <v>97.9</v>
      </c>
      <c r="CN117" s="144">
        <v>98.3</v>
      </c>
    </row>
    <row r="118" spans="1:92" x14ac:dyDescent="0.3">
      <c r="A118">
        <v>876</v>
      </c>
      <c r="B118" s="1">
        <v>-8.4097859300000001E-3</v>
      </c>
      <c r="C118" s="1">
        <v>-6.6896024000000004E-4</v>
      </c>
      <c r="D118" s="1">
        <v>5.8402686E-4</v>
      </c>
      <c r="E118" s="1">
        <v>1.051248357E-2</v>
      </c>
      <c r="F118" s="2">
        <v>280</v>
      </c>
      <c r="G118" s="2">
        <v>1829</v>
      </c>
      <c r="H118" s="2">
        <v>20</v>
      </c>
      <c r="I118" s="2">
        <v>0</v>
      </c>
      <c r="J118" s="2">
        <v>133</v>
      </c>
      <c r="K118" s="2">
        <v>245</v>
      </c>
      <c r="L118" s="4">
        <v>55</v>
      </c>
      <c r="M118" s="4">
        <v>70</v>
      </c>
      <c r="N118" s="4">
        <v>0</v>
      </c>
      <c r="O118" s="4">
        <v>0</v>
      </c>
      <c r="Q118" s="4">
        <v>2528</v>
      </c>
      <c r="R118" s="4">
        <v>6902</v>
      </c>
      <c r="S118" s="4">
        <v>1540</v>
      </c>
      <c r="T118" s="4">
        <v>0</v>
      </c>
      <c r="V118" s="4">
        <f t="shared" si="30"/>
        <v>1</v>
      </c>
      <c r="W118" s="4">
        <f t="shared" si="31"/>
        <v>1</v>
      </c>
      <c r="X118" s="4">
        <v>200</v>
      </c>
      <c r="Y118" s="4">
        <v>0</v>
      </c>
      <c r="Z118" s="4">
        <v>0</v>
      </c>
      <c r="AA118" s="4">
        <v>0</v>
      </c>
      <c r="AC118" s="4">
        <v>2700</v>
      </c>
      <c r="AD118" s="4">
        <v>2777</v>
      </c>
      <c r="AE118" s="4">
        <v>900</v>
      </c>
      <c r="AF118" s="4">
        <v>1107</v>
      </c>
      <c r="AH118" s="4">
        <f t="shared" si="32"/>
        <v>1</v>
      </c>
      <c r="AI118" s="4">
        <f t="shared" si="33"/>
        <v>1</v>
      </c>
      <c r="AJ118" s="4">
        <v>35</v>
      </c>
      <c r="AK118" s="4">
        <v>90</v>
      </c>
      <c r="AL118" s="4">
        <v>0</v>
      </c>
      <c r="AM118" s="4">
        <v>0</v>
      </c>
      <c r="AN118" s="4">
        <f t="shared" si="34"/>
        <v>0.28000000000000003</v>
      </c>
      <c r="AO118" s="4">
        <f t="shared" si="35"/>
        <v>52</v>
      </c>
      <c r="AP118" s="4">
        <v>1763</v>
      </c>
      <c r="AQ118" s="4">
        <v>7015</v>
      </c>
      <c r="AR118" s="4">
        <v>1967</v>
      </c>
      <c r="AS118" s="4">
        <v>225</v>
      </c>
      <c r="AU118" s="4">
        <v>200</v>
      </c>
      <c r="AV118" s="4">
        <v>0</v>
      </c>
      <c r="AW118" s="4">
        <v>0</v>
      </c>
      <c r="AX118" s="4">
        <f t="shared" si="36"/>
        <v>0</v>
      </c>
      <c r="AY118" s="4">
        <f t="shared" si="37"/>
        <v>73</v>
      </c>
      <c r="BA118" s="4">
        <v>3600</v>
      </c>
      <c r="BB118" s="4">
        <v>3884</v>
      </c>
      <c r="BC118" s="4">
        <v>0</v>
      </c>
      <c r="BD118" s="5">
        <v>9580.0966380000009</v>
      </c>
      <c r="BG118" s="5">
        <f t="shared" si="38"/>
        <v>75</v>
      </c>
      <c r="BK118" s="5" t="str">
        <f t="shared" si="39"/>
        <v>N/A</v>
      </c>
      <c r="BL118" s="5">
        <v>5971.1776415000004</v>
      </c>
      <c r="BM118" s="5">
        <v>4340.5333330000003</v>
      </c>
      <c r="BN118" s="5">
        <v>3248.4145015000004</v>
      </c>
      <c r="BO118" s="5">
        <v>0</v>
      </c>
      <c r="BP118" s="5">
        <v>0</v>
      </c>
      <c r="BQ118" s="5">
        <v>22877.14</v>
      </c>
      <c r="BR118" s="5">
        <v>8841.4634729999998</v>
      </c>
      <c r="BS118" s="5">
        <v>4134.5523805000003</v>
      </c>
      <c r="BT118" s="5">
        <v>8932.2095234999997</v>
      </c>
      <c r="BU118" s="5">
        <v>12154.166666500001</v>
      </c>
      <c r="BV118" s="5">
        <v>0</v>
      </c>
      <c r="BW118" s="5">
        <v>22877.14</v>
      </c>
      <c r="BX118" s="5">
        <v>6</v>
      </c>
      <c r="CD118" s="143">
        <v>9.0665014456835946E-2</v>
      </c>
      <c r="CE118" s="143">
        <v>-2.6392554521461609E-3</v>
      </c>
      <c r="CF118" s="143">
        <v>5755053.1499999994</v>
      </c>
      <c r="CG118" s="144">
        <v>89</v>
      </c>
      <c r="CH118" s="144">
        <v>6.7</v>
      </c>
      <c r="CI118" s="144">
        <v>1.6</v>
      </c>
      <c r="CJ118" s="144">
        <v>94</v>
      </c>
      <c r="CK118" s="144">
        <v>4.4000000000000004</v>
      </c>
      <c r="CL118" s="144">
        <v>0.1</v>
      </c>
      <c r="CM118" s="144">
        <v>97.4</v>
      </c>
      <c r="CN118" s="144">
        <v>98.6</v>
      </c>
    </row>
    <row r="119" spans="1:92" x14ac:dyDescent="0.3">
      <c r="A119">
        <v>877</v>
      </c>
      <c r="B119" s="1">
        <v>1.3245033099999999E-3</v>
      </c>
      <c r="C119" s="1">
        <v>6.3921681500000004E-3</v>
      </c>
      <c r="D119" s="1">
        <v>2.1896551720000001E-2</v>
      </c>
      <c r="E119" s="1">
        <v>4.9137931000000001E-3</v>
      </c>
      <c r="F119" s="2">
        <v>226</v>
      </c>
      <c r="G119" s="2">
        <v>91</v>
      </c>
      <c r="H119" s="2">
        <v>150</v>
      </c>
      <c r="I119" s="2">
        <v>0</v>
      </c>
      <c r="J119" s="2">
        <v>765</v>
      </c>
      <c r="K119" s="2">
        <v>348</v>
      </c>
      <c r="L119" s="4">
        <v>27</v>
      </c>
      <c r="M119" s="4">
        <v>345</v>
      </c>
      <c r="N119" s="4">
        <v>0</v>
      </c>
      <c r="O119" s="4">
        <v>0</v>
      </c>
      <c r="Q119" s="4">
        <v>3990</v>
      </c>
      <c r="R119" s="4">
        <v>12092</v>
      </c>
      <c r="S119" s="4">
        <v>2068</v>
      </c>
      <c r="T119" s="4">
        <v>200</v>
      </c>
      <c r="V119" s="4">
        <f t="shared" si="30"/>
        <v>1</v>
      </c>
      <c r="W119" s="4">
        <f t="shared" si="31"/>
        <v>1</v>
      </c>
      <c r="X119" s="4">
        <v>0</v>
      </c>
      <c r="Y119" s="4">
        <v>63</v>
      </c>
      <c r="Z119" s="4">
        <v>0</v>
      </c>
      <c r="AA119" s="4">
        <v>0</v>
      </c>
      <c r="AC119" s="4">
        <v>3567</v>
      </c>
      <c r="AD119" s="4">
        <v>4419</v>
      </c>
      <c r="AE119" s="4">
        <v>5241</v>
      </c>
      <c r="AF119" s="4">
        <v>825</v>
      </c>
      <c r="AH119" s="4">
        <f t="shared" si="32"/>
        <v>1</v>
      </c>
      <c r="AI119" s="4">
        <f t="shared" si="33"/>
        <v>1</v>
      </c>
      <c r="AJ119" s="4">
        <v>55</v>
      </c>
      <c r="AK119" s="4">
        <v>287</v>
      </c>
      <c r="AL119" s="4">
        <v>30</v>
      </c>
      <c r="AM119" s="4">
        <v>0</v>
      </c>
      <c r="AN119" s="4">
        <f t="shared" si="34"/>
        <v>0.14784946236559141</v>
      </c>
      <c r="AO119" s="4">
        <f t="shared" si="35"/>
        <v>68</v>
      </c>
      <c r="AP119" s="4">
        <v>2940</v>
      </c>
      <c r="AQ119" s="4">
        <v>10946</v>
      </c>
      <c r="AR119" s="4">
        <v>4059</v>
      </c>
      <c r="AS119" s="4">
        <v>405</v>
      </c>
      <c r="AU119" s="4">
        <v>0</v>
      </c>
      <c r="AV119" s="4">
        <v>63</v>
      </c>
      <c r="AW119" s="4">
        <v>0</v>
      </c>
      <c r="AX119" s="4">
        <f t="shared" si="36"/>
        <v>0</v>
      </c>
      <c r="AY119" s="4">
        <f t="shared" si="37"/>
        <v>73</v>
      </c>
      <c r="BA119" s="4">
        <v>8247</v>
      </c>
      <c r="BB119" s="4">
        <v>5805</v>
      </c>
      <c r="BC119" s="4">
        <v>0</v>
      </c>
      <c r="BD119" s="5">
        <v>5902.9464049999997</v>
      </c>
      <c r="BE119" s="5">
        <v>4533.3333329999996</v>
      </c>
      <c r="BF119" s="5">
        <v>5003.6666660000001</v>
      </c>
      <c r="BG119" s="5">
        <f t="shared" si="38"/>
        <v>20</v>
      </c>
      <c r="BK119" s="5" t="str">
        <f t="shared" si="39"/>
        <v>N/A</v>
      </c>
      <c r="BL119" s="5">
        <v>9043.2815960000007</v>
      </c>
      <c r="BM119" s="5">
        <v>3712.609027</v>
      </c>
      <c r="BN119" s="5">
        <v>12855.095238</v>
      </c>
      <c r="BO119" s="5">
        <v>12209.933333000001</v>
      </c>
      <c r="BP119" s="5">
        <v>2316.6666660000001</v>
      </c>
      <c r="BQ119" s="5">
        <v>0</v>
      </c>
      <c r="BR119" s="5">
        <v>8841.4634729999998</v>
      </c>
      <c r="BS119" s="5">
        <v>4134.5523805000003</v>
      </c>
      <c r="BT119" s="5">
        <v>8932.2095234999997</v>
      </c>
      <c r="BU119" s="5">
        <v>12154.166666500001</v>
      </c>
      <c r="BV119" s="5">
        <v>0</v>
      </c>
      <c r="BW119" s="5">
        <v>22877.14</v>
      </c>
      <c r="BX119" s="5">
        <v>7</v>
      </c>
      <c r="BY119" s="5">
        <v>1</v>
      </c>
      <c r="BZ119" s="5">
        <v>1</v>
      </c>
      <c r="CD119" s="143">
        <v>0.1290979811076125</v>
      </c>
      <c r="CE119" s="143">
        <v>-1.3223140495867813E-2</v>
      </c>
      <c r="CF119" s="143">
        <v>20702360.550000001</v>
      </c>
      <c r="CG119" s="144">
        <v>90.4</v>
      </c>
      <c r="CH119" s="144">
        <v>5.3</v>
      </c>
      <c r="CI119" s="144">
        <v>1.3</v>
      </c>
      <c r="CJ119" s="144">
        <v>92</v>
      </c>
      <c r="CK119" s="144">
        <v>6</v>
      </c>
      <c r="CL119" s="144">
        <v>0.9</v>
      </c>
      <c r="CM119" s="144">
        <v>97</v>
      </c>
      <c r="CN119" s="144">
        <v>98.9</v>
      </c>
    </row>
    <row r="120" spans="1:92" x14ac:dyDescent="0.3">
      <c r="A120">
        <v>878</v>
      </c>
      <c r="B120" s="1">
        <v>-8.52890561E-3</v>
      </c>
      <c r="C120" s="1">
        <v>-8.8882164899999998E-3</v>
      </c>
      <c r="D120" s="1">
        <v>1.314597879E-2</v>
      </c>
      <c r="E120" s="1">
        <v>1.2853845920000001E-2</v>
      </c>
      <c r="F120" s="2">
        <v>5301</v>
      </c>
      <c r="G120" s="2">
        <v>3054</v>
      </c>
      <c r="H120" s="2">
        <v>640</v>
      </c>
      <c r="I120" s="2">
        <v>430</v>
      </c>
      <c r="J120" s="2">
        <v>2554</v>
      </c>
      <c r="K120" s="2">
        <v>1338</v>
      </c>
      <c r="L120" s="4">
        <v>56</v>
      </c>
      <c r="M120" s="4">
        <v>573</v>
      </c>
      <c r="N120" s="4">
        <v>55</v>
      </c>
      <c r="O120" s="4">
        <v>0</v>
      </c>
      <c r="Q120" s="4">
        <v>12019</v>
      </c>
      <c r="R120" s="4">
        <v>37906</v>
      </c>
      <c r="S120" s="4">
        <v>7570</v>
      </c>
      <c r="T120" s="4">
        <v>636</v>
      </c>
      <c r="V120" s="4">
        <f t="shared" si="30"/>
        <v>0.91959064327485385</v>
      </c>
      <c r="W120" s="4">
        <f t="shared" si="31"/>
        <v>66</v>
      </c>
      <c r="X120" s="4">
        <v>57</v>
      </c>
      <c r="Y120" s="4">
        <v>528</v>
      </c>
      <c r="Z120" s="4">
        <v>104</v>
      </c>
      <c r="AA120" s="4">
        <v>0</v>
      </c>
      <c r="AC120" s="4">
        <v>8045</v>
      </c>
      <c r="AD120" s="4">
        <v>29600</v>
      </c>
      <c r="AE120" s="4">
        <v>4859</v>
      </c>
      <c r="AF120" s="4">
        <v>2232</v>
      </c>
      <c r="AH120" s="4">
        <f t="shared" si="32"/>
        <v>0.84905660377358494</v>
      </c>
      <c r="AI120" s="4">
        <f t="shared" si="33"/>
        <v>71</v>
      </c>
      <c r="AJ120" s="4">
        <v>275</v>
      </c>
      <c r="AK120" s="4">
        <v>263</v>
      </c>
      <c r="AL120" s="4">
        <v>146</v>
      </c>
      <c r="AM120" s="4">
        <v>0</v>
      </c>
      <c r="AN120" s="4">
        <f t="shared" si="34"/>
        <v>0.40204678362573099</v>
      </c>
      <c r="AO120" s="4">
        <f t="shared" si="35"/>
        <v>32</v>
      </c>
      <c r="AP120" s="4">
        <v>10987</v>
      </c>
      <c r="AQ120" s="4">
        <v>34273</v>
      </c>
      <c r="AR120" s="4">
        <v>8480</v>
      </c>
      <c r="AS120" s="4">
        <v>4391</v>
      </c>
      <c r="AT120" s="4">
        <v>57</v>
      </c>
      <c r="AU120" s="4">
        <v>528</v>
      </c>
      <c r="AV120" s="4">
        <v>104</v>
      </c>
      <c r="AW120" s="4">
        <v>0</v>
      </c>
      <c r="AX120" s="4">
        <f t="shared" si="36"/>
        <v>8.2728592162554432E-2</v>
      </c>
      <c r="AY120" s="4">
        <f t="shared" si="37"/>
        <v>70</v>
      </c>
      <c r="AZ120" s="4">
        <v>12576</v>
      </c>
      <c r="BA120" s="4">
        <v>18387</v>
      </c>
      <c r="BB120" s="4">
        <v>13773</v>
      </c>
      <c r="BC120" s="4">
        <v>0</v>
      </c>
      <c r="BD120" s="5">
        <v>11063.981497000001</v>
      </c>
      <c r="BE120" s="5">
        <v>3839.9666659999998</v>
      </c>
      <c r="BF120" s="5">
        <v>31220.514285000001</v>
      </c>
      <c r="BG120" s="5">
        <f t="shared" si="38"/>
        <v>97</v>
      </c>
      <c r="BH120" s="5">
        <v>7127.1501829999997</v>
      </c>
      <c r="BJ120" s="5">
        <v>5489.5110839999998</v>
      </c>
      <c r="BK120" s="5">
        <f t="shared" si="39"/>
        <v>14</v>
      </c>
      <c r="BL120" s="5">
        <v>8958.4748665000006</v>
      </c>
      <c r="BM120" s="5">
        <v>4103.2656365000003</v>
      </c>
      <c r="BN120" s="5">
        <v>11797.370706</v>
      </c>
      <c r="BO120" s="5">
        <v>6196.1574584999998</v>
      </c>
      <c r="BP120" s="5">
        <v>0</v>
      </c>
      <c r="BQ120" s="5">
        <v>19618.535185000001</v>
      </c>
      <c r="BR120" s="5">
        <v>10694.372525999999</v>
      </c>
      <c r="BS120" s="5">
        <v>4082.926829</v>
      </c>
      <c r="BT120" s="5">
        <v>13657.142857000001</v>
      </c>
      <c r="BU120" s="5">
        <v>7127.1501829999997</v>
      </c>
      <c r="BV120" s="5">
        <v>0</v>
      </c>
      <c r="BW120" s="5">
        <v>5489.5110839999998</v>
      </c>
      <c r="BX120" s="5">
        <v>45</v>
      </c>
      <c r="BY120" s="5">
        <v>1</v>
      </c>
      <c r="BZ120" s="5">
        <v>1</v>
      </c>
      <c r="CA120" s="5">
        <v>10</v>
      </c>
      <c r="CC120" s="5">
        <v>1</v>
      </c>
      <c r="CD120" s="143">
        <v>0.10038548024413751</v>
      </c>
      <c r="CE120" s="143">
        <v>-5.1340468369185155E-2</v>
      </c>
      <c r="CF120" s="143">
        <v>71389066.010000005</v>
      </c>
      <c r="CG120" s="144">
        <v>94.4</v>
      </c>
      <c r="CH120" s="144">
        <v>3.2</v>
      </c>
      <c r="CI120" s="144">
        <v>0.5</v>
      </c>
      <c r="CJ120" s="144">
        <v>96</v>
      </c>
      <c r="CK120" s="144">
        <v>2.2999999999999998</v>
      </c>
      <c r="CL120" s="144">
        <v>0.5</v>
      </c>
      <c r="CM120" s="144">
        <v>98.1</v>
      </c>
      <c r="CN120" s="144">
        <v>98.8</v>
      </c>
    </row>
    <row r="121" spans="1:92" x14ac:dyDescent="0.3">
      <c r="A121">
        <v>879</v>
      </c>
      <c r="B121" s="1">
        <v>1.1558349379999999E-2</v>
      </c>
      <c r="C121" s="1">
        <v>-5.8805637199999998E-3</v>
      </c>
      <c r="D121" s="1">
        <v>1.7735124759999998E-2</v>
      </c>
      <c r="E121" s="1">
        <v>6.9097888000000003E-4</v>
      </c>
      <c r="F121" s="2">
        <v>3153</v>
      </c>
      <c r="G121" s="2">
        <v>1571</v>
      </c>
      <c r="H121" s="2">
        <v>0</v>
      </c>
      <c r="I121" s="2">
        <v>0</v>
      </c>
      <c r="J121" s="2">
        <v>1050</v>
      </c>
      <c r="K121" s="2">
        <v>160</v>
      </c>
      <c r="L121" s="4">
        <v>57</v>
      </c>
      <c r="M121" s="4">
        <v>131</v>
      </c>
      <c r="N121" s="4">
        <v>15</v>
      </c>
      <c r="O121" s="4">
        <v>16</v>
      </c>
      <c r="Q121" s="4">
        <v>2485</v>
      </c>
      <c r="R121" s="4">
        <v>12599</v>
      </c>
      <c r="S121" s="4">
        <v>4261</v>
      </c>
      <c r="T121" s="4">
        <v>660</v>
      </c>
      <c r="V121" s="4">
        <f t="shared" si="30"/>
        <v>0.85844748858447484</v>
      </c>
      <c r="W121" s="4">
        <f t="shared" si="31"/>
        <v>78</v>
      </c>
      <c r="X121" s="4">
        <v>0</v>
      </c>
      <c r="Y121" s="4">
        <v>0</v>
      </c>
      <c r="Z121" s="4">
        <v>0</v>
      </c>
      <c r="AA121" s="4">
        <v>0</v>
      </c>
      <c r="AC121" s="4">
        <v>2340</v>
      </c>
      <c r="AD121" s="4">
        <v>12054</v>
      </c>
      <c r="AE121" s="4">
        <v>3889</v>
      </c>
      <c r="AF121" s="4">
        <v>0</v>
      </c>
      <c r="AH121" s="4" t="str">
        <f t="shared" si="32"/>
        <v>N/A</v>
      </c>
      <c r="AI121" s="4" t="str">
        <f t="shared" si="33"/>
        <v>N/A</v>
      </c>
      <c r="AJ121" s="4">
        <v>44</v>
      </c>
      <c r="AK121" s="4">
        <v>159</v>
      </c>
      <c r="AL121" s="4">
        <v>16</v>
      </c>
      <c r="AM121" s="4">
        <v>0</v>
      </c>
      <c r="AN121" s="4">
        <f t="shared" si="34"/>
        <v>0.20091324200913241</v>
      </c>
      <c r="AO121" s="4">
        <f t="shared" si="35"/>
        <v>62</v>
      </c>
      <c r="AP121" s="4">
        <v>4896</v>
      </c>
      <c r="AQ121" s="4">
        <v>9230</v>
      </c>
      <c r="AR121" s="4">
        <v>5230</v>
      </c>
      <c r="AS121" s="4">
        <v>649</v>
      </c>
      <c r="AT121" s="4">
        <v>0</v>
      </c>
      <c r="AU121" s="4">
        <v>0</v>
      </c>
      <c r="AV121" s="4">
        <v>0</v>
      </c>
      <c r="AW121" s="4">
        <v>0</v>
      </c>
      <c r="AX121" s="4" t="str">
        <f t="shared" si="36"/>
        <v>N/A</v>
      </c>
      <c r="AY121" s="4" t="str">
        <f t="shared" si="37"/>
        <v>N/A</v>
      </c>
      <c r="AZ121" s="4">
        <v>2520</v>
      </c>
      <c r="BA121" s="4">
        <v>8669</v>
      </c>
      <c r="BB121" s="4">
        <v>7094</v>
      </c>
      <c r="BC121" s="4">
        <v>0</v>
      </c>
      <c r="BD121" s="5">
        <v>8620.6837940000005</v>
      </c>
      <c r="BE121" s="5">
        <v>5714.2857139999996</v>
      </c>
      <c r="BG121" s="5">
        <f t="shared" si="38"/>
        <v>64</v>
      </c>
      <c r="BK121" s="5" t="str">
        <f t="shared" si="39"/>
        <v>N/A</v>
      </c>
      <c r="BL121" s="5">
        <v>9883.0142535000014</v>
      </c>
      <c r="BM121" s="5">
        <v>4905.9425775</v>
      </c>
      <c r="BN121" s="5">
        <v>13912.4529755</v>
      </c>
      <c r="BO121" s="5">
        <v>15428.903333</v>
      </c>
      <c r="BP121" s="5">
        <v>0</v>
      </c>
      <c r="BQ121" s="5">
        <v>21896.833331999998</v>
      </c>
      <c r="BR121" s="5">
        <v>10694.372525999999</v>
      </c>
      <c r="BS121" s="5">
        <v>4082.926829</v>
      </c>
      <c r="BT121" s="5">
        <v>13657.142857000001</v>
      </c>
      <c r="BU121" s="5">
        <v>7127.1501829999997</v>
      </c>
      <c r="BV121" s="5">
        <v>0</v>
      </c>
      <c r="BW121" s="5">
        <v>5489.5110839999998</v>
      </c>
      <c r="BX121" s="5">
        <v>16</v>
      </c>
      <c r="BY121" s="5">
        <v>1</v>
      </c>
      <c r="CD121" s="143">
        <v>0.15313081215127089</v>
      </c>
      <c r="CE121" s="143">
        <v>-7.8446253622188489E-2</v>
      </c>
      <c r="CF121" s="143">
        <v>29103483.209999997</v>
      </c>
      <c r="CG121" s="144">
        <v>88</v>
      </c>
      <c r="CH121" s="144">
        <v>6.2</v>
      </c>
      <c r="CI121" s="144">
        <v>2.2000000000000002</v>
      </c>
      <c r="CJ121" s="144">
        <v>95.2</v>
      </c>
      <c r="CK121" s="144">
        <v>3.4</v>
      </c>
      <c r="CL121" s="144">
        <v>1.1000000000000001</v>
      </c>
      <c r="CM121" s="144">
        <v>96.4</v>
      </c>
      <c r="CN121" s="144">
        <v>99.7</v>
      </c>
    </row>
    <row r="122" spans="1:92" x14ac:dyDescent="0.3">
      <c r="A122">
        <v>880</v>
      </c>
      <c r="B122" s="1">
        <v>-5.7227638799999996E-3</v>
      </c>
      <c r="C122" s="1">
        <v>5.8287409900000002E-3</v>
      </c>
      <c r="D122" s="1">
        <v>-6.1144271299999999E-3</v>
      </c>
      <c r="E122" s="1">
        <v>9.0260591000000008E-3</v>
      </c>
      <c r="F122" s="2">
        <v>692</v>
      </c>
      <c r="G122" s="2">
        <v>0</v>
      </c>
      <c r="H122" s="2">
        <v>50</v>
      </c>
      <c r="I122" s="2">
        <v>10</v>
      </c>
      <c r="J122" s="2">
        <v>210</v>
      </c>
      <c r="K122" s="2">
        <v>0</v>
      </c>
      <c r="L122" s="4">
        <v>0</v>
      </c>
      <c r="M122" s="4">
        <v>544</v>
      </c>
      <c r="N122" s="4">
        <v>32</v>
      </c>
      <c r="Q122" s="4">
        <v>1575</v>
      </c>
      <c r="R122" s="4">
        <v>7306</v>
      </c>
      <c r="S122" s="4">
        <v>598</v>
      </c>
      <c r="V122" s="4">
        <f t="shared" si="30"/>
        <v>0.94444444444444442</v>
      </c>
      <c r="W122" s="4">
        <f t="shared" si="31"/>
        <v>61</v>
      </c>
      <c r="X122" s="4">
        <v>180</v>
      </c>
      <c r="Y122" s="4">
        <v>119</v>
      </c>
      <c r="Z122" s="4">
        <v>0</v>
      </c>
      <c r="AC122" s="4">
        <v>3010</v>
      </c>
      <c r="AD122" s="4">
        <v>2156</v>
      </c>
      <c r="AE122" s="4">
        <v>4106</v>
      </c>
      <c r="AH122" s="4">
        <f t="shared" si="32"/>
        <v>1</v>
      </c>
      <c r="AI122" s="4">
        <f t="shared" si="33"/>
        <v>1</v>
      </c>
      <c r="AJ122" s="4">
        <v>15</v>
      </c>
      <c r="AK122" s="4">
        <v>298</v>
      </c>
      <c r="AL122" s="4">
        <v>263</v>
      </c>
      <c r="AM122" s="4">
        <v>0</v>
      </c>
      <c r="AN122" s="4">
        <f t="shared" si="34"/>
        <v>2.6041666666666668E-2</v>
      </c>
      <c r="AO122" s="4">
        <f t="shared" si="35"/>
        <v>99</v>
      </c>
      <c r="AP122" s="4">
        <v>2680</v>
      </c>
      <c r="AQ122" s="4">
        <v>4682</v>
      </c>
      <c r="AR122" s="4">
        <v>2117</v>
      </c>
      <c r="AS122" s="4">
        <v>0</v>
      </c>
      <c r="AT122" s="4">
        <v>180</v>
      </c>
      <c r="AU122" s="4">
        <v>119</v>
      </c>
      <c r="AV122" s="4">
        <v>0</v>
      </c>
      <c r="AW122" s="4">
        <v>0</v>
      </c>
      <c r="AX122" s="4">
        <f t="shared" si="36"/>
        <v>0.60200668896321075</v>
      </c>
      <c r="AY122" s="4">
        <f t="shared" si="37"/>
        <v>48</v>
      </c>
      <c r="AZ122" s="4">
        <v>3010</v>
      </c>
      <c r="BA122" s="4">
        <v>4984</v>
      </c>
      <c r="BB122" s="4">
        <v>1278</v>
      </c>
      <c r="BC122" s="4">
        <v>0</v>
      </c>
      <c r="BD122" s="5">
        <v>12344.720496</v>
      </c>
      <c r="BG122" s="5">
        <f t="shared" si="38"/>
        <v>114</v>
      </c>
      <c r="BK122" s="5" t="str">
        <f t="shared" si="39"/>
        <v>N/A</v>
      </c>
      <c r="BL122" s="5">
        <v>7904.6465120000003</v>
      </c>
      <c r="BM122" s="5">
        <v>5070.8181814999998</v>
      </c>
      <c r="BN122" s="5">
        <v>16904.766666</v>
      </c>
      <c r="BO122" s="5">
        <v>10000</v>
      </c>
      <c r="BP122" s="5">
        <v>0</v>
      </c>
      <c r="BQ122" s="5">
        <v>0</v>
      </c>
      <c r="BR122" s="5">
        <v>10694.372525999999</v>
      </c>
      <c r="BS122" s="5">
        <v>4082.926829</v>
      </c>
      <c r="BT122" s="5">
        <v>13657.142857000001</v>
      </c>
      <c r="BU122" s="5">
        <v>7127.1501829999997</v>
      </c>
      <c r="BV122" s="5">
        <v>0</v>
      </c>
      <c r="BW122" s="5">
        <v>5489.5110839999998</v>
      </c>
      <c r="BX122" s="5">
        <v>6</v>
      </c>
      <c r="CD122" s="143">
        <v>0.15184974388161643</v>
      </c>
      <c r="CE122" s="143">
        <v>8.650281477413202E-3</v>
      </c>
      <c r="CF122" s="143">
        <v>15996561.600000001</v>
      </c>
      <c r="CG122" s="144">
        <v>86.1</v>
      </c>
      <c r="CH122" s="144">
        <v>7.2</v>
      </c>
      <c r="CI122" s="144">
        <v>2.6</v>
      </c>
      <c r="CJ122" s="144">
        <v>87.8</v>
      </c>
      <c r="CK122" s="144">
        <v>9.4</v>
      </c>
      <c r="CL122" s="144">
        <v>1.5</v>
      </c>
      <c r="CM122" s="144">
        <v>96</v>
      </c>
      <c r="CN122" s="144">
        <v>98.7</v>
      </c>
    </row>
    <row r="123" spans="1:92" x14ac:dyDescent="0.3">
      <c r="A123">
        <v>881</v>
      </c>
      <c r="B123" s="1">
        <v>-6.7812220599999997E-3</v>
      </c>
      <c r="C123" s="1">
        <v>3.1603564799999998E-3</v>
      </c>
      <c r="D123" s="1">
        <v>1.4900185220000001E-2</v>
      </c>
      <c r="E123" s="1">
        <v>9.2748850900000006E-3</v>
      </c>
      <c r="F123" s="2">
        <v>3916</v>
      </c>
      <c r="G123" s="2">
        <v>0</v>
      </c>
      <c r="H123" s="2">
        <v>1420</v>
      </c>
      <c r="I123" s="2">
        <v>310</v>
      </c>
      <c r="J123" s="2">
        <v>8780</v>
      </c>
      <c r="K123" s="2">
        <v>1991</v>
      </c>
      <c r="L123" s="4">
        <v>158</v>
      </c>
      <c r="M123" s="4">
        <v>1197</v>
      </c>
      <c r="N123" s="4">
        <v>195</v>
      </c>
      <c r="O123" s="4">
        <v>117</v>
      </c>
      <c r="P123" s="4">
        <v>24</v>
      </c>
      <c r="Q123" s="4">
        <v>14631</v>
      </c>
      <c r="R123" s="4">
        <v>75472</v>
      </c>
      <c r="S123" s="4">
        <v>18168</v>
      </c>
      <c r="T123" s="4">
        <v>2350</v>
      </c>
      <c r="U123" s="4">
        <v>486</v>
      </c>
      <c r="V123" s="4">
        <f t="shared" si="30"/>
        <v>0.81283743251349727</v>
      </c>
      <c r="W123" s="4">
        <f t="shared" si="31"/>
        <v>90</v>
      </c>
      <c r="X123" s="4">
        <v>610</v>
      </c>
      <c r="Y123" s="4">
        <v>97</v>
      </c>
      <c r="Z123" s="4">
        <v>79</v>
      </c>
      <c r="AA123" s="4">
        <v>0</v>
      </c>
      <c r="AB123" s="4">
        <v>0</v>
      </c>
      <c r="AC123" s="4">
        <v>21125</v>
      </c>
      <c r="AD123" s="4">
        <v>52575</v>
      </c>
      <c r="AE123" s="4">
        <v>13299</v>
      </c>
      <c r="AF123" s="4">
        <v>2250</v>
      </c>
      <c r="AG123" s="4">
        <v>0</v>
      </c>
      <c r="AH123" s="4">
        <f t="shared" si="32"/>
        <v>0.89949109414758266</v>
      </c>
      <c r="AI123" s="4">
        <f t="shared" si="33"/>
        <v>68</v>
      </c>
      <c r="AJ123" s="4">
        <v>308</v>
      </c>
      <c r="AK123" s="4">
        <v>988</v>
      </c>
      <c r="AL123" s="4">
        <v>142</v>
      </c>
      <c r="AM123" s="4">
        <v>253</v>
      </c>
      <c r="AN123" s="4">
        <f t="shared" si="34"/>
        <v>0.21418636995827539</v>
      </c>
      <c r="AO123" s="4">
        <f t="shared" si="35"/>
        <v>59</v>
      </c>
      <c r="AP123" s="4">
        <v>19653</v>
      </c>
      <c r="AQ123" s="4">
        <v>57107</v>
      </c>
      <c r="AR123" s="4">
        <v>21831</v>
      </c>
      <c r="AS123" s="4">
        <v>12516</v>
      </c>
      <c r="AT123" s="4">
        <v>280</v>
      </c>
      <c r="AU123" s="4">
        <v>427</v>
      </c>
      <c r="AV123" s="4">
        <v>79</v>
      </c>
      <c r="AW123" s="4">
        <v>0</v>
      </c>
      <c r="AX123" s="4">
        <f t="shared" si="36"/>
        <v>0.35623409669211198</v>
      </c>
      <c r="AY123" s="4">
        <f t="shared" si="37"/>
        <v>57</v>
      </c>
      <c r="AZ123" s="4">
        <v>29591</v>
      </c>
      <c r="BA123" s="4">
        <v>42416</v>
      </c>
      <c r="BB123" s="4">
        <v>15892</v>
      </c>
      <c r="BC123" s="4">
        <v>1350</v>
      </c>
      <c r="BD123" s="5">
        <v>9481.0829859999994</v>
      </c>
      <c r="BE123" s="5">
        <v>4372.1777769999999</v>
      </c>
      <c r="BF123" s="5">
        <v>23527.138094999998</v>
      </c>
      <c r="BG123" s="5">
        <f t="shared" si="38"/>
        <v>73</v>
      </c>
      <c r="BK123" s="5" t="str">
        <f t="shared" si="39"/>
        <v>N/A</v>
      </c>
      <c r="BL123" s="5">
        <v>10023.473237</v>
      </c>
      <c r="BM123" s="5">
        <v>5291.1082079999996</v>
      </c>
      <c r="BN123" s="5">
        <v>17545.036591</v>
      </c>
      <c r="BO123" s="5">
        <v>12819.774294000001</v>
      </c>
      <c r="BP123" s="5">
        <v>1016.622222</v>
      </c>
      <c r="BQ123" s="5">
        <v>0</v>
      </c>
      <c r="BR123" s="5">
        <v>9481.0829859999994</v>
      </c>
      <c r="BS123" s="5">
        <v>4148.7924235</v>
      </c>
      <c r="BT123" s="5">
        <v>18129.543333000001</v>
      </c>
      <c r="BU123" s="5">
        <v>11440.979142</v>
      </c>
      <c r="BV123" s="5">
        <v>0</v>
      </c>
      <c r="BW123" s="5">
        <v>23157.895</v>
      </c>
      <c r="BX123" s="5">
        <v>37</v>
      </c>
      <c r="BY123" s="5">
        <v>27</v>
      </c>
      <c r="BZ123" s="5">
        <v>1</v>
      </c>
      <c r="CD123" s="143">
        <v>0.1619488188976379</v>
      </c>
      <c r="CE123" s="143">
        <v>5.1983243699105453E-2</v>
      </c>
      <c r="CF123" s="143">
        <v>215377559.16</v>
      </c>
      <c r="CG123" s="144">
        <v>86.7</v>
      </c>
      <c r="CH123" s="144">
        <v>6.3</v>
      </c>
      <c r="CI123" s="144">
        <v>2.4</v>
      </c>
      <c r="CJ123" s="144">
        <v>85.7</v>
      </c>
      <c r="CK123" s="144">
        <v>7.3</v>
      </c>
      <c r="CL123" s="144">
        <v>2.2999999999999998</v>
      </c>
      <c r="CM123" s="144">
        <v>95.4</v>
      </c>
      <c r="CN123" s="144">
        <v>95.4</v>
      </c>
    </row>
    <row r="124" spans="1:92" x14ac:dyDescent="0.3">
      <c r="A124">
        <v>882</v>
      </c>
      <c r="B124" s="1">
        <v>-2.1053372760000001E-2</v>
      </c>
      <c r="C124" s="1">
        <v>-8.7311646200000006E-3</v>
      </c>
      <c r="D124" s="1">
        <v>0.10999893515</v>
      </c>
      <c r="E124" s="1">
        <v>0.11532318176</v>
      </c>
      <c r="F124" s="2">
        <v>1718</v>
      </c>
      <c r="G124" s="2">
        <v>1131</v>
      </c>
      <c r="H124" s="2">
        <v>110</v>
      </c>
      <c r="I124" s="2">
        <v>0</v>
      </c>
      <c r="J124" s="2">
        <v>690</v>
      </c>
      <c r="K124" s="2">
        <v>155</v>
      </c>
      <c r="L124" s="4">
        <v>0</v>
      </c>
      <c r="M124" s="4">
        <v>172</v>
      </c>
      <c r="N124" s="4">
        <v>0</v>
      </c>
      <c r="O124" s="4">
        <v>63</v>
      </c>
      <c r="Q124" s="4">
        <v>1119</v>
      </c>
      <c r="R124" s="4">
        <v>11176</v>
      </c>
      <c r="S124" s="4">
        <v>1980</v>
      </c>
      <c r="T124" s="4">
        <v>417</v>
      </c>
      <c r="V124" s="4">
        <f t="shared" si="30"/>
        <v>0.73191489361702122</v>
      </c>
      <c r="W124" s="4">
        <f t="shared" si="31"/>
        <v>110</v>
      </c>
      <c r="X124" s="4">
        <v>187</v>
      </c>
      <c r="Y124" s="4">
        <v>0</v>
      </c>
      <c r="Z124" s="4">
        <v>0</v>
      </c>
      <c r="AA124" s="4">
        <v>0</v>
      </c>
      <c r="AC124" s="4">
        <v>4451</v>
      </c>
      <c r="AD124" s="4">
        <v>6109</v>
      </c>
      <c r="AE124" s="4">
        <v>0</v>
      </c>
      <c r="AF124" s="4">
        <v>2444</v>
      </c>
      <c r="AH124" s="4">
        <f t="shared" si="32"/>
        <v>1</v>
      </c>
      <c r="AI124" s="4">
        <f t="shared" si="33"/>
        <v>1</v>
      </c>
      <c r="AJ124" s="4">
        <v>0</v>
      </c>
      <c r="AK124" s="4">
        <v>0</v>
      </c>
      <c r="AL124" s="4">
        <v>145</v>
      </c>
      <c r="AM124" s="4">
        <v>90</v>
      </c>
      <c r="AN124" s="4">
        <f t="shared" si="34"/>
        <v>0</v>
      </c>
      <c r="AO124" s="4">
        <f t="shared" si="35"/>
        <v>100</v>
      </c>
      <c r="AP124" s="4">
        <v>1890</v>
      </c>
      <c r="AQ124" s="4">
        <v>6609</v>
      </c>
      <c r="AR124" s="4">
        <v>4049</v>
      </c>
      <c r="AS124" s="4">
        <v>2144</v>
      </c>
      <c r="AT124" s="4">
        <v>187</v>
      </c>
      <c r="AU124" s="4">
        <v>0</v>
      </c>
      <c r="AV124" s="4">
        <v>0</v>
      </c>
      <c r="AW124" s="4">
        <v>0</v>
      </c>
      <c r="AX124" s="4">
        <f t="shared" si="36"/>
        <v>1</v>
      </c>
      <c r="AY124" s="4">
        <f t="shared" si="37"/>
        <v>1</v>
      </c>
      <c r="AZ124" s="4">
        <v>9120</v>
      </c>
      <c r="BA124" s="4">
        <v>1440</v>
      </c>
      <c r="BB124" s="4">
        <v>2444</v>
      </c>
      <c r="BC124" s="4">
        <v>0</v>
      </c>
      <c r="BD124" s="5">
        <v>6027.9712280000003</v>
      </c>
      <c r="BE124" s="5">
        <v>4324.7056679999996</v>
      </c>
      <c r="BG124" s="5">
        <f t="shared" si="38"/>
        <v>26</v>
      </c>
      <c r="BK124" s="5" t="str">
        <f t="shared" si="39"/>
        <v>N/A</v>
      </c>
      <c r="BL124" s="5">
        <v>9102.8743644999995</v>
      </c>
      <c r="BM124" s="5">
        <v>5288.5166660000004</v>
      </c>
      <c r="BN124" s="5">
        <v>14323.098808999999</v>
      </c>
      <c r="BO124" s="5">
        <v>4277.5696200000002</v>
      </c>
      <c r="BP124" s="5">
        <v>0</v>
      </c>
      <c r="BQ124" s="5">
        <v>21896.833331999998</v>
      </c>
      <c r="BR124" s="5">
        <v>9481.0829859999994</v>
      </c>
      <c r="BS124" s="5">
        <v>4148.7924235</v>
      </c>
      <c r="BT124" s="5">
        <v>18129.543333000001</v>
      </c>
      <c r="BU124" s="5">
        <v>11440.979142</v>
      </c>
      <c r="BV124" s="5">
        <v>0</v>
      </c>
      <c r="BW124" s="5">
        <v>23157.895</v>
      </c>
      <c r="BX124" s="5">
        <v>9</v>
      </c>
      <c r="BY124" s="5">
        <v>2</v>
      </c>
      <c r="CD124" s="143">
        <v>0.17351741449639158</v>
      </c>
      <c r="CE124" s="143">
        <v>-2.7925160569672869E-3</v>
      </c>
      <c r="CF124" s="143">
        <v>25590762.260000002</v>
      </c>
      <c r="CG124" s="144">
        <v>86.9</v>
      </c>
      <c r="CH124" s="144">
        <v>7</v>
      </c>
      <c r="CI124" s="144">
        <v>2.4</v>
      </c>
      <c r="CJ124" s="144">
        <v>79.8</v>
      </c>
      <c r="CK124" s="144">
        <v>9.8000000000000007</v>
      </c>
      <c r="CL124" s="144">
        <v>3.4</v>
      </c>
      <c r="CM124" s="144">
        <v>96.3</v>
      </c>
      <c r="CN124" s="144">
        <v>93</v>
      </c>
    </row>
    <row r="125" spans="1:92" x14ac:dyDescent="0.3">
      <c r="A125">
        <v>883</v>
      </c>
      <c r="B125" s="1">
        <v>7.5592568800000003E-3</v>
      </c>
      <c r="C125" s="1">
        <v>2.6905829500000001E-3</v>
      </c>
      <c r="D125" s="1">
        <v>1.21605667E-2</v>
      </c>
      <c r="E125" s="1">
        <v>6.729634E-3</v>
      </c>
      <c r="F125" s="2">
        <v>3085</v>
      </c>
      <c r="G125" s="2">
        <v>1390</v>
      </c>
      <c r="H125" s="2">
        <v>640</v>
      </c>
      <c r="I125" s="2">
        <v>170</v>
      </c>
      <c r="J125" s="2">
        <v>720</v>
      </c>
      <c r="K125" s="2">
        <v>30</v>
      </c>
      <c r="L125" s="4">
        <v>0</v>
      </c>
      <c r="M125" s="4">
        <v>480</v>
      </c>
      <c r="N125" s="4">
        <v>30</v>
      </c>
      <c r="P125" s="4">
        <v>0</v>
      </c>
      <c r="Q125" s="4">
        <v>420</v>
      </c>
      <c r="R125" s="4">
        <v>9801</v>
      </c>
      <c r="S125" s="4">
        <v>3685</v>
      </c>
      <c r="U125" s="4">
        <v>630</v>
      </c>
      <c r="V125" s="4">
        <f t="shared" si="30"/>
        <v>0.94117647058823528</v>
      </c>
      <c r="W125" s="4">
        <f t="shared" si="31"/>
        <v>62</v>
      </c>
      <c r="X125" s="4">
        <v>100</v>
      </c>
      <c r="Y125" s="4">
        <v>300</v>
      </c>
      <c r="Z125" s="4">
        <v>0</v>
      </c>
      <c r="AB125" s="4">
        <v>0</v>
      </c>
      <c r="AC125" s="4">
        <v>3290</v>
      </c>
      <c r="AD125" s="4">
        <v>5185</v>
      </c>
      <c r="AE125" s="4">
        <v>1770</v>
      </c>
      <c r="AG125" s="4">
        <v>0</v>
      </c>
      <c r="AH125" s="4">
        <f t="shared" si="32"/>
        <v>1</v>
      </c>
      <c r="AI125" s="4">
        <f t="shared" si="33"/>
        <v>1</v>
      </c>
      <c r="AJ125" s="4">
        <v>0</v>
      </c>
      <c r="AK125" s="4">
        <v>270</v>
      </c>
      <c r="AL125" s="4">
        <v>0</v>
      </c>
      <c r="AM125" s="4">
        <v>240</v>
      </c>
      <c r="AN125" s="4">
        <f t="shared" si="34"/>
        <v>0</v>
      </c>
      <c r="AO125" s="4">
        <f t="shared" si="35"/>
        <v>100</v>
      </c>
      <c r="AP125" s="4">
        <v>3990</v>
      </c>
      <c r="AQ125" s="4">
        <v>6958</v>
      </c>
      <c r="AR125" s="4">
        <v>3408</v>
      </c>
      <c r="AS125" s="4">
        <v>180</v>
      </c>
      <c r="AT125" s="4">
        <v>100</v>
      </c>
      <c r="AU125" s="4">
        <v>300</v>
      </c>
      <c r="AV125" s="4">
        <v>0</v>
      </c>
      <c r="AW125" s="4">
        <v>0</v>
      </c>
      <c r="AX125" s="4">
        <f t="shared" si="36"/>
        <v>0.25</v>
      </c>
      <c r="AY125" s="4">
        <f t="shared" si="37"/>
        <v>61</v>
      </c>
      <c r="AZ125" s="4">
        <v>2725</v>
      </c>
      <c r="BA125" s="4">
        <v>4760</v>
      </c>
      <c r="BB125" s="4">
        <v>2760</v>
      </c>
      <c r="BC125" s="4">
        <v>0</v>
      </c>
      <c r="BD125" s="5">
        <v>11027.996794000001</v>
      </c>
      <c r="BE125" s="5">
        <v>1489.523809</v>
      </c>
      <c r="BF125" s="5">
        <v>8365.8841260000008</v>
      </c>
      <c r="BG125" s="5">
        <f t="shared" si="38"/>
        <v>96</v>
      </c>
      <c r="BK125" s="5" t="str">
        <f t="shared" si="39"/>
        <v>N/A</v>
      </c>
      <c r="BL125" s="5">
        <v>10739.882278000001</v>
      </c>
      <c r="BM125" s="5">
        <v>3841.8982884999996</v>
      </c>
      <c r="BN125" s="5">
        <v>13504.402793000001</v>
      </c>
      <c r="BO125" s="5">
        <v>11008.771929</v>
      </c>
      <c r="BP125" s="5">
        <v>0</v>
      </c>
      <c r="BQ125" s="5">
        <v>22527.364165999999</v>
      </c>
      <c r="BR125" s="5">
        <v>9481.0829859999994</v>
      </c>
      <c r="BS125" s="5">
        <v>4148.7924235</v>
      </c>
      <c r="BT125" s="5">
        <v>18129.543333000001</v>
      </c>
      <c r="BU125" s="5">
        <v>11440.979142</v>
      </c>
      <c r="BV125" s="5">
        <v>0</v>
      </c>
      <c r="BW125" s="5">
        <v>23157.895</v>
      </c>
      <c r="BX125" s="5">
        <v>8</v>
      </c>
      <c r="BY125" s="5">
        <v>7</v>
      </c>
      <c r="BZ125" s="5">
        <v>1</v>
      </c>
      <c r="CD125" s="143">
        <v>0.37431924522512849</v>
      </c>
      <c r="CE125" s="143">
        <v>0.27739771965124072</v>
      </c>
      <c r="CF125" s="143">
        <v>41193151.920000002</v>
      </c>
      <c r="CG125" s="144">
        <v>85.9</v>
      </c>
      <c r="CH125" s="144">
        <v>5.8</v>
      </c>
      <c r="CI125" s="144">
        <v>1.7</v>
      </c>
      <c r="CJ125" s="144">
        <v>75.3</v>
      </c>
      <c r="CK125" s="144">
        <v>10.3</v>
      </c>
      <c r="CL125" s="144">
        <v>4</v>
      </c>
      <c r="CM125" s="144">
        <v>93.4</v>
      </c>
      <c r="CN125" s="144">
        <v>89.6</v>
      </c>
    </row>
    <row r="126" spans="1:92" x14ac:dyDescent="0.3">
      <c r="A126">
        <v>884</v>
      </c>
      <c r="B126" s="1">
        <v>-5.0058662400000002E-3</v>
      </c>
      <c r="C126" s="1">
        <v>4.1454829800000002E-3</v>
      </c>
      <c r="D126" s="1">
        <v>-1.063460871E-2</v>
      </c>
      <c r="E126" s="1">
        <v>4.3925557699999998E-3</v>
      </c>
      <c r="F126" s="2">
        <v>0</v>
      </c>
      <c r="G126" s="2">
        <v>449</v>
      </c>
      <c r="H126" s="2">
        <v>130</v>
      </c>
      <c r="I126" s="2">
        <v>0</v>
      </c>
      <c r="J126" s="2">
        <v>58</v>
      </c>
      <c r="K126" s="2">
        <v>0</v>
      </c>
      <c r="L126" s="4">
        <v>30</v>
      </c>
      <c r="M126" s="4">
        <v>0</v>
      </c>
      <c r="N126" s="4">
        <v>0</v>
      </c>
      <c r="O126" s="4">
        <v>0</v>
      </c>
      <c r="P126" s="4">
        <v>0</v>
      </c>
      <c r="Q126" s="4">
        <v>2072</v>
      </c>
      <c r="R126" s="4">
        <v>9576</v>
      </c>
      <c r="S126" s="4">
        <v>1813</v>
      </c>
      <c r="T126" s="4">
        <v>0</v>
      </c>
      <c r="U126" s="4">
        <v>630</v>
      </c>
      <c r="V126" s="4">
        <f t="shared" si="30"/>
        <v>1</v>
      </c>
      <c r="W126" s="4">
        <f t="shared" si="31"/>
        <v>1</v>
      </c>
      <c r="X126" s="4">
        <v>0</v>
      </c>
      <c r="Y126" s="4">
        <v>0</v>
      </c>
      <c r="Z126" s="4">
        <v>0</v>
      </c>
      <c r="AA126" s="4">
        <v>0</v>
      </c>
      <c r="AB126" s="4">
        <v>0</v>
      </c>
      <c r="AC126" s="4">
        <v>900</v>
      </c>
      <c r="AD126" s="4">
        <v>8369</v>
      </c>
      <c r="AE126" s="4">
        <v>510</v>
      </c>
      <c r="AF126" s="4">
        <v>1120</v>
      </c>
      <c r="AG126" s="4">
        <v>0</v>
      </c>
      <c r="AH126" s="4" t="str">
        <f t="shared" si="32"/>
        <v>N/A</v>
      </c>
      <c r="AI126" s="4" t="str">
        <f t="shared" si="33"/>
        <v>N/A</v>
      </c>
      <c r="AJ126" s="4">
        <v>30</v>
      </c>
      <c r="AK126" s="4">
        <v>0</v>
      </c>
      <c r="AL126" s="4">
        <v>0</v>
      </c>
      <c r="AM126" s="4">
        <v>0</v>
      </c>
      <c r="AN126" s="4">
        <f t="shared" si="34"/>
        <v>1</v>
      </c>
      <c r="AO126" s="4">
        <f t="shared" si="35"/>
        <v>1</v>
      </c>
      <c r="AP126" s="4">
        <v>2828</v>
      </c>
      <c r="AQ126" s="4">
        <v>8659</v>
      </c>
      <c r="AR126" s="4">
        <v>1666</v>
      </c>
      <c r="AS126" s="4">
        <v>938</v>
      </c>
      <c r="AT126" s="4">
        <v>0</v>
      </c>
      <c r="AU126" s="4">
        <v>0</v>
      </c>
      <c r="AV126" s="4">
        <v>0</v>
      </c>
      <c r="AW126" s="4">
        <v>0</v>
      </c>
      <c r="AX126" s="4" t="str">
        <f t="shared" si="36"/>
        <v>N/A</v>
      </c>
      <c r="AY126" s="4" t="str">
        <f t="shared" si="37"/>
        <v>N/A</v>
      </c>
      <c r="AZ126" s="4">
        <v>3935</v>
      </c>
      <c r="BA126" s="4">
        <v>4814</v>
      </c>
      <c r="BB126" s="4">
        <v>2150</v>
      </c>
      <c r="BC126" s="4">
        <v>0</v>
      </c>
      <c r="BD126" s="5">
        <v>7309.2857139999996</v>
      </c>
      <c r="BG126" s="5">
        <f t="shared" si="38"/>
        <v>48</v>
      </c>
      <c r="BK126" s="5" t="str">
        <f t="shared" si="39"/>
        <v>N/A</v>
      </c>
      <c r="BL126" s="5">
        <v>9728.0193604999986</v>
      </c>
      <c r="BM126" s="5">
        <v>4082.926829</v>
      </c>
      <c r="BN126" s="5">
        <v>12140.300936</v>
      </c>
      <c r="BO126" s="5">
        <v>7127.1501829999997</v>
      </c>
      <c r="BP126" s="5">
        <v>0</v>
      </c>
      <c r="BQ126" s="5">
        <v>12554.023134499999</v>
      </c>
      <c r="BR126" s="5">
        <v>9741.1953059999996</v>
      </c>
      <c r="BS126" s="5">
        <v>3330.1900734999999</v>
      </c>
      <c r="BT126" s="5">
        <v>17819.047618500001</v>
      </c>
      <c r="BU126" s="5">
        <v>11195.911189999999</v>
      </c>
      <c r="BV126" s="5">
        <v>0</v>
      </c>
      <c r="BW126" s="5">
        <v>17276.650324999999</v>
      </c>
      <c r="BX126" s="5">
        <v>2</v>
      </c>
      <c r="CD126" s="143">
        <v>9.653506580043314E-2</v>
      </c>
      <c r="CE126" s="143">
        <v>1.6919486581096876E-2</v>
      </c>
      <c r="CF126" s="143">
        <v>6174627.8999999994</v>
      </c>
      <c r="CG126" s="144">
        <v>94.8</v>
      </c>
      <c r="CH126" s="144">
        <v>3.4</v>
      </c>
      <c r="CI126" s="144">
        <v>0.3</v>
      </c>
      <c r="CJ126" s="144">
        <v>95.4</v>
      </c>
      <c r="CK126" s="144">
        <v>2.7</v>
      </c>
      <c r="CL126" s="144">
        <v>0.2</v>
      </c>
      <c r="CM126" s="144">
        <v>98.5</v>
      </c>
      <c r="CN126" s="144">
        <v>98.3</v>
      </c>
    </row>
    <row r="127" spans="1:92" x14ac:dyDescent="0.3">
      <c r="A127">
        <v>885</v>
      </c>
      <c r="B127" s="1">
        <v>-7.5576298799999997E-3</v>
      </c>
      <c r="C127" s="1">
        <v>-4.2644933499999997E-3</v>
      </c>
      <c r="D127" s="1">
        <v>2.3025717500000001E-2</v>
      </c>
      <c r="E127" s="1">
        <v>6.5475973899999998E-3</v>
      </c>
      <c r="F127" s="2">
        <v>2768</v>
      </c>
      <c r="G127" s="2">
        <v>852</v>
      </c>
      <c r="H127" s="2">
        <v>480</v>
      </c>
      <c r="I127" s="2">
        <v>200</v>
      </c>
      <c r="J127" s="2">
        <v>571</v>
      </c>
      <c r="K127" s="2">
        <v>150</v>
      </c>
      <c r="L127" s="4">
        <v>165</v>
      </c>
      <c r="M127" s="4">
        <v>811</v>
      </c>
      <c r="N127" s="4">
        <v>75</v>
      </c>
      <c r="O127" s="4">
        <v>0</v>
      </c>
      <c r="P127" s="4">
        <v>0</v>
      </c>
      <c r="Q127" s="4">
        <v>6310</v>
      </c>
      <c r="R127" s="4">
        <v>32836</v>
      </c>
      <c r="S127" s="4">
        <v>4704</v>
      </c>
      <c r="T127" s="4">
        <v>525</v>
      </c>
      <c r="U127" s="4">
        <v>150</v>
      </c>
      <c r="V127" s="4">
        <f t="shared" si="30"/>
        <v>0.92863939105613702</v>
      </c>
      <c r="W127" s="4">
        <f t="shared" si="31"/>
        <v>63</v>
      </c>
      <c r="X127" s="4">
        <v>0</v>
      </c>
      <c r="Y127" s="4">
        <v>0</v>
      </c>
      <c r="Z127" s="4">
        <v>0</v>
      </c>
      <c r="AA127" s="4">
        <v>0</v>
      </c>
      <c r="AB127" s="4">
        <v>0</v>
      </c>
      <c r="AC127" s="4">
        <v>10158</v>
      </c>
      <c r="AD127" s="4">
        <v>19566</v>
      </c>
      <c r="AE127" s="4">
        <v>4287</v>
      </c>
      <c r="AF127" s="4">
        <v>1349</v>
      </c>
      <c r="AG127" s="4">
        <v>1306</v>
      </c>
      <c r="AH127" s="4" t="str">
        <f t="shared" si="32"/>
        <v>N/A</v>
      </c>
      <c r="AI127" s="4" t="str">
        <f t="shared" si="33"/>
        <v>N/A</v>
      </c>
      <c r="AJ127" s="4">
        <v>0</v>
      </c>
      <c r="AK127" s="4">
        <v>422</v>
      </c>
      <c r="AL127" s="4">
        <v>105</v>
      </c>
      <c r="AM127" s="4">
        <v>524</v>
      </c>
      <c r="AN127" s="4">
        <f t="shared" si="34"/>
        <v>0</v>
      </c>
      <c r="AO127" s="4">
        <f t="shared" si="35"/>
        <v>100</v>
      </c>
      <c r="AP127" s="4">
        <v>2824</v>
      </c>
      <c r="AQ127" s="4">
        <v>16382</v>
      </c>
      <c r="AR127" s="4">
        <v>10488</v>
      </c>
      <c r="AS127" s="4">
        <v>14831</v>
      </c>
      <c r="AT127" s="4">
        <v>0</v>
      </c>
      <c r="AU127" s="4">
        <v>0</v>
      </c>
      <c r="AV127" s="4">
        <v>0</v>
      </c>
      <c r="AW127" s="4">
        <v>0</v>
      </c>
      <c r="AX127" s="4" t="str">
        <f t="shared" si="36"/>
        <v>N/A</v>
      </c>
      <c r="AY127" s="4" t="str">
        <f t="shared" si="37"/>
        <v>N/A</v>
      </c>
      <c r="AZ127" s="4">
        <v>13478</v>
      </c>
      <c r="BA127" s="4">
        <v>14697</v>
      </c>
      <c r="BB127" s="4">
        <v>3899</v>
      </c>
      <c r="BC127" s="4">
        <v>4592</v>
      </c>
      <c r="BD127" s="5">
        <v>9842.0466969999998</v>
      </c>
      <c r="BE127" s="5">
        <v>2381.5</v>
      </c>
      <c r="BG127" s="5">
        <f t="shared" si="38"/>
        <v>84</v>
      </c>
      <c r="BK127" s="5" t="str">
        <f t="shared" si="39"/>
        <v>N/A</v>
      </c>
      <c r="BL127" s="5">
        <v>10388.068445000001</v>
      </c>
      <c r="BM127" s="5">
        <v>4831.6429924999993</v>
      </c>
      <c r="BN127" s="5">
        <v>19794.235411000001</v>
      </c>
      <c r="BO127" s="5">
        <v>11684.172512000001</v>
      </c>
      <c r="BP127" s="5">
        <v>1016.622222</v>
      </c>
      <c r="BQ127" s="5">
        <v>0</v>
      </c>
      <c r="BR127" s="5">
        <v>9741.1953059999996</v>
      </c>
      <c r="BS127" s="5">
        <v>3330.1900734999999</v>
      </c>
      <c r="BT127" s="5">
        <v>17819.047618500001</v>
      </c>
      <c r="BU127" s="5">
        <v>11195.911189999999</v>
      </c>
      <c r="BV127" s="5">
        <v>0</v>
      </c>
      <c r="BW127" s="5">
        <v>17276.650324999999</v>
      </c>
      <c r="BX127" s="5">
        <v>15</v>
      </c>
      <c r="BY127" s="5">
        <v>2</v>
      </c>
      <c r="CD127" s="143">
        <v>0.13282419506254284</v>
      </c>
      <c r="CE127" s="143">
        <v>-1.2161978529691586E-2</v>
      </c>
      <c r="CF127" s="143">
        <v>47564993.439999998</v>
      </c>
      <c r="CG127" s="144">
        <v>90.6</v>
      </c>
      <c r="CH127" s="144">
        <v>5.0999999999999996</v>
      </c>
      <c r="CI127" s="144">
        <v>1.4</v>
      </c>
      <c r="CJ127" s="144">
        <v>89.9</v>
      </c>
      <c r="CK127" s="144">
        <v>5.0999999999999996</v>
      </c>
      <c r="CL127" s="144">
        <v>1.4</v>
      </c>
      <c r="CM127" s="144">
        <v>97.1</v>
      </c>
      <c r="CN127" s="144">
        <v>96.3</v>
      </c>
    </row>
    <row r="128" spans="1:92" x14ac:dyDescent="0.3">
      <c r="A128">
        <v>886</v>
      </c>
      <c r="B128" s="1">
        <v>-9.1229029200000002E-3</v>
      </c>
      <c r="C128" s="1">
        <v>6.3040284199999998E-3</v>
      </c>
      <c r="D128" s="1">
        <v>-1.6036464010000001E-2</v>
      </c>
      <c r="E128" s="1">
        <v>-4.2370161000000002E-4</v>
      </c>
      <c r="F128" s="2">
        <v>9164</v>
      </c>
      <c r="G128" s="2">
        <v>5244</v>
      </c>
      <c r="H128" s="2">
        <v>1950</v>
      </c>
      <c r="I128" s="2">
        <v>150</v>
      </c>
      <c r="J128" s="2">
        <v>11211</v>
      </c>
      <c r="K128" s="2">
        <v>1945</v>
      </c>
      <c r="L128" s="4">
        <v>532</v>
      </c>
      <c r="M128" s="4">
        <v>2128</v>
      </c>
      <c r="N128" s="4">
        <v>299</v>
      </c>
      <c r="O128" s="4">
        <v>60</v>
      </c>
      <c r="P128" s="4">
        <v>0</v>
      </c>
      <c r="Q128" s="4">
        <v>14919</v>
      </c>
      <c r="R128" s="4">
        <v>76790</v>
      </c>
      <c r="S128" s="4">
        <v>19657</v>
      </c>
      <c r="T128" s="4">
        <v>3376</v>
      </c>
      <c r="U128" s="4">
        <v>1890</v>
      </c>
      <c r="V128" s="4">
        <f t="shared" si="30"/>
        <v>0.88108645246770456</v>
      </c>
      <c r="W128" s="4">
        <f t="shared" si="31"/>
        <v>73</v>
      </c>
      <c r="X128" s="4">
        <v>222</v>
      </c>
      <c r="Y128" s="4">
        <v>543</v>
      </c>
      <c r="Z128" s="4">
        <v>40</v>
      </c>
      <c r="AA128" s="4">
        <v>0</v>
      </c>
      <c r="AB128" s="4">
        <v>0</v>
      </c>
      <c r="AC128" s="4">
        <v>29252</v>
      </c>
      <c r="AD128" s="4">
        <v>58328</v>
      </c>
      <c r="AE128" s="4">
        <v>17645</v>
      </c>
      <c r="AF128" s="4">
        <v>2610</v>
      </c>
      <c r="AG128" s="4">
        <v>0</v>
      </c>
      <c r="AH128" s="4">
        <f t="shared" si="32"/>
        <v>0.9503105590062112</v>
      </c>
      <c r="AI128" s="4">
        <f t="shared" si="33"/>
        <v>64</v>
      </c>
      <c r="AJ128" s="4">
        <v>862</v>
      </c>
      <c r="AK128" s="4">
        <v>1802</v>
      </c>
      <c r="AL128" s="4">
        <v>250</v>
      </c>
      <c r="AM128" s="4">
        <v>105</v>
      </c>
      <c r="AN128" s="4">
        <f t="shared" si="34"/>
        <v>0.29581331503088537</v>
      </c>
      <c r="AO128" s="4">
        <f t="shared" si="35"/>
        <v>51</v>
      </c>
      <c r="AP128" s="4">
        <v>24222</v>
      </c>
      <c r="AQ128" s="4">
        <v>61500</v>
      </c>
      <c r="AR128" s="4">
        <v>23063</v>
      </c>
      <c r="AS128" s="4">
        <v>7847</v>
      </c>
      <c r="AT128" s="4">
        <v>327</v>
      </c>
      <c r="AU128" s="4">
        <v>138</v>
      </c>
      <c r="AV128" s="4">
        <v>340</v>
      </c>
      <c r="AW128" s="4">
        <v>0</v>
      </c>
      <c r="AX128" s="4">
        <f t="shared" si="36"/>
        <v>0.40621118012422358</v>
      </c>
      <c r="AY128" s="4">
        <f t="shared" si="37"/>
        <v>56</v>
      </c>
      <c r="AZ128" s="4">
        <v>32845</v>
      </c>
      <c r="BA128" s="4">
        <v>40063</v>
      </c>
      <c r="BB128" s="4">
        <v>34157</v>
      </c>
      <c r="BC128" s="4">
        <v>770</v>
      </c>
      <c r="BD128" s="5">
        <v>7123.1642979999997</v>
      </c>
      <c r="BE128" s="5">
        <v>3408.355474</v>
      </c>
      <c r="BF128" s="5">
        <v>17244.835086999999</v>
      </c>
      <c r="BG128" s="5">
        <f t="shared" si="38"/>
        <v>42</v>
      </c>
      <c r="BH128" s="5">
        <v>4277.5696200000002</v>
      </c>
      <c r="BK128" s="5">
        <f t="shared" si="39"/>
        <v>8</v>
      </c>
      <c r="BL128" s="5">
        <v>10790.3301035</v>
      </c>
      <c r="BM128" s="5">
        <v>4123.6044439999996</v>
      </c>
      <c r="BN128" s="5">
        <v>18106.351527999999</v>
      </c>
      <c r="BO128" s="5">
        <v>13714.285714</v>
      </c>
      <c r="BP128" s="5">
        <v>0</v>
      </c>
      <c r="BQ128" s="5">
        <v>0</v>
      </c>
      <c r="BR128" s="5">
        <v>10571.237112999999</v>
      </c>
      <c r="BS128" s="5">
        <v>4525.6289299999999</v>
      </c>
      <c r="BT128" s="5">
        <v>17545.036591</v>
      </c>
      <c r="BU128" s="5">
        <v>15133.233333</v>
      </c>
      <c r="BV128" s="5">
        <v>23429.45</v>
      </c>
      <c r="BW128" s="5">
        <v>19471.908211999998</v>
      </c>
      <c r="BX128" s="5">
        <v>66</v>
      </c>
      <c r="BY128" s="5">
        <v>26</v>
      </c>
      <c r="BZ128" s="5">
        <v>4</v>
      </c>
      <c r="CA128" s="5">
        <v>5</v>
      </c>
      <c r="CD128" s="143">
        <v>0.16778771108273016</v>
      </c>
      <c r="CE128" s="143">
        <v>0.10725539141465812</v>
      </c>
      <c r="CF128" s="143">
        <v>259429637.66</v>
      </c>
      <c r="CG128" s="144">
        <v>85.8</v>
      </c>
      <c r="CH128" s="144">
        <v>7.3</v>
      </c>
      <c r="CI128" s="144">
        <v>2.7</v>
      </c>
      <c r="CJ128" s="144">
        <v>80.5</v>
      </c>
      <c r="CK128" s="144">
        <v>10.1</v>
      </c>
      <c r="CL128" s="144">
        <v>3.8</v>
      </c>
      <c r="CM128" s="144">
        <v>95.8</v>
      </c>
      <c r="CN128" s="144">
        <v>94.5</v>
      </c>
    </row>
    <row r="129" spans="1:92" x14ac:dyDescent="0.3">
      <c r="A129">
        <v>887</v>
      </c>
      <c r="B129" s="1">
        <v>7.1503313499999997E-3</v>
      </c>
      <c r="C129" s="1">
        <v>-1.52598535E-3</v>
      </c>
      <c r="D129" s="1">
        <v>-6.3232775599999999E-3</v>
      </c>
      <c r="E129" s="1">
        <v>3.6227110999999998E-3</v>
      </c>
      <c r="F129" s="2">
        <v>1342</v>
      </c>
      <c r="G129" s="2">
        <v>566</v>
      </c>
      <c r="H129" s="2">
        <v>230</v>
      </c>
      <c r="I129" s="2">
        <v>0</v>
      </c>
      <c r="J129" s="2">
        <v>630</v>
      </c>
      <c r="K129" s="2">
        <v>240</v>
      </c>
      <c r="L129" s="4">
        <v>0</v>
      </c>
      <c r="M129" s="4">
        <v>194</v>
      </c>
      <c r="N129" s="4">
        <v>125</v>
      </c>
      <c r="O129" s="4">
        <v>0</v>
      </c>
      <c r="Q129" s="4">
        <v>1297</v>
      </c>
      <c r="R129" s="4">
        <v>12220</v>
      </c>
      <c r="S129" s="4">
        <v>6718</v>
      </c>
      <c r="T129" s="4">
        <v>1695</v>
      </c>
      <c r="V129" s="4">
        <f t="shared" si="30"/>
        <v>0.60815047021943569</v>
      </c>
      <c r="W129" s="4">
        <f t="shared" si="31"/>
        <v>125</v>
      </c>
      <c r="X129" s="4">
        <v>0</v>
      </c>
      <c r="Y129" s="4">
        <v>0</v>
      </c>
      <c r="Z129" s="4">
        <v>0</v>
      </c>
      <c r="AA129" s="4">
        <v>0</v>
      </c>
      <c r="AC129" s="4">
        <v>4887</v>
      </c>
      <c r="AD129" s="4">
        <v>14229</v>
      </c>
      <c r="AE129" s="4">
        <v>2861</v>
      </c>
      <c r="AF129" s="4">
        <v>0</v>
      </c>
      <c r="AH129" s="4" t="str">
        <f t="shared" si="32"/>
        <v>N/A</v>
      </c>
      <c r="AI129" s="4" t="str">
        <f t="shared" si="33"/>
        <v>N/A</v>
      </c>
      <c r="AJ129" s="4">
        <v>28</v>
      </c>
      <c r="AK129" s="4">
        <v>138</v>
      </c>
      <c r="AL129" s="4">
        <v>123</v>
      </c>
      <c r="AM129" s="4">
        <v>30</v>
      </c>
      <c r="AN129" s="4">
        <f t="shared" si="34"/>
        <v>9.6885813148788927E-2</v>
      </c>
      <c r="AO129" s="4">
        <f t="shared" si="35"/>
        <v>84</v>
      </c>
      <c r="AP129" s="4">
        <v>2801</v>
      </c>
      <c r="AQ129" s="4">
        <v>8545</v>
      </c>
      <c r="AR129" s="4">
        <v>7304</v>
      </c>
      <c r="AS129" s="4">
        <v>3280</v>
      </c>
      <c r="AT129" s="4">
        <v>0</v>
      </c>
      <c r="AU129" s="4">
        <v>0</v>
      </c>
      <c r="AV129" s="4">
        <v>0</v>
      </c>
      <c r="AW129" s="4">
        <v>0</v>
      </c>
      <c r="AX129" s="4" t="str">
        <f t="shared" si="36"/>
        <v>N/A</v>
      </c>
      <c r="AY129" s="4" t="str">
        <f t="shared" si="37"/>
        <v>N/A</v>
      </c>
      <c r="AZ129" s="4">
        <v>10807</v>
      </c>
      <c r="BA129" s="4">
        <v>5646</v>
      </c>
      <c r="BB129" s="4">
        <v>5524</v>
      </c>
      <c r="BC129" s="4">
        <v>0</v>
      </c>
      <c r="BD129" s="5">
        <v>14881.801063000001</v>
      </c>
      <c r="BE129" s="5">
        <v>8888.8888879999995</v>
      </c>
      <c r="BF129" s="5">
        <v>9841.2698409999994</v>
      </c>
      <c r="BG129" s="5">
        <f t="shared" si="38"/>
        <v>127</v>
      </c>
      <c r="BK129" s="5" t="str">
        <f t="shared" si="39"/>
        <v>N/A</v>
      </c>
      <c r="BL129" s="5">
        <v>8652.0639350000001</v>
      </c>
      <c r="BM129" s="5">
        <v>3080.3029864999999</v>
      </c>
      <c r="BN129" s="5">
        <v>17403.811420999999</v>
      </c>
      <c r="BO129" s="5">
        <v>4277.5696200000002</v>
      </c>
      <c r="BP129" s="5">
        <v>0</v>
      </c>
      <c r="BQ129" s="5">
        <v>0</v>
      </c>
      <c r="BR129" s="5">
        <v>10571.237112999999</v>
      </c>
      <c r="BS129" s="5">
        <v>4525.6289299999999</v>
      </c>
      <c r="BT129" s="5">
        <v>17545.036591</v>
      </c>
      <c r="BU129" s="5">
        <v>15133.233333</v>
      </c>
      <c r="BV129" s="5">
        <v>23429.45</v>
      </c>
      <c r="BW129" s="5">
        <v>19471.908211999998</v>
      </c>
      <c r="BX129" s="5">
        <v>9</v>
      </c>
      <c r="BY129" s="5">
        <v>2</v>
      </c>
      <c r="BZ129" s="5">
        <v>1</v>
      </c>
      <c r="CD129" s="143">
        <v>0.19516755357399673</v>
      </c>
      <c r="CE129" s="143">
        <v>5.6432360742705523E-2</v>
      </c>
      <c r="CF129" s="143">
        <v>38672259.590000004</v>
      </c>
      <c r="CG129" s="144">
        <v>87.1</v>
      </c>
      <c r="CH129" s="144">
        <v>7.3</v>
      </c>
      <c r="CI129" s="144">
        <v>1.5</v>
      </c>
      <c r="CJ129" s="144">
        <v>80.8</v>
      </c>
      <c r="CK129" s="144">
        <v>9.6</v>
      </c>
      <c r="CL129" s="144">
        <v>2.9</v>
      </c>
      <c r="CM129" s="144">
        <v>95.9</v>
      </c>
      <c r="CN129" s="144">
        <v>93.3</v>
      </c>
    </row>
    <row r="130" spans="1:92" x14ac:dyDescent="0.3">
      <c r="A130">
        <v>888</v>
      </c>
      <c r="B130" s="1">
        <v>1.261211359E-2</v>
      </c>
      <c r="C130" s="1">
        <v>7.0623575199999997E-3</v>
      </c>
      <c r="D130" s="1">
        <v>5.6944788300000004E-3</v>
      </c>
      <c r="E130" s="1">
        <v>1.152100354E-2</v>
      </c>
      <c r="F130" s="2">
        <v>3133</v>
      </c>
      <c r="G130" s="2">
        <v>1209</v>
      </c>
      <c r="H130" s="2">
        <v>1420</v>
      </c>
      <c r="I130" s="2">
        <v>60</v>
      </c>
      <c r="J130" s="2">
        <v>748</v>
      </c>
      <c r="K130" s="2">
        <v>500</v>
      </c>
      <c r="L130" s="4">
        <v>326</v>
      </c>
      <c r="M130" s="4">
        <v>824</v>
      </c>
      <c r="N130" s="4">
        <v>285</v>
      </c>
      <c r="O130" s="4">
        <v>0</v>
      </c>
      <c r="P130" s="4">
        <v>21</v>
      </c>
      <c r="Q130" s="4">
        <v>21336</v>
      </c>
      <c r="R130" s="4">
        <v>68314</v>
      </c>
      <c r="S130" s="4">
        <v>11374</v>
      </c>
      <c r="T130" s="4">
        <v>720</v>
      </c>
      <c r="U130" s="4">
        <v>606</v>
      </c>
      <c r="V130" s="4">
        <f t="shared" ref="V130:V153" si="40">IFERROR(SUM(L130:M130)/SUM(L130:O130),"N/A")</f>
        <v>0.80139372822299648</v>
      </c>
      <c r="W130" s="4">
        <f t="shared" ref="W130:W153" si="41">IFERROR(_xlfn.RANK.EQ(V130,Qual_P_Prop,0),V130)</f>
        <v>95</v>
      </c>
      <c r="X130" s="4">
        <v>17</v>
      </c>
      <c r="Y130" s="4">
        <v>146</v>
      </c>
      <c r="Z130" s="4">
        <v>0</v>
      </c>
      <c r="AA130" s="4">
        <v>0</v>
      </c>
      <c r="AB130" s="4">
        <v>0</v>
      </c>
      <c r="AC130" s="4">
        <v>16727</v>
      </c>
      <c r="AD130" s="4">
        <v>44479</v>
      </c>
      <c r="AE130" s="4">
        <v>12027</v>
      </c>
      <c r="AF130" s="4">
        <v>4952</v>
      </c>
      <c r="AG130" s="4">
        <v>0</v>
      </c>
      <c r="AH130" s="4">
        <f t="shared" ref="AH130:AH153" si="42">IFERROR(SUM(X130:Y130)/SUM(X130:AA130),"N/A")</f>
        <v>1</v>
      </c>
      <c r="AI130" s="4">
        <f t="shared" ref="AI130:AI153" si="43">IFERROR(_xlfn.RANK.EQ(AH130,Qual_S_Prop,0),AH130)</f>
        <v>1</v>
      </c>
      <c r="AJ130" s="4">
        <v>558</v>
      </c>
      <c r="AK130" s="4">
        <v>555</v>
      </c>
      <c r="AL130" s="4">
        <v>282</v>
      </c>
      <c r="AM130" s="4">
        <v>61</v>
      </c>
      <c r="AN130" s="4">
        <f t="shared" ref="AN130:AN153" si="44">IFERROR(AJ130/SUM(AJ130:AL130),"N/A")</f>
        <v>0.4</v>
      </c>
      <c r="AO130" s="4">
        <f t="shared" ref="AO130:AO153" si="45">IFERROR(_xlfn.RANK.EQ(AN130,Qual_KS2_Prop,0),AN130)</f>
        <v>33</v>
      </c>
      <c r="AP130" s="4">
        <v>21230</v>
      </c>
      <c r="AQ130" s="4">
        <v>64464</v>
      </c>
      <c r="AR130" s="4">
        <v>13712</v>
      </c>
      <c r="AS130" s="4">
        <v>2944</v>
      </c>
      <c r="AT130" s="4">
        <v>52</v>
      </c>
      <c r="AU130" s="4">
        <v>76</v>
      </c>
      <c r="AV130" s="4">
        <v>35</v>
      </c>
      <c r="AW130" s="4">
        <v>0</v>
      </c>
      <c r="AX130" s="4">
        <f t="shared" ref="AX130:AX153" si="46">IFERROR(AT130/SUM(AT130:AV130),"N/A")</f>
        <v>0.31901840490797545</v>
      </c>
      <c r="AY130" s="4">
        <f t="shared" ref="AY130:AY153" si="47">IFERROR(_xlfn.RANK.EQ(AX130,Qual_KS4_Prop,0),AX130)</f>
        <v>59</v>
      </c>
      <c r="AZ130" s="4">
        <v>21024</v>
      </c>
      <c r="BA130" s="4">
        <v>32265</v>
      </c>
      <c r="BB130" s="4">
        <v>24896</v>
      </c>
      <c r="BC130" s="4">
        <v>0</v>
      </c>
      <c r="BD130" s="5">
        <v>16897.552338000001</v>
      </c>
      <c r="BF130" s="5">
        <v>18106.351527999999</v>
      </c>
      <c r="BG130" s="5">
        <f t="shared" ref="BG130:BG153" si="48">IFERROR(_xlfn.RANK.EQ(BD130,Cost_P_EP,1),"N/A")</f>
        <v>136</v>
      </c>
      <c r="BK130" s="5" t="str">
        <f t="shared" ref="BK130:BK153" si="49">IFERROR(_xlfn.RANK.EQ(BH130,Cost_S_EP,1),"N/A")</f>
        <v>N/A</v>
      </c>
      <c r="BL130" s="5">
        <v>9751.7934600000008</v>
      </c>
      <c r="BM130" s="5">
        <v>5006.3045135000002</v>
      </c>
      <c r="BN130" s="5">
        <v>20948.6965685</v>
      </c>
      <c r="BO130" s="5">
        <v>4444.4444439999997</v>
      </c>
      <c r="BP130" s="5">
        <v>3500</v>
      </c>
      <c r="BQ130" s="5">
        <v>3386.6666660000001</v>
      </c>
      <c r="BR130" s="5">
        <v>8841.4634729999998</v>
      </c>
      <c r="BS130" s="5">
        <v>4134.5523805000003</v>
      </c>
      <c r="BT130" s="5">
        <v>8932.2095234999997</v>
      </c>
      <c r="BU130" s="5">
        <v>12154.166666500001</v>
      </c>
      <c r="BV130" s="5">
        <v>0</v>
      </c>
      <c r="BW130" s="5">
        <v>22877.14</v>
      </c>
      <c r="BX130" s="5">
        <v>32</v>
      </c>
      <c r="BZ130" s="5">
        <v>13</v>
      </c>
      <c r="CD130" s="143">
        <v>0.13581497036994428</v>
      </c>
      <c r="CE130" s="143">
        <v>-5.2427554651757191E-4</v>
      </c>
      <c r="CF130" s="143">
        <v>114337036.04999998</v>
      </c>
      <c r="CG130" s="144">
        <v>88.4</v>
      </c>
      <c r="CH130" s="144">
        <v>6.1</v>
      </c>
      <c r="CI130" s="144">
        <v>2.1</v>
      </c>
      <c r="CJ130" s="144">
        <v>87.9</v>
      </c>
      <c r="CK130" s="144">
        <v>6.3</v>
      </c>
      <c r="CL130" s="144">
        <v>2</v>
      </c>
      <c r="CM130" s="144">
        <v>96.7</v>
      </c>
      <c r="CN130" s="144">
        <v>96.1</v>
      </c>
    </row>
    <row r="131" spans="1:92" x14ac:dyDescent="0.3">
      <c r="A131">
        <v>889</v>
      </c>
      <c r="B131" s="1">
        <v>-1.226785956E-2</v>
      </c>
      <c r="C131" s="1">
        <v>-4.94781076E-3</v>
      </c>
      <c r="D131" s="1">
        <v>-5.8262014479999999E-2</v>
      </c>
      <c r="E131" s="1">
        <v>-4.4327408380000002E-2</v>
      </c>
      <c r="F131" s="2">
        <v>1801</v>
      </c>
      <c r="G131" s="2">
        <v>2142</v>
      </c>
      <c r="H131" s="2">
        <v>350</v>
      </c>
      <c r="I131" s="2">
        <v>0</v>
      </c>
      <c r="J131" s="2">
        <v>0</v>
      </c>
      <c r="K131" s="2">
        <v>0</v>
      </c>
      <c r="L131" s="4">
        <v>84</v>
      </c>
      <c r="M131" s="4">
        <v>255</v>
      </c>
      <c r="N131" s="4">
        <v>0</v>
      </c>
      <c r="Q131" s="4">
        <v>1774</v>
      </c>
      <c r="R131" s="4">
        <v>10455</v>
      </c>
      <c r="S131" s="4">
        <v>2428</v>
      </c>
      <c r="V131" s="4">
        <f t="shared" si="40"/>
        <v>1</v>
      </c>
      <c r="W131" s="4">
        <f t="shared" si="41"/>
        <v>1</v>
      </c>
      <c r="X131" s="4">
        <v>0</v>
      </c>
      <c r="Y131" s="4">
        <v>25</v>
      </c>
      <c r="Z131" s="4">
        <v>0</v>
      </c>
      <c r="AC131" s="4">
        <v>800</v>
      </c>
      <c r="AD131" s="4">
        <v>6305</v>
      </c>
      <c r="AE131" s="4">
        <v>2281</v>
      </c>
      <c r="AH131" s="4">
        <f t="shared" si="42"/>
        <v>1</v>
      </c>
      <c r="AI131" s="4">
        <f t="shared" si="43"/>
        <v>1</v>
      </c>
      <c r="AJ131" s="4">
        <v>40</v>
      </c>
      <c r="AK131" s="4">
        <v>269</v>
      </c>
      <c r="AL131" s="4">
        <v>0</v>
      </c>
      <c r="AM131" s="4">
        <v>30</v>
      </c>
      <c r="AN131" s="4">
        <f t="shared" si="44"/>
        <v>0.12944983818770225</v>
      </c>
      <c r="AO131" s="4">
        <f t="shared" si="45"/>
        <v>74</v>
      </c>
      <c r="AP131" s="4">
        <v>3452</v>
      </c>
      <c r="AQ131" s="4">
        <v>8405</v>
      </c>
      <c r="AR131" s="4">
        <v>1803</v>
      </c>
      <c r="AS131" s="4">
        <v>997</v>
      </c>
      <c r="AT131" s="4">
        <v>25</v>
      </c>
      <c r="AU131" s="4">
        <v>0</v>
      </c>
      <c r="AV131" s="4">
        <v>0</v>
      </c>
      <c r="AW131" s="4">
        <v>0</v>
      </c>
      <c r="AX131" s="4">
        <f t="shared" si="46"/>
        <v>1</v>
      </c>
      <c r="AY131" s="4">
        <f t="shared" si="47"/>
        <v>1</v>
      </c>
      <c r="AZ131" s="4">
        <v>4056</v>
      </c>
      <c r="BA131" s="4">
        <v>3230</v>
      </c>
      <c r="BB131" s="4">
        <v>2100</v>
      </c>
      <c r="BC131" s="4">
        <v>0</v>
      </c>
      <c r="BD131" s="5">
        <v>6160.3734329999997</v>
      </c>
      <c r="BG131" s="5">
        <f t="shared" si="48"/>
        <v>28</v>
      </c>
      <c r="BK131" s="5" t="str">
        <f t="shared" si="49"/>
        <v>N/A</v>
      </c>
      <c r="BL131" s="5">
        <v>10171.947637000001</v>
      </c>
      <c r="BM131" s="5">
        <v>4661.829197</v>
      </c>
      <c r="BN131" s="5">
        <v>14250.133333</v>
      </c>
      <c r="BO131" s="5">
        <v>10605.365106500001</v>
      </c>
      <c r="BP131" s="5">
        <v>0</v>
      </c>
      <c r="BQ131" s="5">
        <v>23157.895</v>
      </c>
      <c r="BR131" s="5">
        <v>8841.4634729999998</v>
      </c>
      <c r="BS131" s="5">
        <v>4134.5523805000003</v>
      </c>
      <c r="BT131" s="5">
        <v>8932.2095234999997</v>
      </c>
      <c r="BU131" s="5">
        <v>12154.166666500001</v>
      </c>
      <c r="BV131" s="5">
        <v>0</v>
      </c>
      <c r="BW131" s="5">
        <v>22877.14</v>
      </c>
      <c r="BX131" s="5">
        <v>5</v>
      </c>
      <c r="CD131" s="143">
        <v>0.11167697344488903</v>
      </c>
      <c r="CE131" s="143">
        <v>9.7426028385855235E-2</v>
      </c>
      <c r="CF131" s="143">
        <v>16965931.800000001</v>
      </c>
      <c r="CG131" s="144">
        <v>85.9</v>
      </c>
      <c r="CH131" s="144">
        <v>9.1</v>
      </c>
      <c r="CI131" s="144">
        <v>2</v>
      </c>
      <c r="CJ131" s="144">
        <v>79</v>
      </c>
      <c r="CK131" s="144">
        <v>12</v>
      </c>
      <c r="CL131" s="144">
        <v>3.8</v>
      </c>
      <c r="CM131" s="144">
        <v>96.9</v>
      </c>
      <c r="CN131" s="144">
        <v>94.8</v>
      </c>
    </row>
    <row r="132" spans="1:92" x14ac:dyDescent="0.3">
      <c r="A132">
        <v>890</v>
      </c>
      <c r="B132" s="1">
        <v>3.1073200450000001E-2</v>
      </c>
      <c r="C132" s="1">
        <v>-1.4796762099999999E-3</v>
      </c>
      <c r="D132" s="1">
        <v>9.3519535540000004E-2</v>
      </c>
      <c r="E132" s="1">
        <v>4.817197552E-2</v>
      </c>
      <c r="F132" s="2">
        <v>1062</v>
      </c>
      <c r="G132" s="2">
        <v>0</v>
      </c>
      <c r="H132" s="2">
        <v>150</v>
      </c>
      <c r="I132" s="2">
        <v>300</v>
      </c>
      <c r="J132" s="2">
        <v>0</v>
      </c>
      <c r="K132" s="2">
        <v>0</v>
      </c>
      <c r="M132" s="4">
        <v>60</v>
      </c>
      <c r="N132" s="4">
        <v>0</v>
      </c>
      <c r="O132" s="4">
        <v>0</v>
      </c>
      <c r="R132" s="4">
        <v>8806</v>
      </c>
      <c r="S132" s="4">
        <v>2630</v>
      </c>
      <c r="T132" s="4">
        <v>0</v>
      </c>
      <c r="V132" s="4">
        <f t="shared" si="40"/>
        <v>1</v>
      </c>
      <c r="W132" s="4">
        <f t="shared" si="41"/>
        <v>1</v>
      </c>
      <c r="Y132" s="4">
        <v>94</v>
      </c>
      <c r="Z132" s="4">
        <v>0</v>
      </c>
      <c r="AA132" s="4">
        <v>0</v>
      </c>
      <c r="AD132" s="4">
        <v>2150</v>
      </c>
      <c r="AE132" s="4">
        <v>485</v>
      </c>
      <c r="AF132" s="4">
        <v>3642</v>
      </c>
      <c r="AH132" s="4">
        <f t="shared" si="42"/>
        <v>1</v>
      </c>
      <c r="AI132" s="4">
        <f t="shared" si="43"/>
        <v>1</v>
      </c>
      <c r="AJ132" s="4">
        <v>0</v>
      </c>
      <c r="AK132" s="4">
        <v>60</v>
      </c>
      <c r="AL132" s="4">
        <v>0</v>
      </c>
      <c r="AM132" s="4">
        <v>0</v>
      </c>
      <c r="AN132" s="4">
        <f t="shared" si="44"/>
        <v>0</v>
      </c>
      <c r="AO132" s="4">
        <f t="shared" si="45"/>
        <v>100</v>
      </c>
      <c r="AP132" s="4">
        <v>4448</v>
      </c>
      <c r="AQ132" s="4">
        <v>4203</v>
      </c>
      <c r="AR132" s="4">
        <v>2785</v>
      </c>
      <c r="AS132" s="4">
        <v>0</v>
      </c>
      <c r="AU132" s="4">
        <v>0</v>
      </c>
      <c r="AV132" s="4">
        <v>94</v>
      </c>
      <c r="AW132" s="4">
        <v>0</v>
      </c>
      <c r="AX132" s="4">
        <f t="shared" si="46"/>
        <v>0</v>
      </c>
      <c r="AY132" s="4">
        <f t="shared" si="47"/>
        <v>73</v>
      </c>
      <c r="BA132" s="4">
        <v>1200</v>
      </c>
      <c r="BB132" s="4">
        <v>5077</v>
      </c>
      <c r="BC132" s="4">
        <v>0</v>
      </c>
      <c r="BD132" s="5">
        <v>11411.574602999999</v>
      </c>
      <c r="BE132" s="5">
        <v>833.33333300000004</v>
      </c>
      <c r="BG132" s="5">
        <f t="shared" si="48"/>
        <v>101</v>
      </c>
      <c r="BK132" s="5" t="str">
        <f t="shared" si="49"/>
        <v>N/A</v>
      </c>
      <c r="BL132" s="5">
        <v>6766.9189999999999</v>
      </c>
      <c r="BM132" s="5">
        <v>2460.2549009999998</v>
      </c>
      <c r="BN132" s="5">
        <v>8944.843073</v>
      </c>
      <c r="BO132" s="5">
        <v>0</v>
      </c>
      <c r="BP132" s="5">
        <v>0</v>
      </c>
      <c r="BQ132" s="5">
        <v>20392.818365499999</v>
      </c>
      <c r="BR132" s="5">
        <v>8841.4634729999998</v>
      </c>
      <c r="BS132" s="5">
        <v>4134.5523805000003</v>
      </c>
      <c r="BT132" s="5">
        <v>8932.2095234999997</v>
      </c>
      <c r="BU132" s="5">
        <v>12154.166666500001</v>
      </c>
      <c r="BV132" s="5">
        <v>0</v>
      </c>
      <c r="BW132" s="5">
        <v>22877.14</v>
      </c>
      <c r="BX132" s="5">
        <v>2</v>
      </c>
      <c r="BY132" s="5">
        <v>1</v>
      </c>
      <c r="CD132" s="143">
        <v>9.4141676724538215E-2</v>
      </c>
      <c r="CE132" s="143">
        <v>-0.11410256410256414</v>
      </c>
      <c r="CF132" s="143">
        <v>23227234.870000001</v>
      </c>
      <c r="CG132" s="144">
        <v>90</v>
      </c>
      <c r="CH132" s="144">
        <v>6.6</v>
      </c>
      <c r="CI132" s="144">
        <v>1.2</v>
      </c>
      <c r="CJ132" s="144">
        <v>79.400000000000006</v>
      </c>
      <c r="CK132" s="144">
        <v>9.8000000000000007</v>
      </c>
      <c r="CL132" s="144">
        <v>2.9</v>
      </c>
      <c r="CM132" s="144">
        <v>97.8</v>
      </c>
      <c r="CN132" s="144">
        <v>92</v>
      </c>
    </row>
    <row r="133" spans="1:92" x14ac:dyDescent="0.3">
      <c r="A133">
        <v>891</v>
      </c>
      <c r="B133" s="1">
        <v>-3.086162047E-2</v>
      </c>
      <c r="C133" s="1">
        <v>-4.9455666500000002E-3</v>
      </c>
      <c r="D133" s="1">
        <v>3.0140895300000001E-2</v>
      </c>
      <c r="E133" s="1">
        <v>8.4078574999999997E-4</v>
      </c>
      <c r="F133" s="2">
        <v>4027</v>
      </c>
      <c r="G133" s="2">
        <v>24</v>
      </c>
      <c r="H133" s="2">
        <v>1690</v>
      </c>
      <c r="I133" s="2">
        <v>190</v>
      </c>
      <c r="J133" s="2">
        <v>1207</v>
      </c>
      <c r="K133" s="2">
        <v>211</v>
      </c>
      <c r="L133" s="4">
        <v>115</v>
      </c>
      <c r="M133" s="4">
        <v>883</v>
      </c>
      <c r="N133" s="4">
        <v>200</v>
      </c>
      <c r="O133" s="4">
        <v>0</v>
      </c>
      <c r="P133" s="4">
        <v>0</v>
      </c>
      <c r="Q133" s="4">
        <v>10088</v>
      </c>
      <c r="R133" s="4">
        <v>43376</v>
      </c>
      <c r="S133" s="4">
        <v>10486</v>
      </c>
      <c r="T133" s="4">
        <v>629</v>
      </c>
      <c r="U133" s="4">
        <v>180</v>
      </c>
      <c r="V133" s="4">
        <f t="shared" si="40"/>
        <v>0.8330550918196995</v>
      </c>
      <c r="W133" s="4">
        <f t="shared" si="41"/>
        <v>85</v>
      </c>
      <c r="X133" s="4">
        <v>605</v>
      </c>
      <c r="Y133" s="4">
        <v>255</v>
      </c>
      <c r="Z133" s="4">
        <v>19</v>
      </c>
      <c r="AA133" s="4">
        <v>0</v>
      </c>
      <c r="AB133" s="4">
        <v>0</v>
      </c>
      <c r="AC133" s="4">
        <v>11613</v>
      </c>
      <c r="AD133" s="4">
        <v>29554</v>
      </c>
      <c r="AE133" s="4">
        <v>10701</v>
      </c>
      <c r="AF133" s="4">
        <v>2743</v>
      </c>
      <c r="AG133" s="4">
        <v>0</v>
      </c>
      <c r="AH133" s="4">
        <f t="shared" si="42"/>
        <v>0.97838452787258245</v>
      </c>
      <c r="AI133" s="4">
        <f t="shared" si="43"/>
        <v>61</v>
      </c>
      <c r="AJ133" s="4">
        <v>375</v>
      </c>
      <c r="AK133" s="4">
        <v>571</v>
      </c>
      <c r="AL133" s="4">
        <v>237</v>
      </c>
      <c r="AM133" s="4">
        <v>15</v>
      </c>
      <c r="AN133" s="4">
        <f t="shared" si="44"/>
        <v>0.31699070160608622</v>
      </c>
      <c r="AO133" s="4">
        <f t="shared" si="45"/>
        <v>45</v>
      </c>
      <c r="AP133" s="4">
        <v>7408</v>
      </c>
      <c r="AQ133" s="4">
        <v>35599</v>
      </c>
      <c r="AR133" s="4">
        <v>15283</v>
      </c>
      <c r="AS133" s="4">
        <v>6469</v>
      </c>
      <c r="AT133" s="4">
        <v>188</v>
      </c>
      <c r="AU133" s="4">
        <v>578</v>
      </c>
      <c r="AV133" s="4">
        <v>113</v>
      </c>
      <c r="AW133" s="4">
        <v>0</v>
      </c>
      <c r="AX133" s="4">
        <f t="shared" si="46"/>
        <v>0.21387940841865757</v>
      </c>
      <c r="AY133" s="4">
        <f t="shared" si="47"/>
        <v>64</v>
      </c>
      <c r="AZ133" s="4">
        <v>10038</v>
      </c>
      <c r="BA133" s="4">
        <v>20846</v>
      </c>
      <c r="BB133" s="4">
        <v>23727</v>
      </c>
      <c r="BC133" s="4">
        <v>0</v>
      </c>
      <c r="BD133" s="5">
        <v>8127.8264900000004</v>
      </c>
      <c r="BE133" s="5">
        <v>8692.1737699999994</v>
      </c>
      <c r="BF133" s="5">
        <v>24000.567740999999</v>
      </c>
      <c r="BG133" s="5">
        <f t="shared" si="48"/>
        <v>57</v>
      </c>
      <c r="BH133" s="5">
        <v>4444.4444439999997</v>
      </c>
      <c r="BK133" s="5">
        <f t="shared" si="49"/>
        <v>9</v>
      </c>
      <c r="BL133" s="5">
        <v>10023.473237</v>
      </c>
      <c r="BM133" s="5">
        <v>3408.355474</v>
      </c>
      <c r="BN133" s="5">
        <v>18106.351527999999</v>
      </c>
      <c r="BO133" s="5">
        <v>8995.9276669999999</v>
      </c>
      <c r="BP133" s="5">
        <v>3500</v>
      </c>
      <c r="BQ133" s="5">
        <v>0</v>
      </c>
      <c r="BR133" s="5">
        <v>7581.9538860000002</v>
      </c>
      <c r="BS133" s="5">
        <v>3750</v>
      </c>
      <c r="BT133" s="5">
        <v>21956.25</v>
      </c>
      <c r="BU133" s="5">
        <v>10331.4156195</v>
      </c>
      <c r="BV133" s="5">
        <v>2258.311111</v>
      </c>
      <c r="BW133" s="5">
        <v>0</v>
      </c>
      <c r="BX133" s="5">
        <v>30</v>
      </c>
      <c r="BY133" s="5">
        <v>4</v>
      </c>
      <c r="BZ133" s="5">
        <v>3</v>
      </c>
      <c r="CA133" s="5">
        <v>1</v>
      </c>
      <c r="CD133" s="143">
        <v>0.16511149770678468</v>
      </c>
      <c r="CE133" s="143">
        <v>-6.5060018040104528E-2</v>
      </c>
      <c r="CF133" s="143">
        <v>77333466.439999998</v>
      </c>
      <c r="CG133" s="144">
        <v>89.8</v>
      </c>
      <c r="CH133" s="144">
        <v>4.9000000000000004</v>
      </c>
      <c r="CI133" s="144">
        <v>1.6</v>
      </c>
      <c r="CJ133" s="144">
        <v>94.1</v>
      </c>
      <c r="CK133" s="144">
        <v>3.2</v>
      </c>
      <c r="CL133" s="144">
        <v>0.8</v>
      </c>
      <c r="CM133" s="144">
        <v>96.3</v>
      </c>
      <c r="CN133" s="144">
        <v>98.2</v>
      </c>
    </row>
    <row r="134" spans="1:92" x14ac:dyDescent="0.3">
      <c r="A134">
        <v>892</v>
      </c>
      <c r="B134" s="1">
        <v>-1.0688098090000001E-2</v>
      </c>
      <c r="C134" s="1">
        <v>7.9953601999999992E-3</v>
      </c>
      <c r="D134" s="1">
        <v>-9.45353931E-3</v>
      </c>
      <c r="E134" s="1">
        <v>-1.3834447699999999E-3</v>
      </c>
      <c r="F134" s="2">
        <v>3426</v>
      </c>
      <c r="G134" s="2">
        <v>1519</v>
      </c>
      <c r="H134" s="2">
        <v>270</v>
      </c>
      <c r="I134" s="2">
        <v>0</v>
      </c>
      <c r="J134" s="2">
        <v>2375</v>
      </c>
      <c r="K134" s="2">
        <v>0</v>
      </c>
      <c r="L134" s="4">
        <v>30</v>
      </c>
      <c r="M134" s="4">
        <v>1593</v>
      </c>
      <c r="N134" s="4">
        <v>73</v>
      </c>
      <c r="O134" s="4">
        <v>0</v>
      </c>
      <c r="Q134" s="4">
        <v>4021</v>
      </c>
      <c r="R134" s="4">
        <v>12936</v>
      </c>
      <c r="S134" s="4">
        <v>5157</v>
      </c>
      <c r="T134" s="4">
        <v>210</v>
      </c>
      <c r="V134" s="4">
        <f t="shared" si="40"/>
        <v>0.9569575471698113</v>
      </c>
      <c r="W134" s="4">
        <f t="shared" si="41"/>
        <v>59</v>
      </c>
      <c r="X134" s="4">
        <v>0</v>
      </c>
      <c r="Y134" s="4">
        <v>100</v>
      </c>
      <c r="Z134" s="4">
        <v>0</v>
      </c>
      <c r="AA134" s="4">
        <v>0</v>
      </c>
      <c r="AC134" s="4">
        <v>2195</v>
      </c>
      <c r="AD134" s="4">
        <v>9750</v>
      </c>
      <c r="AE134" s="4">
        <v>970</v>
      </c>
      <c r="AF134" s="4">
        <v>2220</v>
      </c>
      <c r="AH134" s="4">
        <f t="shared" si="42"/>
        <v>1</v>
      </c>
      <c r="AI134" s="4">
        <f t="shared" si="43"/>
        <v>1</v>
      </c>
      <c r="AJ134" s="4">
        <v>315</v>
      </c>
      <c r="AK134" s="4">
        <v>775</v>
      </c>
      <c r="AL134" s="4">
        <v>186</v>
      </c>
      <c r="AM134" s="4">
        <v>420</v>
      </c>
      <c r="AN134" s="4">
        <f t="shared" si="44"/>
        <v>0.2468652037617555</v>
      </c>
      <c r="AO134" s="4">
        <f t="shared" si="45"/>
        <v>54</v>
      </c>
      <c r="AP134" s="4">
        <v>6195</v>
      </c>
      <c r="AQ134" s="4">
        <v>11593</v>
      </c>
      <c r="AR134" s="4">
        <v>4176</v>
      </c>
      <c r="AS134" s="4">
        <v>360</v>
      </c>
      <c r="AT134" s="4">
        <v>50</v>
      </c>
      <c r="AU134" s="4">
        <v>0</v>
      </c>
      <c r="AV134" s="4">
        <v>50</v>
      </c>
      <c r="AW134" s="4">
        <v>0</v>
      </c>
      <c r="AX134" s="4">
        <f t="shared" si="46"/>
        <v>0.5</v>
      </c>
      <c r="AY134" s="4">
        <f t="shared" si="47"/>
        <v>53</v>
      </c>
      <c r="AZ134" s="4">
        <v>4195</v>
      </c>
      <c r="BA134" s="4">
        <v>2300</v>
      </c>
      <c r="BB134" s="4">
        <v>8640</v>
      </c>
      <c r="BC134" s="4">
        <v>0</v>
      </c>
      <c r="BD134" s="5">
        <v>7305.5</v>
      </c>
      <c r="BE134" s="5">
        <v>3750</v>
      </c>
      <c r="BG134" s="5">
        <f t="shared" si="48"/>
        <v>47</v>
      </c>
      <c r="BK134" s="5" t="str">
        <f t="shared" si="49"/>
        <v>N/A</v>
      </c>
      <c r="BL134" s="5">
        <v>9669.9950085</v>
      </c>
      <c r="BM134" s="5">
        <v>3331.4736379999999</v>
      </c>
      <c r="BN134" s="5">
        <v>15731.41884</v>
      </c>
      <c r="BO134" s="5">
        <v>9843.1542975000011</v>
      </c>
      <c r="BP134" s="5">
        <v>0</v>
      </c>
      <c r="BQ134" s="5">
        <v>17592.573528000001</v>
      </c>
      <c r="BR134" s="5">
        <v>7581.9538860000002</v>
      </c>
      <c r="BS134" s="5">
        <v>3750</v>
      </c>
      <c r="BT134" s="5">
        <v>21956.25</v>
      </c>
      <c r="BU134" s="5">
        <v>10331.4156195</v>
      </c>
      <c r="BV134" s="5">
        <v>2258.311111</v>
      </c>
      <c r="BW134" s="5">
        <v>0</v>
      </c>
      <c r="BX134" s="5">
        <v>14</v>
      </c>
      <c r="BY134" s="5">
        <v>3</v>
      </c>
      <c r="CD134" s="143">
        <v>0.33478915662650599</v>
      </c>
      <c r="CE134" s="143">
        <v>0.51171746066674006</v>
      </c>
      <c r="CF134" s="143">
        <v>47460874.220000006</v>
      </c>
      <c r="CG134" s="144">
        <v>84.8</v>
      </c>
      <c r="CH134" s="144">
        <v>5.9</v>
      </c>
      <c r="CI134" s="144">
        <v>2.5</v>
      </c>
      <c r="CJ134" s="144">
        <v>84.4</v>
      </c>
      <c r="CK134" s="144">
        <v>8.9</v>
      </c>
      <c r="CL134" s="144">
        <v>2.1</v>
      </c>
      <c r="CM134" s="144">
        <v>93.2</v>
      </c>
      <c r="CN134" s="144">
        <v>95.4</v>
      </c>
    </row>
    <row r="135" spans="1:92" x14ac:dyDescent="0.3">
      <c r="A135">
        <v>893</v>
      </c>
      <c r="B135" s="1">
        <v>9.4696969000000004E-4</v>
      </c>
      <c r="C135" s="1">
        <v>7.8249601200000001E-3</v>
      </c>
      <c r="D135" s="1">
        <v>3.623878161E-2</v>
      </c>
      <c r="E135" s="1">
        <v>5.6431873800000002E-3</v>
      </c>
      <c r="F135" s="2">
        <v>0</v>
      </c>
      <c r="G135" s="2">
        <v>0</v>
      </c>
      <c r="H135" s="2">
        <v>20</v>
      </c>
      <c r="I135" s="2">
        <v>60</v>
      </c>
      <c r="J135" s="2">
        <v>180</v>
      </c>
      <c r="K135" s="2">
        <v>0</v>
      </c>
      <c r="L135" s="4">
        <v>0</v>
      </c>
      <c r="M135" s="4">
        <v>0</v>
      </c>
      <c r="N135" s="4">
        <v>0</v>
      </c>
      <c r="O135" s="4">
        <v>0</v>
      </c>
      <c r="Q135" s="4">
        <v>1971</v>
      </c>
      <c r="R135" s="4">
        <v>16522</v>
      </c>
      <c r="S135" s="4">
        <v>3885</v>
      </c>
      <c r="T135" s="4">
        <v>294</v>
      </c>
      <c r="V135" s="4" t="str">
        <f t="shared" si="40"/>
        <v>N/A</v>
      </c>
      <c r="W135" s="4" t="str">
        <f t="shared" si="41"/>
        <v>N/A</v>
      </c>
      <c r="X135" s="4">
        <v>24</v>
      </c>
      <c r="Y135" s="4">
        <v>34</v>
      </c>
      <c r="Z135" s="4">
        <v>0</v>
      </c>
      <c r="AA135" s="4">
        <v>0</v>
      </c>
      <c r="AC135" s="4">
        <v>1656</v>
      </c>
      <c r="AD135" s="4">
        <v>10598</v>
      </c>
      <c r="AE135" s="4">
        <v>4099</v>
      </c>
      <c r="AF135" s="4">
        <v>1034</v>
      </c>
      <c r="AH135" s="4">
        <f t="shared" si="42"/>
        <v>1</v>
      </c>
      <c r="AI135" s="4">
        <f t="shared" si="43"/>
        <v>1</v>
      </c>
      <c r="AJ135" s="4">
        <v>0</v>
      </c>
      <c r="AK135" s="4">
        <v>0</v>
      </c>
      <c r="AL135" s="4">
        <v>0</v>
      </c>
      <c r="AM135" s="4">
        <v>0</v>
      </c>
      <c r="AN135" s="4" t="str">
        <f t="shared" si="44"/>
        <v>N/A</v>
      </c>
      <c r="AO135" s="4" t="str">
        <f t="shared" si="45"/>
        <v>N/A</v>
      </c>
      <c r="AP135" s="4">
        <v>3668</v>
      </c>
      <c r="AQ135" s="4">
        <v>11552</v>
      </c>
      <c r="AR135" s="4">
        <v>5316</v>
      </c>
      <c r="AS135" s="4">
        <v>2136</v>
      </c>
      <c r="AT135" s="4">
        <v>24</v>
      </c>
      <c r="AU135" s="4">
        <v>0</v>
      </c>
      <c r="AV135" s="4">
        <v>34</v>
      </c>
      <c r="AW135" s="4">
        <v>0</v>
      </c>
      <c r="AX135" s="4">
        <f t="shared" si="46"/>
        <v>0.41379310344827586</v>
      </c>
      <c r="AY135" s="4">
        <f t="shared" si="47"/>
        <v>55</v>
      </c>
      <c r="AZ135" s="4">
        <v>3413</v>
      </c>
      <c r="BA135" s="4">
        <v>9847</v>
      </c>
      <c r="BB135" s="4">
        <v>4127</v>
      </c>
      <c r="BC135" s="4">
        <v>0</v>
      </c>
      <c r="BD135" s="5">
        <v>12403.325605</v>
      </c>
      <c r="BF135" s="5">
        <v>11454.440476</v>
      </c>
      <c r="BG135" s="5">
        <f t="shared" si="48"/>
        <v>115</v>
      </c>
      <c r="BK135" s="5" t="str">
        <f t="shared" si="49"/>
        <v>N/A</v>
      </c>
      <c r="BL135" s="5">
        <v>9400.5625010000003</v>
      </c>
      <c r="BM135" s="5">
        <v>3980.918181</v>
      </c>
      <c r="BN135" s="5">
        <v>13271.1719655</v>
      </c>
      <c r="BO135" s="5">
        <v>7127.1501829999997</v>
      </c>
      <c r="BP135" s="5">
        <v>0</v>
      </c>
      <c r="BQ135" s="5">
        <v>12554.023134499999</v>
      </c>
      <c r="BR135" s="5">
        <v>9741.1953059999996</v>
      </c>
      <c r="BS135" s="5">
        <v>3330.1900734999999</v>
      </c>
      <c r="BT135" s="5">
        <v>17819.047618500001</v>
      </c>
      <c r="BU135" s="5">
        <v>11195.911189999999</v>
      </c>
      <c r="BV135" s="5">
        <v>0</v>
      </c>
      <c r="BW135" s="5">
        <v>17276.650324999999</v>
      </c>
      <c r="BX135" s="5">
        <v>4</v>
      </c>
      <c r="BZ135" s="5">
        <v>1</v>
      </c>
      <c r="CD135" s="143">
        <v>4.0967774728067452E-2</v>
      </c>
      <c r="CE135" s="143">
        <v>-8.1092909841190441E-2</v>
      </c>
      <c r="CF135" s="143">
        <v>10307165.870000001</v>
      </c>
      <c r="CG135" s="144">
        <v>93.4</v>
      </c>
      <c r="CH135" s="144">
        <v>3.6</v>
      </c>
      <c r="CI135" s="144">
        <v>0.8</v>
      </c>
      <c r="CJ135" s="144">
        <v>95.2</v>
      </c>
      <c r="CK135" s="144">
        <v>3.4</v>
      </c>
      <c r="CL135" s="144">
        <v>0.4</v>
      </c>
      <c r="CM135" s="144">
        <v>97.8</v>
      </c>
      <c r="CN135" s="144">
        <v>99</v>
      </c>
    </row>
    <row r="136" spans="1:92" x14ac:dyDescent="0.3">
      <c r="A136">
        <v>894</v>
      </c>
      <c r="B136" s="1">
        <v>1.113752122E-2</v>
      </c>
      <c r="C136" s="1">
        <v>-3.59932088E-3</v>
      </c>
      <c r="D136" s="1">
        <v>1.5950284820000001E-2</v>
      </c>
      <c r="E136" s="1">
        <v>1.8643189999999999E-3</v>
      </c>
      <c r="F136" s="2">
        <v>1098</v>
      </c>
      <c r="G136" s="2">
        <v>2172</v>
      </c>
      <c r="H136" s="2">
        <v>80</v>
      </c>
      <c r="I136" s="2">
        <v>0</v>
      </c>
      <c r="J136" s="2">
        <v>570</v>
      </c>
      <c r="K136" s="2">
        <v>0</v>
      </c>
      <c r="L136" s="4">
        <v>54</v>
      </c>
      <c r="M136" s="4">
        <v>70</v>
      </c>
      <c r="N136" s="4">
        <v>90</v>
      </c>
      <c r="O136" s="4">
        <v>0</v>
      </c>
      <c r="Q136" s="4">
        <v>2383</v>
      </c>
      <c r="R136" s="4">
        <v>11874</v>
      </c>
      <c r="S136" s="4">
        <v>1730</v>
      </c>
      <c r="T136" s="4">
        <v>226</v>
      </c>
      <c r="V136" s="4">
        <f t="shared" si="40"/>
        <v>0.57943925233644855</v>
      </c>
      <c r="W136" s="4">
        <f t="shared" si="41"/>
        <v>126</v>
      </c>
      <c r="X136" s="4">
        <v>60</v>
      </c>
      <c r="Y136" s="4">
        <v>0</v>
      </c>
      <c r="Z136" s="4">
        <v>0</v>
      </c>
      <c r="AA136" s="4">
        <v>0</v>
      </c>
      <c r="AC136" s="4">
        <v>2585</v>
      </c>
      <c r="AD136" s="4">
        <v>4987</v>
      </c>
      <c r="AE136" s="4">
        <v>900</v>
      </c>
      <c r="AF136" s="4">
        <v>4503</v>
      </c>
      <c r="AH136" s="4">
        <f t="shared" si="42"/>
        <v>1</v>
      </c>
      <c r="AI136" s="4">
        <f t="shared" si="43"/>
        <v>1</v>
      </c>
      <c r="AJ136" s="4">
        <v>0</v>
      </c>
      <c r="AK136" s="4">
        <v>160</v>
      </c>
      <c r="AL136" s="4">
        <v>0</v>
      </c>
      <c r="AM136" s="4">
        <v>54</v>
      </c>
      <c r="AN136" s="4">
        <f t="shared" si="44"/>
        <v>0</v>
      </c>
      <c r="AO136" s="4">
        <f t="shared" si="45"/>
        <v>100</v>
      </c>
      <c r="AP136" s="4">
        <v>3270</v>
      </c>
      <c r="AQ136" s="4">
        <v>9354</v>
      </c>
      <c r="AR136" s="4">
        <v>2927</v>
      </c>
      <c r="AS136" s="4">
        <v>662</v>
      </c>
      <c r="AT136" s="4">
        <v>60</v>
      </c>
      <c r="AU136" s="4">
        <v>0</v>
      </c>
      <c r="AV136" s="4">
        <v>0</v>
      </c>
      <c r="AW136" s="4">
        <v>0</v>
      </c>
      <c r="AX136" s="4">
        <f t="shared" si="46"/>
        <v>1</v>
      </c>
      <c r="AY136" s="4">
        <f t="shared" si="47"/>
        <v>1</v>
      </c>
      <c r="AZ136" s="4">
        <v>3486</v>
      </c>
      <c r="BA136" s="4">
        <v>3981</v>
      </c>
      <c r="BB136" s="4">
        <v>5508</v>
      </c>
      <c r="BC136" s="4">
        <v>0</v>
      </c>
      <c r="BD136" s="5">
        <v>11941.17647</v>
      </c>
      <c r="BE136" s="5">
        <v>1833.333333</v>
      </c>
      <c r="BF136" s="5">
        <v>19866.666666000001</v>
      </c>
      <c r="BG136" s="5">
        <f t="shared" si="48"/>
        <v>109</v>
      </c>
      <c r="BK136" s="5" t="str">
        <f t="shared" si="49"/>
        <v>N/A</v>
      </c>
      <c r="BL136" s="5">
        <v>9270.5547875000011</v>
      </c>
      <c r="BM136" s="5">
        <v>5487.1794870000003</v>
      </c>
      <c r="BN136" s="5">
        <v>17086.310000000001</v>
      </c>
      <c r="BO136" s="5">
        <v>10605.365106500001</v>
      </c>
      <c r="BP136" s="5">
        <v>0</v>
      </c>
      <c r="BQ136" s="5">
        <v>23157.895</v>
      </c>
      <c r="BR136" s="5">
        <v>9741.1953059999996</v>
      </c>
      <c r="BS136" s="5">
        <v>3330.1900734999999</v>
      </c>
      <c r="BT136" s="5">
        <v>17819.047618500001</v>
      </c>
      <c r="BU136" s="5">
        <v>11195.911189999999</v>
      </c>
      <c r="BV136" s="5">
        <v>0</v>
      </c>
      <c r="BW136" s="5">
        <v>17276.650324999999</v>
      </c>
      <c r="BX136" s="5">
        <v>6</v>
      </c>
      <c r="BY136" s="5">
        <v>1</v>
      </c>
      <c r="BZ136" s="5">
        <v>1</v>
      </c>
      <c r="CD136" s="143">
        <v>0.17956334472003554</v>
      </c>
      <c r="CE136" s="143">
        <v>0.31799527421962437</v>
      </c>
      <c r="CF136" s="143">
        <v>13631693.449999999</v>
      </c>
      <c r="CG136" s="144">
        <v>93.9</v>
      </c>
      <c r="CH136" s="144">
        <v>4.7</v>
      </c>
      <c r="CI136" s="144">
        <v>1.3</v>
      </c>
      <c r="CJ136" s="144">
        <v>84.4</v>
      </c>
      <c r="CK136" s="144">
        <v>9.4</v>
      </c>
      <c r="CL136" s="144">
        <v>3.3</v>
      </c>
      <c r="CM136" s="144">
        <v>100</v>
      </c>
      <c r="CN136" s="144">
        <v>97.1</v>
      </c>
    </row>
    <row r="137" spans="1:92" x14ac:dyDescent="0.3">
      <c r="A137">
        <v>895</v>
      </c>
      <c r="B137" s="1">
        <v>-2.5278058600000002E-3</v>
      </c>
      <c r="C137" s="1">
        <v>2.3472482999999998E-3</v>
      </c>
      <c r="D137" s="1">
        <v>-5.2548892099999996E-3</v>
      </c>
      <c r="E137" s="1">
        <v>-4.3881033600000003E-3</v>
      </c>
      <c r="F137" s="2">
        <v>1081</v>
      </c>
      <c r="G137" s="2">
        <v>2083</v>
      </c>
      <c r="H137" s="2">
        <v>630</v>
      </c>
      <c r="I137" s="2">
        <v>440</v>
      </c>
      <c r="J137" s="2">
        <v>298</v>
      </c>
      <c r="K137" s="2">
        <v>0</v>
      </c>
      <c r="L137" s="4">
        <v>422</v>
      </c>
      <c r="M137" s="4">
        <v>585</v>
      </c>
      <c r="N137" s="4">
        <v>0</v>
      </c>
      <c r="O137" s="4">
        <v>0</v>
      </c>
      <c r="Q137" s="4">
        <v>7134</v>
      </c>
      <c r="R137" s="4">
        <v>20076</v>
      </c>
      <c r="S137" s="4">
        <v>1366</v>
      </c>
      <c r="T137" s="4">
        <v>210</v>
      </c>
      <c r="V137" s="4">
        <f t="shared" si="40"/>
        <v>1</v>
      </c>
      <c r="W137" s="4">
        <f t="shared" si="41"/>
        <v>1</v>
      </c>
      <c r="X137" s="4">
        <v>0</v>
      </c>
      <c r="Y137" s="4">
        <v>0</v>
      </c>
      <c r="Z137" s="4">
        <v>0</v>
      </c>
      <c r="AA137" s="4">
        <v>0</v>
      </c>
      <c r="AC137" s="4">
        <v>6717</v>
      </c>
      <c r="AD137" s="4">
        <v>14354</v>
      </c>
      <c r="AE137" s="4">
        <v>1552</v>
      </c>
      <c r="AF137" s="4">
        <v>780</v>
      </c>
      <c r="AH137" s="4" t="str">
        <f t="shared" si="42"/>
        <v>N/A</v>
      </c>
      <c r="AI137" s="4" t="str">
        <f t="shared" si="43"/>
        <v>N/A</v>
      </c>
      <c r="AJ137" s="4">
        <v>203</v>
      </c>
      <c r="AK137" s="4">
        <v>577</v>
      </c>
      <c r="AL137" s="4">
        <v>227</v>
      </c>
      <c r="AM137" s="4">
        <v>0</v>
      </c>
      <c r="AN137" s="4">
        <f t="shared" si="44"/>
        <v>0.20158887785501489</v>
      </c>
      <c r="AO137" s="4">
        <f t="shared" si="45"/>
        <v>61</v>
      </c>
      <c r="AP137" s="4">
        <v>4346</v>
      </c>
      <c r="AQ137" s="4">
        <v>20075</v>
      </c>
      <c r="AR137" s="4">
        <v>4233</v>
      </c>
      <c r="AS137" s="4">
        <v>132</v>
      </c>
      <c r="AT137" s="4">
        <v>0</v>
      </c>
      <c r="AU137" s="4">
        <v>0</v>
      </c>
      <c r="AV137" s="4">
        <v>0</v>
      </c>
      <c r="AW137" s="4">
        <v>0</v>
      </c>
      <c r="AX137" s="4" t="str">
        <f t="shared" si="46"/>
        <v>N/A</v>
      </c>
      <c r="AY137" s="4" t="str">
        <f t="shared" si="47"/>
        <v>N/A</v>
      </c>
      <c r="AZ137" s="4">
        <v>8078</v>
      </c>
      <c r="BA137" s="4">
        <v>11427</v>
      </c>
      <c r="BB137" s="4">
        <v>3898</v>
      </c>
      <c r="BC137" s="4">
        <v>0</v>
      </c>
      <c r="BD137" s="5">
        <v>9713.3421400000007</v>
      </c>
      <c r="BE137" s="5">
        <v>2971.4285709999999</v>
      </c>
      <c r="BF137" s="5">
        <v>5480</v>
      </c>
      <c r="BG137" s="5">
        <f t="shared" si="48"/>
        <v>80</v>
      </c>
      <c r="BK137" s="5" t="str">
        <f t="shared" si="49"/>
        <v>N/A</v>
      </c>
      <c r="BL137" s="5">
        <v>8617.4051345000007</v>
      </c>
      <c r="BM137" s="5">
        <v>4099.529587</v>
      </c>
      <c r="BN137" s="5">
        <v>15078.690265000001</v>
      </c>
      <c r="BO137" s="5">
        <v>12514.853813500002</v>
      </c>
      <c r="BP137" s="5">
        <v>2316.6666660000001</v>
      </c>
      <c r="BQ137" s="5">
        <v>0</v>
      </c>
      <c r="BR137" s="5">
        <v>8841.4634729999998</v>
      </c>
      <c r="BS137" s="5">
        <v>4134.5523805000003</v>
      </c>
      <c r="BT137" s="5">
        <v>8932.2095234999997</v>
      </c>
      <c r="BU137" s="5">
        <v>12154.166666500001</v>
      </c>
      <c r="BV137" s="5">
        <v>0</v>
      </c>
      <c r="BW137" s="5">
        <v>22877.14</v>
      </c>
      <c r="BX137" s="5">
        <v>9</v>
      </c>
      <c r="BY137" s="5">
        <v>2</v>
      </c>
      <c r="BZ137" s="5">
        <v>2</v>
      </c>
      <c r="CD137" s="143">
        <v>0.11936104695919947</v>
      </c>
      <c r="CE137" s="143">
        <v>4.3107980233414445E-3</v>
      </c>
      <c r="CF137" s="143">
        <v>37694681.350000001</v>
      </c>
      <c r="CG137" s="144">
        <v>90.7</v>
      </c>
      <c r="CH137" s="144">
        <v>5.4</v>
      </c>
      <c r="CI137" s="144">
        <v>1.2</v>
      </c>
      <c r="CJ137" s="144">
        <v>95</v>
      </c>
      <c r="CK137" s="144">
        <v>2.6</v>
      </c>
      <c r="CL137" s="144">
        <v>0.5</v>
      </c>
      <c r="CM137" s="144">
        <v>97.3</v>
      </c>
      <c r="CN137" s="144">
        <v>98</v>
      </c>
    </row>
    <row r="138" spans="1:92" x14ac:dyDescent="0.3">
      <c r="A138">
        <v>896</v>
      </c>
      <c r="B138" s="1">
        <v>-8.7982247800000007E-3</v>
      </c>
      <c r="C138" s="1">
        <v>1.592245104E-2</v>
      </c>
      <c r="D138" s="1">
        <v>-8.9680735999999998E-4</v>
      </c>
      <c r="E138" s="1">
        <v>1.5783809629999999E-2</v>
      </c>
      <c r="F138" s="2">
        <v>1889</v>
      </c>
      <c r="G138" s="2">
        <v>401</v>
      </c>
      <c r="H138" s="2">
        <v>440</v>
      </c>
      <c r="I138" s="2">
        <v>260</v>
      </c>
      <c r="J138" s="2">
        <v>3059</v>
      </c>
      <c r="K138" s="2">
        <v>510</v>
      </c>
      <c r="L138" s="4">
        <v>77</v>
      </c>
      <c r="M138" s="4">
        <v>179</v>
      </c>
      <c r="N138" s="4">
        <v>0</v>
      </c>
      <c r="O138" s="4">
        <v>0</v>
      </c>
      <c r="Q138" s="4">
        <v>6526</v>
      </c>
      <c r="R138" s="4">
        <v>18203</v>
      </c>
      <c r="S138" s="4">
        <v>2903</v>
      </c>
      <c r="T138" s="4">
        <v>0</v>
      </c>
      <c r="V138" s="4">
        <f t="shared" si="40"/>
        <v>1</v>
      </c>
      <c r="W138" s="4">
        <f t="shared" si="41"/>
        <v>1</v>
      </c>
      <c r="X138" s="4">
        <v>59</v>
      </c>
      <c r="Y138" s="4">
        <v>0</v>
      </c>
      <c r="Z138" s="4">
        <v>0</v>
      </c>
      <c r="AA138" s="4">
        <v>0</v>
      </c>
      <c r="AC138" s="4">
        <v>4649</v>
      </c>
      <c r="AD138" s="4">
        <v>12884</v>
      </c>
      <c r="AE138" s="4">
        <v>4967</v>
      </c>
      <c r="AF138" s="4">
        <v>840</v>
      </c>
      <c r="AH138" s="4">
        <f t="shared" si="42"/>
        <v>1</v>
      </c>
      <c r="AI138" s="4">
        <f t="shared" si="43"/>
        <v>1</v>
      </c>
      <c r="AJ138" s="4">
        <v>92</v>
      </c>
      <c r="AK138" s="4">
        <v>164</v>
      </c>
      <c r="AL138" s="4">
        <v>0</v>
      </c>
      <c r="AM138" s="4">
        <v>0</v>
      </c>
      <c r="AN138" s="4">
        <f t="shared" si="44"/>
        <v>0.359375</v>
      </c>
      <c r="AO138" s="4">
        <f t="shared" si="45"/>
        <v>39</v>
      </c>
      <c r="AP138" s="4">
        <v>6375</v>
      </c>
      <c r="AQ138" s="4">
        <v>16871</v>
      </c>
      <c r="AR138" s="4">
        <v>4218</v>
      </c>
      <c r="AS138" s="4">
        <v>168</v>
      </c>
      <c r="AT138" s="4">
        <v>59</v>
      </c>
      <c r="AU138" s="4">
        <v>0</v>
      </c>
      <c r="AV138" s="4">
        <v>0</v>
      </c>
      <c r="AW138" s="4">
        <v>0</v>
      </c>
      <c r="AX138" s="4">
        <f t="shared" si="46"/>
        <v>1</v>
      </c>
      <c r="AY138" s="4">
        <f t="shared" si="47"/>
        <v>1</v>
      </c>
      <c r="AZ138" s="4">
        <v>9629</v>
      </c>
      <c r="BA138" s="4">
        <v>9022</v>
      </c>
      <c r="BB138" s="4">
        <v>4689</v>
      </c>
      <c r="BC138" s="4">
        <v>0</v>
      </c>
      <c r="BD138" s="5">
        <v>5254.7385320000003</v>
      </c>
      <c r="BE138" s="5">
        <v>2143.6265060000001</v>
      </c>
      <c r="BG138" s="5">
        <f t="shared" si="48"/>
        <v>14</v>
      </c>
      <c r="BK138" s="5" t="str">
        <f t="shared" si="49"/>
        <v>N/A</v>
      </c>
      <c r="BL138" s="5">
        <v>9043.2815960000007</v>
      </c>
      <c r="BM138" s="5">
        <v>3719.8107634999997</v>
      </c>
      <c r="BN138" s="5">
        <v>12855.095238</v>
      </c>
      <c r="BO138" s="5">
        <v>8453.6888885000008</v>
      </c>
      <c r="BP138" s="5">
        <v>2316.6666660000001</v>
      </c>
      <c r="BQ138" s="5">
        <v>0</v>
      </c>
      <c r="BR138" s="5">
        <v>8841.4634729999998</v>
      </c>
      <c r="BS138" s="5">
        <v>4134.5523805000003</v>
      </c>
      <c r="BT138" s="5">
        <v>8932.2095234999997</v>
      </c>
      <c r="BU138" s="5">
        <v>12154.166666500001</v>
      </c>
      <c r="BV138" s="5">
        <v>0</v>
      </c>
      <c r="BW138" s="5">
        <v>22877.14</v>
      </c>
      <c r="BX138" s="5">
        <v>12</v>
      </c>
      <c r="BY138" s="5">
        <v>3</v>
      </c>
      <c r="CD138" s="143">
        <v>0.12369835404769902</v>
      </c>
      <c r="CE138" s="143">
        <v>-6.2485926593109919E-3</v>
      </c>
      <c r="CF138" s="143">
        <v>52436725.219999999</v>
      </c>
      <c r="CG138" s="144">
        <v>92.4</v>
      </c>
      <c r="CH138" s="144">
        <v>5</v>
      </c>
      <c r="CI138" s="144">
        <v>1.1000000000000001</v>
      </c>
      <c r="CJ138" s="144">
        <v>92.2</v>
      </c>
      <c r="CK138" s="144">
        <v>5.0999999999999996</v>
      </c>
      <c r="CL138" s="144">
        <v>0.9</v>
      </c>
      <c r="CM138" s="144">
        <v>98.6</v>
      </c>
      <c r="CN138" s="144">
        <v>98.2</v>
      </c>
    </row>
    <row r="139" spans="1:92" x14ac:dyDescent="0.3">
      <c r="A139">
        <v>908</v>
      </c>
      <c r="B139" s="1">
        <v>-3.2999153859999998E-2</v>
      </c>
      <c r="C139" s="1">
        <v>4.8716698999999998E-4</v>
      </c>
      <c r="D139" s="1">
        <v>1.4045365779999999E-2</v>
      </c>
      <c r="E139" s="1">
        <v>9.0506234000000008E-3</v>
      </c>
      <c r="F139" s="2">
        <v>2255</v>
      </c>
      <c r="G139" s="2">
        <v>148</v>
      </c>
      <c r="H139" s="2">
        <v>740</v>
      </c>
      <c r="I139" s="2">
        <v>90</v>
      </c>
      <c r="J139" s="2">
        <v>1755</v>
      </c>
      <c r="K139" s="2">
        <v>0</v>
      </c>
      <c r="L139" s="4">
        <v>291</v>
      </c>
      <c r="M139" s="4">
        <v>605</v>
      </c>
      <c r="N139" s="4">
        <v>0</v>
      </c>
      <c r="O139" s="4">
        <v>0</v>
      </c>
      <c r="Q139" s="4">
        <v>7575</v>
      </c>
      <c r="R139" s="4">
        <v>26270</v>
      </c>
      <c r="S139" s="4">
        <v>3742</v>
      </c>
      <c r="T139" s="4">
        <v>554</v>
      </c>
      <c r="V139" s="4">
        <f t="shared" si="40"/>
        <v>1</v>
      </c>
      <c r="W139" s="4">
        <f t="shared" si="41"/>
        <v>1</v>
      </c>
      <c r="X139" s="4">
        <v>28</v>
      </c>
      <c r="Y139" s="4">
        <v>0</v>
      </c>
      <c r="Z139" s="4">
        <v>0</v>
      </c>
      <c r="AA139" s="4">
        <v>0</v>
      </c>
      <c r="AC139" s="4">
        <v>4048</v>
      </c>
      <c r="AD139" s="4">
        <v>22397</v>
      </c>
      <c r="AE139" s="4">
        <v>4962</v>
      </c>
      <c r="AF139" s="4">
        <v>1445</v>
      </c>
      <c r="AH139" s="4">
        <f t="shared" si="42"/>
        <v>1</v>
      </c>
      <c r="AI139" s="4">
        <f t="shared" si="43"/>
        <v>1</v>
      </c>
      <c r="AJ139" s="4">
        <v>106</v>
      </c>
      <c r="AK139" s="4">
        <v>513</v>
      </c>
      <c r="AL139" s="4">
        <v>217</v>
      </c>
      <c r="AM139" s="4">
        <v>60</v>
      </c>
      <c r="AN139" s="4">
        <f t="shared" si="44"/>
        <v>0.12679425837320574</v>
      </c>
      <c r="AO139" s="4">
        <f t="shared" si="45"/>
        <v>76</v>
      </c>
      <c r="AP139" s="4">
        <v>5182</v>
      </c>
      <c r="AQ139" s="4">
        <v>21612</v>
      </c>
      <c r="AR139" s="4">
        <v>8220</v>
      </c>
      <c r="AS139" s="4">
        <v>3127</v>
      </c>
      <c r="AT139" s="4">
        <v>28</v>
      </c>
      <c r="AU139" s="4">
        <v>0</v>
      </c>
      <c r="AV139" s="4">
        <v>0</v>
      </c>
      <c r="AW139" s="4">
        <v>0</v>
      </c>
      <c r="AX139" s="4">
        <f t="shared" si="46"/>
        <v>1</v>
      </c>
      <c r="AY139" s="4">
        <f t="shared" si="47"/>
        <v>1</v>
      </c>
      <c r="AZ139" s="4">
        <v>11106</v>
      </c>
      <c r="BA139" s="4">
        <v>13264</v>
      </c>
      <c r="BB139" s="4">
        <v>8482</v>
      </c>
      <c r="BC139" s="4">
        <v>0</v>
      </c>
      <c r="BD139" s="5">
        <v>10496.960416</v>
      </c>
      <c r="BE139" s="5">
        <v>5511.1111110000002</v>
      </c>
      <c r="BG139" s="5">
        <f t="shared" si="48"/>
        <v>90</v>
      </c>
      <c r="BK139" s="5" t="str">
        <f t="shared" si="49"/>
        <v>N/A</v>
      </c>
      <c r="BL139" s="5">
        <v>7445.6198000000004</v>
      </c>
      <c r="BM139" s="5">
        <v>4031.922505</v>
      </c>
      <c r="BN139" s="5">
        <v>11454.440476</v>
      </c>
      <c r="BO139" s="5">
        <v>5913.5750914999999</v>
      </c>
      <c r="BP139" s="5">
        <v>0</v>
      </c>
      <c r="BQ139" s="5">
        <v>12554.023134499999</v>
      </c>
      <c r="BR139" s="5">
        <v>10694.372525999999</v>
      </c>
      <c r="BS139" s="5">
        <v>4082.926829</v>
      </c>
      <c r="BT139" s="5">
        <v>13657.142857000001</v>
      </c>
      <c r="BU139" s="5">
        <v>7127.1501829999997</v>
      </c>
      <c r="BV139" s="5">
        <v>0</v>
      </c>
      <c r="BW139" s="5">
        <v>5489.5110839999998</v>
      </c>
      <c r="BX139" s="5">
        <v>8</v>
      </c>
      <c r="BY139" s="5">
        <v>3</v>
      </c>
      <c r="CD139" s="143">
        <v>0.15319972356599854</v>
      </c>
      <c r="CE139" s="143">
        <v>-5.9614849833147909E-2</v>
      </c>
      <c r="CF139" s="143">
        <v>46925075.150000006</v>
      </c>
      <c r="CG139" s="144">
        <v>90.7</v>
      </c>
      <c r="CH139" s="144">
        <v>4.5</v>
      </c>
      <c r="CI139" s="144">
        <v>0.8</v>
      </c>
      <c r="CJ139" s="144">
        <v>97.3</v>
      </c>
      <c r="CK139" s="144">
        <v>1.5</v>
      </c>
      <c r="CL139" s="144">
        <v>0.2</v>
      </c>
      <c r="CM139" s="144">
        <v>96.1</v>
      </c>
      <c r="CN139" s="144">
        <v>99</v>
      </c>
    </row>
    <row r="140" spans="1:92" x14ac:dyDescent="0.3">
      <c r="A140">
        <v>909</v>
      </c>
      <c r="B140" s="1">
        <v>-8.5414669800000006E-3</v>
      </c>
      <c r="C140" s="1">
        <v>-8.0058634400000002E-3</v>
      </c>
      <c r="D140" s="1">
        <v>1.7138776479999999E-2</v>
      </c>
      <c r="E140" s="1">
        <v>4.4830595799999996E-3</v>
      </c>
      <c r="F140" s="2">
        <v>2854</v>
      </c>
      <c r="G140" s="2">
        <v>2107</v>
      </c>
      <c r="H140" s="2">
        <v>180</v>
      </c>
      <c r="I140" s="2">
        <v>0</v>
      </c>
      <c r="J140" s="2">
        <v>345</v>
      </c>
      <c r="K140" s="2">
        <v>334</v>
      </c>
      <c r="L140" s="4">
        <v>105</v>
      </c>
      <c r="M140" s="4">
        <v>744</v>
      </c>
      <c r="N140" s="4">
        <v>86</v>
      </c>
      <c r="O140" s="4">
        <v>203</v>
      </c>
      <c r="Q140" s="4">
        <v>5191</v>
      </c>
      <c r="R140" s="4">
        <v>29410</v>
      </c>
      <c r="S140" s="4">
        <v>4670</v>
      </c>
      <c r="T140" s="4">
        <v>448</v>
      </c>
      <c r="V140" s="4">
        <f t="shared" si="40"/>
        <v>0.74604569420035149</v>
      </c>
      <c r="W140" s="4">
        <f t="shared" si="41"/>
        <v>109</v>
      </c>
      <c r="X140" s="4">
        <v>111</v>
      </c>
      <c r="Y140" s="4">
        <v>280</v>
      </c>
      <c r="Z140" s="4">
        <v>94</v>
      </c>
      <c r="AA140" s="4">
        <v>0</v>
      </c>
      <c r="AC140" s="4">
        <v>6239</v>
      </c>
      <c r="AD140" s="4">
        <v>17084</v>
      </c>
      <c r="AE140" s="4">
        <v>8877</v>
      </c>
      <c r="AF140" s="4">
        <v>1500</v>
      </c>
      <c r="AH140" s="4">
        <f t="shared" si="42"/>
        <v>0.8061855670103093</v>
      </c>
      <c r="AI140" s="4">
        <f t="shared" si="43"/>
        <v>73</v>
      </c>
      <c r="AJ140" s="4">
        <v>121</v>
      </c>
      <c r="AK140" s="4">
        <v>694</v>
      </c>
      <c r="AL140" s="4">
        <v>182</v>
      </c>
      <c r="AM140" s="4">
        <v>141</v>
      </c>
      <c r="AN140" s="4">
        <f t="shared" si="44"/>
        <v>0.1213640922768305</v>
      </c>
      <c r="AO140" s="4">
        <f t="shared" si="45"/>
        <v>78</v>
      </c>
      <c r="AP140" s="4">
        <v>3612</v>
      </c>
      <c r="AQ140" s="4">
        <v>23262</v>
      </c>
      <c r="AR140" s="4">
        <v>7626</v>
      </c>
      <c r="AS140" s="4">
        <v>5219</v>
      </c>
      <c r="AT140" s="4">
        <v>0</v>
      </c>
      <c r="AU140" s="4">
        <v>428</v>
      </c>
      <c r="AV140" s="4">
        <v>57</v>
      </c>
      <c r="AW140" s="4">
        <v>0</v>
      </c>
      <c r="AX140" s="4">
        <f t="shared" si="46"/>
        <v>0</v>
      </c>
      <c r="AY140" s="4">
        <f t="shared" si="47"/>
        <v>73</v>
      </c>
      <c r="AZ140" s="4">
        <v>1950</v>
      </c>
      <c r="BA140" s="4">
        <v>22215</v>
      </c>
      <c r="BB140" s="4">
        <v>9535</v>
      </c>
      <c r="BC140" s="4">
        <v>0</v>
      </c>
      <c r="BD140" s="5">
        <v>5943.1474369999996</v>
      </c>
      <c r="BE140" s="5">
        <v>5720</v>
      </c>
      <c r="BF140" s="5">
        <v>1716.4285709999999</v>
      </c>
      <c r="BG140" s="5">
        <f t="shared" si="48"/>
        <v>24</v>
      </c>
      <c r="BK140" s="5" t="str">
        <f t="shared" si="49"/>
        <v>N/A</v>
      </c>
      <c r="BL140" s="5">
        <v>9400.5625010000003</v>
      </c>
      <c r="BM140" s="5">
        <v>5376.3737369999999</v>
      </c>
      <c r="BN140" s="5">
        <v>18967.509097000002</v>
      </c>
      <c r="BO140" s="5">
        <v>7222.2222220000003</v>
      </c>
      <c r="BP140" s="5">
        <v>3500</v>
      </c>
      <c r="BQ140" s="5">
        <v>19618.535185000001</v>
      </c>
      <c r="BR140" s="5">
        <v>8841.4634729999998</v>
      </c>
      <c r="BS140" s="5">
        <v>4134.5523805000003</v>
      </c>
      <c r="BT140" s="5">
        <v>8932.2095234999997</v>
      </c>
      <c r="BU140" s="5">
        <v>12154.166666500001</v>
      </c>
      <c r="BV140" s="5">
        <v>0</v>
      </c>
      <c r="BW140" s="5">
        <v>22877.14</v>
      </c>
      <c r="BX140" s="5">
        <v>21</v>
      </c>
      <c r="BY140" s="5">
        <v>2</v>
      </c>
      <c r="BZ140" s="5">
        <v>1</v>
      </c>
      <c r="CD140" s="143">
        <v>2.3475813238153176E-2</v>
      </c>
      <c r="CE140" s="143">
        <v>3.324054363844775E-2</v>
      </c>
      <c r="CF140" s="143">
        <v>20374236.330000002</v>
      </c>
      <c r="CG140" s="144">
        <v>94.7</v>
      </c>
      <c r="CH140" s="144">
        <v>3.3</v>
      </c>
      <c r="CI140" s="144">
        <v>0.7</v>
      </c>
      <c r="CJ140" s="144">
        <v>93.1</v>
      </c>
      <c r="CK140" s="144">
        <v>4.3</v>
      </c>
      <c r="CL140" s="144">
        <v>0.7</v>
      </c>
      <c r="CM140" s="144">
        <v>98.6</v>
      </c>
      <c r="CN140" s="144">
        <v>98.1</v>
      </c>
    </row>
    <row r="141" spans="1:92" x14ac:dyDescent="0.3">
      <c r="A141">
        <v>916</v>
      </c>
      <c r="B141" s="1">
        <v>-6.0449438199999999E-3</v>
      </c>
      <c r="C141" s="1">
        <v>-9.3033707800000004E-3</v>
      </c>
      <c r="D141" s="1">
        <v>2.2313787630000002E-2</v>
      </c>
      <c r="E141" s="1">
        <v>4.1838351799999996E-3</v>
      </c>
      <c r="F141" s="2">
        <v>2537</v>
      </c>
      <c r="G141" s="2">
        <v>0</v>
      </c>
      <c r="H141" s="2">
        <v>630</v>
      </c>
      <c r="I141" s="2">
        <v>170</v>
      </c>
      <c r="J141" s="2">
        <v>1128</v>
      </c>
      <c r="K141" s="2">
        <v>0</v>
      </c>
      <c r="L141" s="4">
        <v>105</v>
      </c>
      <c r="M141" s="4">
        <v>180</v>
      </c>
      <c r="N141" s="4">
        <v>50</v>
      </c>
      <c r="O141" s="4">
        <v>0</v>
      </c>
      <c r="Q141" s="4">
        <v>9878</v>
      </c>
      <c r="R141" s="4">
        <v>34930</v>
      </c>
      <c r="S141" s="4">
        <v>2822</v>
      </c>
      <c r="T141" s="4">
        <v>655</v>
      </c>
      <c r="V141" s="4">
        <f t="shared" si="40"/>
        <v>0.85074626865671643</v>
      </c>
      <c r="W141" s="4">
        <f t="shared" si="41"/>
        <v>81</v>
      </c>
      <c r="X141" s="4">
        <v>210</v>
      </c>
      <c r="Y141" s="4">
        <v>52</v>
      </c>
      <c r="Z141" s="4">
        <v>0</v>
      </c>
      <c r="AA141" s="4">
        <v>0</v>
      </c>
      <c r="AC141" s="4">
        <v>8146</v>
      </c>
      <c r="AD141" s="4">
        <v>23651</v>
      </c>
      <c r="AE141" s="4">
        <v>5595</v>
      </c>
      <c r="AF141" s="4">
        <v>1700</v>
      </c>
      <c r="AH141" s="4">
        <f t="shared" si="42"/>
        <v>1</v>
      </c>
      <c r="AI141" s="4">
        <f t="shared" si="43"/>
        <v>1</v>
      </c>
      <c r="AJ141" s="4">
        <v>15</v>
      </c>
      <c r="AK141" s="4">
        <v>275</v>
      </c>
      <c r="AL141" s="4">
        <v>30</v>
      </c>
      <c r="AM141" s="4">
        <v>15</v>
      </c>
      <c r="AN141" s="4">
        <f t="shared" si="44"/>
        <v>4.6875E-2</v>
      </c>
      <c r="AO141" s="4">
        <f t="shared" si="45"/>
        <v>94</v>
      </c>
      <c r="AP141" s="4">
        <v>8805</v>
      </c>
      <c r="AQ141" s="4">
        <v>26689</v>
      </c>
      <c r="AR141" s="4">
        <v>7466</v>
      </c>
      <c r="AS141" s="4">
        <v>5325</v>
      </c>
      <c r="AT141" s="4">
        <v>185</v>
      </c>
      <c r="AU141" s="4">
        <v>25</v>
      </c>
      <c r="AV141" s="4">
        <v>52</v>
      </c>
      <c r="AW141" s="4">
        <v>0</v>
      </c>
      <c r="AX141" s="4">
        <f t="shared" si="46"/>
        <v>0.70610687022900764</v>
      </c>
      <c r="AY141" s="4">
        <f t="shared" si="47"/>
        <v>41</v>
      </c>
      <c r="AZ141" s="4">
        <v>17879</v>
      </c>
      <c r="BA141" s="4">
        <v>11866</v>
      </c>
      <c r="BB141" s="4">
        <v>9347</v>
      </c>
      <c r="BC141" s="4">
        <v>0</v>
      </c>
      <c r="BD141" s="5">
        <v>8957.8714280000004</v>
      </c>
      <c r="BE141" s="5">
        <v>6496.7818180000004</v>
      </c>
      <c r="BF141" s="5">
        <v>12140.300936</v>
      </c>
      <c r="BG141" s="5">
        <f t="shared" si="48"/>
        <v>69</v>
      </c>
      <c r="BH141" s="5">
        <v>7692.3149169999997</v>
      </c>
      <c r="BK141" s="5">
        <f t="shared" si="49"/>
        <v>15</v>
      </c>
      <c r="BL141" s="5">
        <v>11008.657415000001</v>
      </c>
      <c r="BM141" s="5">
        <v>3839.9666659999998</v>
      </c>
      <c r="BN141" s="5">
        <v>17845.238095000001</v>
      </c>
      <c r="BO141" s="5">
        <v>14159.9</v>
      </c>
      <c r="BP141" s="5">
        <v>0</v>
      </c>
      <c r="BQ141" s="5">
        <v>15099.422208499998</v>
      </c>
      <c r="BR141" s="5">
        <v>10694.372525999999</v>
      </c>
      <c r="BS141" s="5">
        <v>4082.926829</v>
      </c>
      <c r="BT141" s="5">
        <v>13657.142857000001</v>
      </c>
      <c r="BU141" s="5">
        <v>7127.1501829999997</v>
      </c>
      <c r="BV141" s="5">
        <v>0</v>
      </c>
      <c r="BW141" s="5">
        <v>5489.5110839999998</v>
      </c>
      <c r="BX141" s="5">
        <v>24</v>
      </c>
      <c r="BY141" s="5">
        <v>4</v>
      </c>
      <c r="BZ141" s="5">
        <v>3</v>
      </c>
      <c r="CA141" s="5">
        <v>2</v>
      </c>
      <c r="CD141" s="143">
        <v>0.12629832660126938</v>
      </c>
      <c r="CE141" s="143">
        <v>0.17630573248407644</v>
      </c>
      <c r="CF141" s="143">
        <v>72576217.320000008</v>
      </c>
      <c r="CG141" s="144">
        <v>88.8</v>
      </c>
      <c r="CH141" s="144">
        <v>5.7</v>
      </c>
      <c r="CI141" s="144">
        <v>1.6</v>
      </c>
      <c r="CJ141" s="144">
        <v>87</v>
      </c>
      <c r="CK141" s="144">
        <v>7.9</v>
      </c>
      <c r="CL141" s="144">
        <v>1.7</v>
      </c>
      <c r="CM141" s="144">
        <v>96.1</v>
      </c>
      <c r="CN141" s="144">
        <v>96.6</v>
      </c>
    </row>
    <row r="142" spans="1:92" x14ac:dyDescent="0.3">
      <c r="A142">
        <v>919</v>
      </c>
      <c r="B142" s="1">
        <v>6.1291000799999999E-3</v>
      </c>
      <c r="C142" s="1">
        <v>1.043944491E-2</v>
      </c>
      <c r="D142" s="1">
        <v>1.364528538E-2</v>
      </c>
      <c r="E142" s="1">
        <v>1.2561827000000001E-4</v>
      </c>
      <c r="F142" s="2">
        <v>12928</v>
      </c>
      <c r="G142" s="2">
        <v>2984</v>
      </c>
      <c r="H142" s="2">
        <v>2310</v>
      </c>
      <c r="I142" s="2">
        <v>750</v>
      </c>
      <c r="J142" s="2">
        <v>2579</v>
      </c>
      <c r="K142" s="2">
        <v>1210</v>
      </c>
      <c r="L142" s="4">
        <v>287</v>
      </c>
      <c r="M142" s="4">
        <v>2117</v>
      </c>
      <c r="N142" s="4">
        <v>462</v>
      </c>
      <c r="O142" s="4">
        <v>0</v>
      </c>
      <c r="P142" s="4">
        <v>0</v>
      </c>
      <c r="Q142" s="4">
        <v>20560</v>
      </c>
      <c r="R142" s="4">
        <v>63743</v>
      </c>
      <c r="S142" s="4">
        <v>15603</v>
      </c>
      <c r="T142" s="4">
        <v>182</v>
      </c>
      <c r="U142" s="4">
        <v>630</v>
      </c>
      <c r="V142" s="4">
        <f t="shared" si="40"/>
        <v>0.83879972086531751</v>
      </c>
      <c r="W142" s="4">
        <f t="shared" si="41"/>
        <v>84</v>
      </c>
      <c r="X142" s="4">
        <v>84</v>
      </c>
      <c r="Y142" s="4">
        <v>373</v>
      </c>
      <c r="Z142" s="4">
        <v>369</v>
      </c>
      <c r="AA142" s="4">
        <v>0</v>
      </c>
      <c r="AB142" s="4">
        <v>0</v>
      </c>
      <c r="AC142" s="4">
        <v>23562</v>
      </c>
      <c r="AD142" s="4">
        <v>47170</v>
      </c>
      <c r="AE142" s="4">
        <v>16632</v>
      </c>
      <c r="AF142" s="4">
        <v>965</v>
      </c>
      <c r="AG142" s="4">
        <v>0</v>
      </c>
      <c r="AH142" s="4">
        <f t="shared" si="42"/>
        <v>0.55326876513317191</v>
      </c>
      <c r="AI142" s="4">
        <f t="shared" si="43"/>
        <v>81</v>
      </c>
      <c r="AJ142" s="4">
        <v>220</v>
      </c>
      <c r="AK142" s="4">
        <v>1882</v>
      </c>
      <c r="AL142" s="4">
        <v>390</v>
      </c>
      <c r="AM142" s="4">
        <v>374</v>
      </c>
      <c r="AN142" s="4">
        <f t="shared" si="44"/>
        <v>8.8282504012841087E-2</v>
      </c>
      <c r="AO142" s="4">
        <f t="shared" si="45"/>
        <v>86</v>
      </c>
      <c r="AP142" s="4">
        <v>14059</v>
      </c>
      <c r="AQ142" s="4">
        <v>52636</v>
      </c>
      <c r="AR142" s="4">
        <v>22740</v>
      </c>
      <c r="AS142" s="4">
        <v>11283</v>
      </c>
      <c r="AT142" s="4">
        <v>118</v>
      </c>
      <c r="AU142" s="4">
        <v>432</v>
      </c>
      <c r="AV142" s="4">
        <v>276</v>
      </c>
      <c r="AW142" s="4">
        <v>0</v>
      </c>
      <c r="AX142" s="4">
        <f t="shared" si="46"/>
        <v>0.14285714285714285</v>
      </c>
      <c r="AY142" s="4">
        <f t="shared" si="47"/>
        <v>67</v>
      </c>
      <c r="AZ142" s="4">
        <v>34344</v>
      </c>
      <c r="BA142" s="4">
        <v>37921</v>
      </c>
      <c r="BB142" s="4">
        <v>15226</v>
      </c>
      <c r="BC142" s="4">
        <v>838</v>
      </c>
      <c r="BD142" s="5">
        <v>12321.454635</v>
      </c>
      <c r="BE142" s="5">
        <v>5376.4754750000002</v>
      </c>
      <c r="BF142" s="5">
        <v>24227.992113</v>
      </c>
      <c r="BG142" s="5">
        <f t="shared" si="48"/>
        <v>113</v>
      </c>
      <c r="BH142" s="5">
        <v>16498.609211999999</v>
      </c>
      <c r="BK142" s="5">
        <f t="shared" si="49"/>
        <v>36</v>
      </c>
      <c r="BL142" s="5">
        <v>11841.946274</v>
      </c>
      <c r="BM142" s="5">
        <v>3928.5714280000002</v>
      </c>
      <c r="BN142" s="5">
        <v>20036.388333000003</v>
      </c>
      <c r="BO142" s="5">
        <v>13714.285714</v>
      </c>
      <c r="BP142" s="5">
        <v>0</v>
      </c>
      <c r="BQ142" s="5">
        <v>22090.620772499999</v>
      </c>
      <c r="BR142" s="5">
        <v>9481.0829859999994</v>
      </c>
      <c r="BS142" s="5">
        <v>4148.7924235</v>
      </c>
      <c r="BT142" s="5">
        <v>18129.543333000001</v>
      </c>
      <c r="BU142" s="5">
        <v>11440.979142</v>
      </c>
      <c r="BV142" s="5">
        <v>0</v>
      </c>
      <c r="BW142" s="5">
        <v>23157.895</v>
      </c>
      <c r="BX142" s="5">
        <v>55</v>
      </c>
      <c r="BY142" s="5">
        <v>74</v>
      </c>
      <c r="BZ142" s="5">
        <v>5</v>
      </c>
      <c r="CA142" s="5">
        <v>5</v>
      </c>
      <c r="CD142" s="143">
        <v>0.20232831608654744</v>
      </c>
      <c r="CE142" s="143">
        <v>7.103894658163834E-2</v>
      </c>
      <c r="CF142" s="143">
        <v>236189991.71000001</v>
      </c>
      <c r="CG142" s="144">
        <v>81.900000000000006</v>
      </c>
      <c r="CH142" s="144">
        <v>7.7</v>
      </c>
      <c r="CI142" s="144">
        <v>3.4</v>
      </c>
      <c r="CJ142" s="144">
        <v>77.8</v>
      </c>
      <c r="CK142" s="144">
        <v>11</v>
      </c>
      <c r="CL142" s="144">
        <v>4.0999999999999996</v>
      </c>
      <c r="CM142" s="144">
        <v>93</v>
      </c>
      <c r="CN142" s="144">
        <v>92.9</v>
      </c>
    </row>
    <row r="143" spans="1:92" x14ac:dyDescent="0.3">
      <c r="A143">
        <v>921</v>
      </c>
      <c r="B143" s="1">
        <v>4.4901982199999999E-3</v>
      </c>
      <c r="C143" s="1">
        <v>1.24849414E-2</v>
      </c>
      <c r="D143" s="1">
        <v>3.4593209479999998E-2</v>
      </c>
      <c r="E143" s="1">
        <v>1.6175528500000001E-2</v>
      </c>
      <c r="F143" s="2">
        <v>179</v>
      </c>
      <c r="G143" s="2">
        <v>0</v>
      </c>
      <c r="H143" s="2">
        <v>550</v>
      </c>
      <c r="I143" s="2">
        <v>0</v>
      </c>
      <c r="J143" s="2">
        <v>65</v>
      </c>
      <c r="K143" s="2">
        <v>0</v>
      </c>
      <c r="L143" s="4">
        <v>0</v>
      </c>
      <c r="M143" s="4">
        <v>0</v>
      </c>
      <c r="N143" s="4">
        <v>0</v>
      </c>
      <c r="O143" s="4">
        <v>0</v>
      </c>
      <c r="Q143" s="4">
        <v>210</v>
      </c>
      <c r="R143" s="4">
        <v>6933</v>
      </c>
      <c r="S143" s="4">
        <v>3116</v>
      </c>
      <c r="T143" s="4">
        <v>736</v>
      </c>
      <c r="V143" s="4" t="str">
        <f t="shared" si="40"/>
        <v>N/A</v>
      </c>
      <c r="W143" s="4" t="str">
        <f t="shared" si="41"/>
        <v>N/A</v>
      </c>
      <c r="X143" s="4">
        <v>0</v>
      </c>
      <c r="Y143" s="4">
        <v>0</v>
      </c>
      <c r="Z143" s="4">
        <v>0</v>
      </c>
      <c r="AA143" s="4">
        <v>0</v>
      </c>
      <c r="AC143" s="4">
        <v>0</v>
      </c>
      <c r="AD143" s="4">
        <v>1437</v>
      </c>
      <c r="AE143" s="4">
        <v>7067</v>
      </c>
      <c r="AF143" s="4">
        <v>0</v>
      </c>
      <c r="AH143" s="4" t="str">
        <f t="shared" si="42"/>
        <v>N/A</v>
      </c>
      <c r="AI143" s="4" t="str">
        <f t="shared" si="43"/>
        <v>N/A</v>
      </c>
      <c r="AK143" s="4">
        <v>0</v>
      </c>
      <c r="AL143" s="4">
        <v>0</v>
      </c>
      <c r="AM143" s="4">
        <v>0</v>
      </c>
      <c r="AN143" s="4" t="str">
        <f t="shared" si="44"/>
        <v>N/A</v>
      </c>
      <c r="AO143" s="4" t="str">
        <f t="shared" si="45"/>
        <v>N/A</v>
      </c>
      <c r="AQ143" s="4">
        <v>4193</v>
      </c>
      <c r="AR143" s="4">
        <v>6802</v>
      </c>
      <c r="AS143" s="4">
        <v>0</v>
      </c>
      <c r="AT143" s="4">
        <v>0</v>
      </c>
      <c r="AV143" s="4">
        <v>0</v>
      </c>
      <c r="AW143" s="4">
        <v>0</v>
      </c>
      <c r="AX143" s="4" t="str">
        <f t="shared" si="46"/>
        <v>N/A</v>
      </c>
      <c r="AY143" s="4" t="str">
        <f t="shared" si="47"/>
        <v>N/A</v>
      </c>
      <c r="AZ143" s="4">
        <v>1437</v>
      </c>
      <c r="BB143" s="4">
        <v>7067</v>
      </c>
      <c r="BC143" s="4">
        <v>0</v>
      </c>
      <c r="BD143" s="5">
        <v>3316.4179100000001</v>
      </c>
      <c r="BE143" s="5">
        <v>5500</v>
      </c>
      <c r="BF143" s="5">
        <v>16904.766666</v>
      </c>
      <c r="BG143" s="5">
        <f t="shared" si="48"/>
        <v>4</v>
      </c>
      <c r="BK143" s="5" t="str">
        <f t="shared" si="49"/>
        <v>N/A</v>
      </c>
      <c r="BL143" s="5">
        <v>8789.8810494999998</v>
      </c>
      <c r="BM143" s="5">
        <v>4783.1710155000001</v>
      </c>
      <c r="BN143" s="5">
        <v>18106.351527999999</v>
      </c>
      <c r="BO143" s="5">
        <v>7107.9605000000001</v>
      </c>
      <c r="BP143" s="5">
        <v>0</v>
      </c>
      <c r="BQ143" s="5">
        <v>19618.535185000001</v>
      </c>
      <c r="BR143" s="5">
        <v>10571.237112999999</v>
      </c>
      <c r="BS143" s="5">
        <v>4525.6289299999999</v>
      </c>
      <c r="BT143" s="5">
        <v>17545.036591</v>
      </c>
      <c r="BU143" s="5">
        <v>15133.233333</v>
      </c>
      <c r="BV143" s="5">
        <v>23429.45</v>
      </c>
      <c r="BW143" s="5">
        <v>19471.908211999998</v>
      </c>
      <c r="BX143" s="5">
        <v>5</v>
      </c>
      <c r="BY143" s="5">
        <v>1</v>
      </c>
      <c r="BZ143" s="5">
        <v>1</v>
      </c>
      <c r="CD143" s="143">
        <v>-4.1480322003577763E-2</v>
      </c>
      <c r="CE143" s="143">
        <v>-0.18571236739626695</v>
      </c>
      <c r="CF143" s="143">
        <v>13425011.620000001</v>
      </c>
      <c r="CG143" s="144">
        <v>97.1</v>
      </c>
      <c r="CH143" s="144">
        <v>2.1</v>
      </c>
      <c r="CI143" s="144">
        <v>0.1</v>
      </c>
      <c r="CJ143" s="144">
        <v>90.6</v>
      </c>
      <c r="CK143" s="144">
        <v>7.1</v>
      </c>
      <c r="CL143" s="144">
        <v>0.7</v>
      </c>
      <c r="CM143" s="144">
        <v>99.3</v>
      </c>
      <c r="CN143" s="144">
        <v>98.4</v>
      </c>
    </row>
    <row r="144" spans="1:92" x14ac:dyDescent="0.3">
      <c r="A144">
        <v>925</v>
      </c>
      <c r="B144" s="1">
        <v>1.6825384870000001E-2</v>
      </c>
      <c r="C144" s="1">
        <v>-1.010652313E-2</v>
      </c>
      <c r="D144" s="1">
        <v>2.5444424019999998E-2</v>
      </c>
      <c r="E144" s="1">
        <v>4.5164508999999999E-3</v>
      </c>
      <c r="F144" s="2">
        <v>3760</v>
      </c>
      <c r="G144" s="2">
        <v>2103</v>
      </c>
      <c r="H144" s="2">
        <v>710</v>
      </c>
      <c r="I144" s="2">
        <v>570</v>
      </c>
      <c r="J144" s="2">
        <v>2938</v>
      </c>
      <c r="K144" s="2">
        <v>0</v>
      </c>
      <c r="L144" s="4">
        <v>150</v>
      </c>
      <c r="M144" s="4">
        <v>436</v>
      </c>
      <c r="N144" s="4">
        <v>99</v>
      </c>
      <c r="O144" s="4">
        <v>0</v>
      </c>
      <c r="Q144" s="4">
        <v>9649</v>
      </c>
      <c r="R144" s="4">
        <v>38939</v>
      </c>
      <c r="S144" s="4">
        <v>8331</v>
      </c>
      <c r="T144" s="4">
        <v>250</v>
      </c>
      <c r="V144" s="4">
        <f t="shared" si="40"/>
        <v>0.85547445255474452</v>
      </c>
      <c r="W144" s="4">
        <f t="shared" si="41"/>
        <v>80</v>
      </c>
      <c r="X144" s="4">
        <v>66</v>
      </c>
      <c r="Y144" s="4">
        <v>490</v>
      </c>
      <c r="Z144" s="4">
        <v>199</v>
      </c>
      <c r="AA144" s="4">
        <v>36</v>
      </c>
      <c r="AC144" s="4">
        <v>14624</v>
      </c>
      <c r="AD144" s="4">
        <v>22948</v>
      </c>
      <c r="AE144" s="4">
        <v>10719</v>
      </c>
      <c r="AF144" s="4">
        <v>2597</v>
      </c>
      <c r="AH144" s="4">
        <f t="shared" si="42"/>
        <v>0.70290771175726929</v>
      </c>
      <c r="AI144" s="4">
        <f t="shared" si="43"/>
        <v>76</v>
      </c>
      <c r="AJ144" s="4">
        <v>184</v>
      </c>
      <c r="AK144" s="4">
        <v>331</v>
      </c>
      <c r="AL144" s="4">
        <v>90</v>
      </c>
      <c r="AM144" s="4">
        <v>80</v>
      </c>
      <c r="AN144" s="4">
        <f t="shared" si="44"/>
        <v>0.30413223140495865</v>
      </c>
      <c r="AO144" s="4">
        <f t="shared" si="45"/>
        <v>49</v>
      </c>
      <c r="AP144" s="4">
        <v>8342</v>
      </c>
      <c r="AQ144" s="4">
        <v>30229</v>
      </c>
      <c r="AR144" s="4">
        <v>14483</v>
      </c>
      <c r="AS144" s="4">
        <v>4115</v>
      </c>
      <c r="AT144" s="4">
        <v>47</v>
      </c>
      <c r="AU144" s="4">
        <v>168</v>
      </c>
      <c r="AV144" s="4">
        <v>576</v>
      </c>
      <c r="AW144" s="4">
        <v>0</v>
      </c>
      <c r="AX144" s="4">
        <f t="shared" si="46"/>
        <v>5.9418457648546141E-2</v>
      </c>
      <c r="AY144" s="4">
        <f t="shared" si="47"/>
        <v>72</v>
      </c>
      <c r="AZ144" s="4">
        <v>20053</v>
      </c>
      <c r="BA144" s="4">
        <v>12314</v>
      </c>
      <c r="BB144" s="4">
        <v>18521</v>
      </c>
      <c r="BC144" s="4">
        <v>0</v>
      </c>
      <c r="BD144" s="5">
        <v>7581.9538860000002</v>
      </c>
      <c r="BE144" s="5">
        <v>2734.6626860000001</v>
      </c>
      <c r="BF144" s="5">
        <v>15090.672726999999</v>
      </c>
      <c r="BG144" s="5">
        <f t="shared" si="48"/>
        <v>53</v>
      </c>
      <c r="BH144" s="5">
        <v>12922.857142000001</v>
      </c>
      <c r="BK144" s="5">
        <f t="shared" si="49"/>
        <v>29</v>
      </c>
      <c r="BL144" s="5">
        <v>8543.4523974999993</v>
      </c>
      <c r="BM144" s="5">
        <v>5511.1111110000002</v>
      </c>
      <c r="BN144" s="5">
        <v>18695.727210500001</v>
      </c>
      <c r="BO144" s="5">
        <v>4330.1827219999996</v>
      </c>
      <c r="BP144" s="5">
        <v>3500</v>
      </c>
      <c r="BQ144" s="5">
        <v>19618.535185000001</v>
      </c>
      <c r="BR144" s="5">
        <v>7581.9538860000002</v>
      </c>
      <c r="BS144" s="5">
        <v>3750</v>
      </c>
      <c r="BT144" s="5">
        <v>21956.25</v>
      </c>
      <c r="BU144" s="5">
        <v>10331.4156195</v>
      </c>
      <c r="BV144" s="5">
        <v>2258.311111</v>
      </c>
      <c r="BW144" s="5">
        <v>0</v>
      </c>
      <c r="BX144" s="5">
        <v>26</v>
      </c>
      <c r="BY144" s="5">
        <v>10</v>
      </c>
      <c r="BZ144" s="5">
        <v>5</v>
      </c>
      <c r="CA144" s="5">
        <v>1</v>
      </c>
      <c r="CD144" s="143">
        <v>0.13882482600975576</v>
      </c>
      <c r="CE144" s="143">
        <v>8.8887030688184598E-2</v>
      </c>
      <c r="CF144" s="143">
        <v>79516645.819999993</v>
      </c>
      <c r="CG144" s="144">
        <v>92.8</v>
      </c>
      <c r="CH144" s="144">
        <v>4.3</v>
      </c>
      <c r="CI144" s="144">
        <v>1.1000000000000001</v>
      </c>
      <c r="CJ144" s="144">
        <v>92.8</v>
      </c>
      <c r="CK144" s="144">
        <v>5.5</v>
      </c>
      <c r="CL144" s="144">
        <v>0.5</v>
      </c>
      <c r="CM144" s="144">
        <v>98.2</v>
      </c>
      <c r="CN144" s="144">
        <v>98.8</v>
      </c>
    </row>
    <row r="145" spans="1:92" x14ac:dyDescent="0.3">
      <c r="A145">
        <v>926</v>
      </c>
      <c r="B145" s="1">
        <v>4.9741017839999999E-2</v>
      </c>
      <c r="C145" s="1">
        <v>1.33848557E-2</v>
      </c>
      <c r="D145" s="1">
        <v>7.0394621300000002E-2</v>
      </c>
      <c r="E145" s="1">
        <v>3.3892777399999997E-2</v>
      </c>
      <c r="F145" s="2">
        <v>3251</v>
      </c>
      <c r="G145" s="2">
        <v>3123</v>
      </c>
      <c r="H145" s="2">
        <v>800</v>
      </c>
      <c r="I145" s="2">
        <v>160</v>
      </c>
      <c r="J145" s="2">
        <v>2574</v>
      </c>
      <c r="K145" s="2">
        <v>152</v>
      </c>
      <c r="L145" s="4">
        <v>149</v>
      </c>
      <c r="M145" s="4">
        <v>624</v>
      </c>
      <c r="N145" s="4">
        <v>192</v>
      </c>
      <c r="O145" s="4">
        <v>0</v>
      </c>
      <c r="Q145" s="4">
        <v>6309</v>
      </c>
      <c r="R145" s="4">
        <v>41273</v>
      </c>
      <c r="S145" s="4">
        <v>12596</v>
      </c>
      <c r="T145" s="4">
        <v>937</v>
      </c>
      <c r="V145" s="4">
        <f t="shared" si="40"/>
        <v>0.80103626943005179</v>
      </c>
      <c r="W145" s="4">
        <f t="shared" si="41"/>
        <v>96</v>
      </c>
      <c r="X145" s="4">
        <v>68</v>
      </c>
      <c r="Y145" s="4">
        <v>264</v>
      </c>
      <c r="Z145" s="4">
        <v>18</v>
      </c>
      <c r="AA145" s="4">
        <v>18</v>
      </c>
      <c r="AC145" s="4">
        <v>6625</v>
      </c>
      <c r="AD145" s="4">
        <v>26379</v>
      </c>
      <c r="AE145" s="4">
        <v>13735</v>
      </c>
      <c r="AF145" s="4">
        <v>2680</v>
      </c>
      <c r="AH145" s="4">
        <f t="shared" si="42"/>
        <v>0.90217391304347827</v>
      </c>
      <c r="AI145" s="4">
        <f t="shared" si="43"/>
        <v>67</v>
      </c>
      <c r="AJ145" s="4">
        <v>210</v>
      </c>
      <c r="AK145" s="4">
        <v>335</v>
      </c>
      <c r="AL145" s="4">
        <v>316</v>
      </c>
      <c r="AM145" s="4">
        <v>104</v>
      </c>
      <c r="AN145" s="4">
        <f t="shared" si="44"/>
        <v>0.24390243902439024</v>
      </c>
      <c r="AO145" s="4">
        <f t="shared" si="45"/>
        <v>55</v>
      </c>
      <c r="AP145" s="4">
        <v>5531</v>
      </c>
      <c r="AQ145" s="4">
        <v>26878</v>
      </c>
      <c r="AR145" s="4">
        <v>15647</v>
      </c>
      <c r="AS145" s="4">
        <v>13059</v>
      </c>
      <c r="AT145" s="4">
        <v>243</v>
      </c>
      <c r="AU145" s="4">
        <v>125</v>
      </c>
      <c r="AV145" s="4">
        <v>0</v>
      </c>
      <c r="AW145" s="4">
        <v>0</v>
      </c>
      <c r="AX145" s="4">
        <f t="shared" si="46"/>
        <v>0.66032608695652173</v>
      </c>
      <c r="AY145" s="4">
        <f t="shared" si="47"/>
        <v>45</v>
      </c>
      <c r="AZ145" s="4">
        <v>17446</v>
      </c>
      <c r="BA145" s="4">
        <v>21338</v>
      </c>
      <c r="BB145" s="4">
        <v>10635</v>
      </c>
      <c r="BC145" s="4">
        <v>0</v>
      </c>
      <c r="BD145" s="5">
        <v>7188.60923</v>
      </c>
      <c r="BE145" s="5">
        <v>5241.6363629999996</v>
      </c>
      <c r="BF145" s="5">
        <v>19828.666666000001</v>
      </c>
      <c r="BG145" s="5">
        <f t="shared" si="48"/>
        <v>44</v>
      </c>
      <c r="BH145" s="5">
        <v>10000</v>
      </c>
      <c r="BK145" s="5">
        <f t="shared" si="49"/>
        <v>18</v>
      </c>
      <c r="BL145" s="5">
        <v>8270.5160954999992</v>
      </c>
      <c r="BM145" s="5">
        <v>4123.6044439999996</v>
      </c>
      <c r="BN145" s="5">
        <v>13272.5566015</v>
      </c>
      <c r="BO145" s="5">
        <v>5671.5355915</v>
      </c>
      <c r="BP145" s="5">
        <v>3500</v>
      </c>
      <c r="BQ145" s="5">
        <v>12554.023134499999</v>
      </c>
      <c r="BR145" s="5">
        <v>9481.0829859999994</v>
      </c>
      <c r="BS145" s="5">
        <v>4148.7924235</v>
      </c>
      <c r="BT145" s="5">
        <v>18129.543333000001</v>
      </c>
      <c r="BU145" s="5">
        <v>11440.979142</v>
      </c>
      <c r="BV145" s="5">
        <v>0</v>
      </c>
      <c r="BW145" s="5">
        <v>23157.895</v>
      </c>
      <c r="BX145" s="5">
        <v>23</v>
      </c>
      <c r="BY145" s="5">
        <v>12</v>
      </c>
      <c r="BZ145" s="5">
        <v>4</v>
      </c>
      <c r="CA145" s="5">
        <v>1</v>
      </c>
      <c r="CD145" s="143">
        <v>0.151697856657244</v>
      </c>
      <c r="CE145" s="143">
        <v>-2.9905026638869625E-2</v>
      </c>
      <c r="CF145" s="143">
        <v>111887953.41</v>
      </c>
      <c r="CG145" s="144">
        <v>91.4</v>
      </c>
      <c r="CH145" s="144">
        <v>4.2</v>
      </c>
      <c r="CI145" s="144">
        <v>0.9</v>
      </c>
      <c r="CJ145" s="144">
        <v>95.3</v>
      </c>
      <c r="CK145" s="144">
        <v>2.9</v>
      </c>
      <c r="CL145" s="144">
        <v>0.4</v>
      </c>
      <c r="CM145" s="144">
        <v>96.5</v>
      </c>
      <c r="CN145" s="144">
        <v>98.5</v>
      </c>
    </row>
    <row r="146" spans="1:92" x14ac:dyDescent="0.3">
      <c r="A146">
        <v>928</v>
      </c>
      <c r="B146" s="1">
        <v>2.4132290300000001E-3</v>
      </c>
      <c r="C146" s="1">
        <v>-6.4460748499999996E-3</v>
      </c>
      <c r="D146" s="1">
        <v>2.5757252550000002E-2</v>
      </c>
      <c r="E146" s="1">
        <v>3.9995732999999998E-4</v>
      </c>
      <c r="F146" s="2">
        <v>6798</v>
      </c>
      <c r="G146" s="2">
        <v>2055</v>
      </c>
      <c r="H146" s="2">
        <v>650</v>
      </c>
      <c r="I146" s="2">
        <v>180</v>
      </c>
      <c r="J146" s="2">
        <v>3088</v>
      </c>
      <c r="K146" s="2">
        <v>0</v>
      </c>
      <c r="L146" s="4">
        <v>0</v>
      </c>
      <c r="M146" s="4">
        <v>1254</v>
      </c>
      <c r="N146" s="4">
        <v>602</v>
      </c>
      <c r="O146" s="4">
        <v>0</v>
      </c>
      <c r="P146" s="4">
        <v>0</v>
      </c>
      <c r="Q146" s="4">
        <v>5302</v>
      </c>
      <c r="R146" s="4">
        <v>40192</v>
      </c>
      <c r="S146" s="4">
        <v>15004</v>
      </c>
      <c r="T146" s="4">
        <v>2413</v>
      </c>
      <c r="U146" s="4">
        <v>420</v>
      </c>
      <c r="V146" s="4">
        <f t="shared" si="40"/>
        <v>0.6756465517241379</v>
      </c>
      <c r="W146" s="4">
        <f t="shared" si="41"/>
        <v>117</v>
      </c>
      <c r="X146" s="4">
        <v>0</v>
      </c>
      <c r="Y146" s="4">
        <v>0</v>
      </c>
      <c r="Z146" s="4">
        <v>0</v>
      </c>
      <c r="AA146" s="4">
        <v>0</v>
      </c>
      <c r="AB146" s="4">
        <v>0</v>
      </c>
      <c r="AC146" s="4">
        <v>9979</v>
      </c>
      <c r="AD146" s="4">
        <v>21070</v>
      </c>
      <c r="AE146" s="4">
        <v>16392</v>
      </c>
      <c r="AF146" s="4">
        <v>5203</v>
      </c>
      <c r="AG146" s="4">
        <v>0</v>
      </c>
      <c r="AH146" s="4" t="str">
        <f t="shared" si="42"/>
        <v>N/A</v>
      </c>
      <c r="AI146" s="4" t="str">
        <f t="shared" si="43"/>
        <v>N/A</v>
      </c>
      <c r="AJ146" s="4">
        <v>60</v>
      </c>
      <c r="AK146" s="4">
        <v>1164</v>
      </c>
      <c r="AL146" s="4">
        <v>604</v>
      </c>
      <c r="AM146" s="4">
        <v>28</v>
      </c>
      <c r="AN146" s="4">
        <f t="shared" si="44"/>
        <v>3.2822757111597371E-2</v>
      </c>
      <c r="AO146" s="4">
        <f t="shared" si="45"/>
        <v>98</v>
      </c>
      <c r="AP146" s="4">
        <v>5505</v>
      </c>
      <c r="AQ146" s="4">
        <v>29634</v>
      </c>
      <c r="AR146" s="4">
        <v>20641</v>
      </c>
      <c r="AS146" s="4">
        <v>7551</v>
      </c>
      <c r="AT146" s="4">
        <v>0</v>
      </c>
      <c r="AU146" s="4">
        <v>0</v>
      </c>
      <c r="AV146" s="4">
        <v>0</v>
      </c>
      <c r="AW146" s="4">
        <v>0</v>
      </c>
      <c r="AX146" s="4" t="str">
        <f t="shared" si="46"/>
        <v>N/A</v>
      </c>
      <c r="AY146" s="4" t="str">
        <f t="shared" si="47"/>
        <v>N/A</v>
      </c>
      <c r="AZ146" s="4">
        <v>7777</v>
      </c>
      <c r="BA146" s="4">
        <v>23953</v>
      </c>
      <c r="BB146" s="4">
        <v>20243</v>
      </c>
      <c r="BC146" s="4">
        <v>671</v>
      </c>
      <c r="BD146" s="5">
        <v>11375.76043</v>
      </c>
      <c r="BE146" s="5">
        <v>1232.5800369999999</v>
      </c>
      <c r="BF146" s="5">
        <v>17896.825396</v>
      </c>
      <c r="BG146" s="5">
        <f t="shared" si="48"/>
        <v>100</v>
      </c>
      <c r="BK146" s="5" t="str">
        <f t="shared" si="49"/>
        <v>N/A</v>
      </c>
      <c r="BL146" s="5">
        <v>10888.3506715</v>
      </c>
      <c r="BM146" s="5">
        <v>4372.1777769999999</v>
      </c>
      <c r="BN146" s="5">
        <v>20816.744811500001</v>
      </c>
      <c r="BO146" s="5">
        <v>4444.4444439999997</v>
      </c>
      <c r="BP146" s="5">
        <v>3500</v>
      </c>
      <c r="BQ146" s="5">
        <v>0</v>
      </c>
      <c r="BR146" s="5">
        <v>7581.9538860000002</v>
      </c>
      <c r="BS146" s="5">
        <v>3750</v>
      </c>
      <c r="BT146" s="5">
        <v>21956.25</v>
      </c>
      <c r="BU146" s="5">
        <v>10331.4156195</v>
      </c>
      <c r="BV146" s="5">
        <v>2258.311111</v>
      </c>
      <c r="BW146" s="5">
        <v>0</v>
      </c>
      <c r="BX146" s="5">
        <v>38</v>
      </c>
      <c r="BY146" s="5">
        <v>23</v>
      </c>
      <c r="BZ146" s="5">
        <v>2</v>
      </c>
      <c r="CD146" s="143">
        <v>0.22267824934663372</v>
      </c>
      <c r="CE146" s="143">
        <v>0.14715961895910779</v>
      </c>
      <c r="CF146" s="143">
        <v>84185321.579999998</v>
      </c>
      <c r="CG146" s="144">
        <v>89.5</v>
      </c>
      <c r="CH146" s="144">
        <v>5.8</v>
      </c>
      <c r="CI146" s="144">
        <v>1.8</v>
      </c>
      <c r="CJ146" s="144">
        <v>83.4</v>
      </c>
      <c r="CK146" s="144">
        <v>10.7</v>
      </c>
      <c r="CL146" s="144">
        <v>2.8</v>
      </c>
      <c r="CM146" s="144">
        <v>97.1</v>
      </c>
      <c r="CN146" s="144">
        <v>96.9</v>
      </c>
    </row>
    <row r="147" spans="1:92" x14ac:dyDescent="0.3">
      <c r="A147">
        <v>929</v>
      </c>
      <c r="B147" s="1">
        <v>3.4761448999999999E-4</v>
      </c>
      <c r="C147" s="1">
        <v>-8.2558442000000003E-4</v>
      </c>
      <c r="D147" s="1">
        <v>4.076138E-2</v>
      </c>
      <c r="E147" s="1">
        <v>1.227224344E-2</v>
      </c>
      <c r="F147" s="2">
        <v>1133</v>
      </c>
      <c r="G147" s="2">
        <v>0</v>
      </c>
      <c r="H147" s="2">
        <v>170</v>
      </c>
      <c r="I147" s="2">
        <v>250</v>
      </c>
      <c r="J147" s="2">
        <v>503</v>
      </c>
      <c r="K147" s="2">
        <v>0</v>
      </c>
      <c r="L147" s="4">
        <v>39</v>
      </c>
      <c r="M147" s="4">
        <v>141</v>
      </c>
      <c r="N147" s="4">
        <v>99</v>
      </c>
      <c r="O147" s="4">
        <v>0</v>
      </c>
      <c r="Q147" s="4">
        <v>3592</v>
      </c>
      <c r="R147" s="4">
        <v>18011</v>
      </c>
      <c r="S147" s="4">
        <v>4615</v>
      </c>
      <c r="T147" s="4">
        <v>373</v>
      </c>
      <c r="V147" s="4">
        <f t="shared" si="40"/>
        <v>0.64516129032258063</v>
      </c>
      <c r="W147" s="4">
        <f t="shared" si="41"/>
        <v>121</v>
      </c>
      <c r="X147" s="4">
        <v>0</v>
      </c>
      <c r="Y147" s="4">
        <v>0</v>
      </c>
      <c r="Z147" s="4">
        <v>0</v>
      </c>
      <c r="AA147" s="4">
        <v>0</v>
      </c>
      <c r="AC147" s="4">
        <v>1756</v>
      </c>
      <c r="AD147" s="4">
        <v>9458</v>
      </c>
      <c r="AE147" s="4">
        <v>7246</v>
      </c>
      <c r="AF147" s="4">
        <v>5361</v>
      </c>
      <c r="AH147" s="4" t="str">
        <f t="shared" si="42"/>
        <v>N/A</v>
      </c>
      <c r="AI147" s="4" t="str">
        <f t="shared" si="43"/>
        <v>N/A</v>
      </c>
      <c r="AJ147" s="4">
        <v>0</v>
      </c>
      <c r="AK147" s="4">
        <v>27</v>
      </c>
      <c r="AL147" s="4">
        <v>99</v>
      </c>
      <c r="AM147" s="4">
        <v>153</v>
      </c>
      <c r="AN147" s="4">
        <f t="shared" si="44"/>
        <v>0</v>
      </c>
      <c r="AO147" s="4">
        <f t="shared" si="45"/>
        <v>100</v>
      </c>
      <c r="AP147" s="4">
        <v>1219</v>
      </c>
      <c r="AQ147" s="4">
        <v>7315</v>
      </c>
      <c r="AR147" s="4">
        <v>5077</v>
      </c>
      <c r="AS147" s="4">
        <v>12980</v>
      </c>
      <c r="AT147" s="4">
        <v>0</v>
      </c>
      <c r="AU147" s="4">
        <v>0</v>
      </c>
      <c r="AV147" s="4">
        <v>0</v>
      </c>
      <c r="AW147" s="4">
        <v>0</v>
      </c>
      <c r="AX147" s="4" t="str">
        <f t="shared" si="46"/>
        <v>N/A</v>
      </c>
      <c r="AY147" s="4" t="str">
        <f t="shared" si="47"/>
        <v>N/A</v>
      </c>
      <c r="AZ147" s="4">
        <v>5784</v>
      </c>
      <c r="BA147" s="4">
        <v>6290</v>
      </c>
      <c r="BB147" s="4">
        <v>6617</v>
      </c>
      <c r="BC147" s="4">
        <v>5130</v>
      </c>
      <c r="BD147" s="5">
        <v>8880.2903220000007</v>
      </c>
      <c r="BG147" s="5">
        <f t="shared" si="48"/>
        <v>68</v>
      </c>
      <c r="BK147" s="5" t="str">
        <f t="shared" si="49"/>
        <v>N/A</v>
      </c>
      <c r="BL147" s="5">
        <v>6109.3714774999999</v>
      </c>
      <c r="BM147" s="5">
        <v>4533.3333329999996</v>
      </c>
      <c r="BN147" s="5">
        <v>24000.567740999999</v>
      </c>
      <c r="BO147" s="5">
        <v>12209.933333000001</v>
      </c>
      <c r="BP147" s="5">
        <v>2908.333333</v>
      </c>
      <c r="BQ147" s="5">
        <v>3386.6666660000001</v>
      </c>
      <c r="BR147" s="5">
        <v>6353.8938660000003</v>
      </c>
      <c r="BS147" s="5">
        <v>5833.3333329999996</v>
      </c>
      <c r="BT147" s="5">
        <v>2830.1623370000002</v>
      </c>
      <c r="BU147" s="5">
        <v>23194.585714000001</v>
      </c>
      <c r="BV147" s="5">
        <v>0</v>
      </c>
      <c r="BW147" s="5">
        <v>0</v>
      </c>
      <c r="BX147" s="5">
        <v>4</v>
      </c>
      <c r="CD147" s="143">
        <v>0.1257710100231304</v>
      </c>
      <c r="CE147" s="143">
        <v>-2.8578348268345821E-2</v>
      </c>
      <c r="CF147" s="143">
        <v>14118046.849999998</v>
      </c>
      <c r="CG147" s="144">
        <v>96</v>
      </c>
      <c r="CH147" s="144">
        <v>1.8</v>
      </c>
      <c r="CI147" s="144">
        <v>0.5</v>
      </c>
      <c r="CJ147" s="144">
        <v>98.5</v>
      </c>
      <c r="CK147" s="144">
        <v>0.5</v>
      </c>
      <c r="CL147" s="144">
        <v>0</v>
      </c>
      <c r="CM147" s="144">
        <v>98.2</v>
      </c>
      <c r="CN147" s="144">
        <v>99</v>
      </c>
    </row>
    <row r="148" spans="1:92" x14ac:dyDescent="0.3">
      <c r="A148">
        <v>931</v>
      </c>
      <c r="B148" s="1">
        <v>4.9053930990000001E-2</v>
      </c>
      <c r="C148" s="1">
        <v>1.9042800759999999E-2</v>
      </c>
      <c r="D148" s="1">
        <v>2.861505776E-2</v>
      </c>
      <c r="E148" s="1">
        <v>2.8216704200000001E-3</v>
      </c>
      <c r="F148" s="2">
        <v>7546</v>
      </c>
      <c r="G148" s="2">
        <v>4191</v>
      </c>
      <c r="H148" s="2">
        <v>160</v>
      </c>
      <c r="I148" s="2">
        <v>30</v>
      </c>
      <c r="J148" s="2">
        <v>3314</v>
      </c>
      <c r="K148" s="2">
        <v>2160</v>
      </c>
      <c r="L148" s="4">
        <v>30</v>
      </c>
      <c r="M148" s="4">
        <v>850</v>
      </c>
      <c r="N148" s="4">
        <v>360</v>
      </c>
      <c r="O148" s="4">
        <v>0</v>
      </c>
      <c r="Q148" s="4">
        <v>4999</v>
      </c>
      <c r="R148" s="4">
        <v>39443</v>
      </c>
      <c r="S148" s="4">
        <v>6786</v>
      </c>
      <c r="T148" s="4">
        <v>1295</v>
      </c>
      <c r="V148" s="4">
        <f t="shared" si="40"/>
        <v>0.70967741935483875</v>
      </c>
      <c r="W148" s="4">
        <f t="shared" si="41"/>
        <v>113</v>
      </c>
      <c r="X148" s="4">
        <v>0</v>
      </c>
      <c r="Y148" s="4">
        <v>2608</v>
      </c>
      <c r="Z148" s="4">
        <v>0</v>
      </c>
      <c r="AA148" s="4">
        <v>0</v>
      </c>
      <c r="AC148" s="4">
        <v>8500</v>
      </c>
      <c r="AD148" s="4">
        <v>29599</v>
      </c>
      <c r="AE148" s="4">
        <v>5066</v>
      </c>
      <c r="AF148" s="4">
        <v>0</v>
      </c>
      <c r="AH148" s="4">
        <f t="shared" si="42"/>
        <v>1</v>
      </c>
      <c r="AI148" s="4">
        <f t="shared" si="43"/>
        <v>1</v>
      </c>
      <c r="AJ148" s="4">
        <v>0</v>
      </c>
      <c r="AK148" s="4">
        <v>734</v>
      </c>
      <c r="AL148" s="4">
        <v>116</v>
      </c>
      <c r="AM148" s="4">
        <v>390</v>
      </c>
      <c r="AN148" s="4">
        <f t="shared" si="44"/>
        <v>0</v>
      </c>
      <c r="AO148" s="4">
        <f t="shared" si="45"/>
        <v>100</v>
      </c>
      <c r="AP148" s="4">
        <v>9466</v>
      </c>
      <c r="AQ148" s="4">
        <v>35666</v>
      </c>
      <c r="AR148" s="4">
        <v>6354</v>
      </c>
      <c r="AS148" s="4">
        <v>1037</v>
      </c>
      <c r="AT148" s="4">
        <v>0</v>
      </c>
      <c r="AU148" s="4">
        <v>2608</v>
      </c>
      <c r="AV148" s="4">
        <v>0</v>
      </c>
      <c r="AW148" s="4">
        <v>0</v>
      </c>
      <c r="AX148" s="4">
        <f t="shared" si="46"/>
        <v>0</v>
      </c>
      <c r="AY148" s="4">
        <f t="shared" si="47"/>
        <v>73</v>
      </c>
      <c r="AZ148" s="4">
        <v>13131</v>
      </c>
      <c r="BA148" s="4">
        <v>22766</v>
      </c>
      <c r="BB148" s="4">
        <v>7268</v>
      </c>
      <c r="BC148" s="4">
        <v>0</v>
      </c>
      <c r="BD148" s="5">
        <v>8833.3786469999995</v>
      </c>
      <c r="BE148" s="5">
        <v>3761.202127</v>
      </c>
      <c r="BF148" s="5">
        <v>26349.576270000001</v>
      </c>
      <c r="BG148" s="5">
        <f t="shared" si="48"/>
        <v>65</v>
      </c>
      <c r="BK148" s="5" t="str">
        <f t="shared" si="49"/>
        <v>N/A</v>
      </c>
      <c r="BL148" s="5">
        <v>11507.913580500001</v>
      </c>
      <c r="BM148" s="5">
        <v>4099.529587</v>
      </c>
      <c r="BN148" s="5">
        <v>17845.238095000001</v>
      </c>
      <c r="BO148" s="5">
        <v>16503.438570500002</v>
      </c>
      <c r="BP148" s="5">
        <v>0</v>
      </c>
      <c r="BQ148" s="5">
        <v>22090.620772499999</v>
      </c>
      <c r="BR148" s="5">
        <v>10571.237112999999</v>
      </c>
      <c r="BS148" s="5">
        <v>4525.6289299999999</v>
      </c>
      <c r="BT148" s="5">
        <v>17545.036591</v>
      </c>
      <c r="BU148" s="5">
        <v>15133.233333</v>
      </c>
      <c r="BV148" s="5">
        <v>23429.45</v>
      </c>
      <c r="BW148" s="5">
        <v>19471.908211999998</v>
      </c>
      <c r="BX148" s="5">
        <v>52</v>
      </c>
      <c r="BY148" s="5">
        <v>10</v>
      </c>
      <c r="BZ148" s="5">
        <v>1</v>
      </c>
      <c r="CD148" s="143">
        <v>0.15888222669646224</v>
      </c>
      <c r="CE148" s="143">
        <v>5.2561927383780072E-2</v>
      </c>
      <c r="CF148" s="143">
        <v>71629206.950000003</v>
      </c>
      <c r="CG148" s="144">
        <v>88</v>
      </c>
      <c r="CH148" s="144">
        <v>5.8</v>
      </c>
      <c r="CI148" s="144">
        <v>2.1</v>
      </c>
      <c r="CJ148" s="144">
        <v>90.9</v>
      </c>
      <c r="CK148" s="144">
        <v>5.6</v>
      </c>
      <c r="CL148" s="144">
        <v>1.3</v>
      </c>
      <c r="CM148" s="144">
        <v>96</v>
      </c>
      <c r="CN148" s="144">
        <v>97.8</v>
      </c>
    </row>
    <row r="149" spans="1:92" x14ac:dyDescent="0.3">
      <c r="A149">
        <v>933</v>
      </c>
      <c r="B149" s="1">
        <v>-1.377689021E-2</v>
      </c>
      <c r="C149" s="1">
        <v>-1.1400692630000001E-2</v>
      </c>
      <c r="D149" s="1">
        <v>2.4866074990000001E-2</v>
      </c>
      <c r="E149" s="1">
        <v>4.8772687200000003E-3</v>
      </c>
      <c r="F149" s="2">
        <v>2488</v>
      </c>
      <c r="G149" s="2">
        <v>482</v>
      </c>
      <c r="H149" s="2">
        <v>120</v>
      </c>
      <c r="I149" s="2">
        <v>50</v>
      </c>
      <c r="J149" s="2">
        <v>1762</v>
      </c>
      <c r="K149" s="2">
        <v>190</v>
      </c>
      <c r="L149" s="4">
        <v>90</v>
      </c>
      <c r="M149" s="4">
        <v>565</v>
      </c>
      <c r="N149" s="4">
        <v>210</v>
      </c>
      <c r="O149" s="4">
        <v>0</v>
      </c>
      <c r="Q149" s="4">
        <v>7038</v>
      </c>
      <c r="R149" s="4">
        <v>27649</v>
      </c>
      <c r="S149" s="4">
        <v>5656</v>
      </c>
      <c r="T149" s="4">
        <v>300</v>
      </c>
      <c r="V149" s="4">
        <f t="shared" si="40"/>
        <v>0.75722543352601157</v>
      </c>
      <c r="W149" s="4">
        <f t="shared" si="41"/>
        <v>105</v>
      </c>
      <c r="X149" s="4">
        <v>0</v>
      </c>
      <c r="Y149" s="4">
        <v>238</v>
      </c>
      <c r="Z149" s="4">
        <v>0</v>
      </c>
      <c r="AA149" s="4">
        <v>0</v>
      </c>
      <c r="AC149" s="4">
        <v>4001</v>
      </c>
      <c r="AD149" s="4">
        <v>19967</v>
      </c>
      <c r="AE149" s="4">
        <v>5357</v>
      </c>
      <c r="AF149" s="4">
        <v>1509</v>
      </c>
      <c r="AH149" s="4">
        <f t="shared" si="42"/>
        <v>1</v>
      </c>
      <c r="AI149" s="4">
        <f t="shared" si="43"/>
        <v>1</v>
      </c>
      <c r="AJ149" s="4">
        <v>88</v>
      </c>
      <c r="AK149" s="4">
        <v>420</v>
      </c>
      <c r="AL149" s="4">
        <v>327</v>
      </c>
      <c r="AM149" s="4">
        <v>30</v>
      </c>
      <c r="AN149" s="4">
        <f t="shared" si="44"/>
        <v>0.10538922155688622</v>
      </c>
      <c r="AO149" s="4">
        <f t="shared" si="45"/>
        <v>83</v>
      </c>
      <c r="AP149" s="4">
        <v>3872</v>
      </c>
      <c r="AQ149" s="4">
        <v>18756</v>
      </c>
      <c r="AR149" s="4">
        <v>9215</v>
      </c>
      <c r="AS149" s="4">
        <v>8800</v>
      </c>
      <c r="AT149" s="4">
        <v>0</v>
      </c>
      <c r="AU149" s="4">
        <v>238</v>
      </c>
      <c r="AV149" s="4">
        <v>0</v>
      </c>
      <c r="AW149" s="4">
        <v>0</v>
      </c>
      <c r="AX149" s="4">
        <f t="shared" si="46"/>
        <v>0</v>
      </c>
      <c r="AY149" s="4">
        <f t="shared" si="47"/>
        <v>73</v>
      </c>
      <c r="AZ149" s="4">
        <v>7447</v>
      </c>
      <c r="BA149" s="4">
        <v>15072</v>
      </c>
      <c r="BB149" s="4">
        <v>5989</v>
      </c>
      <c r="BC149" s="4">
        <v>2326</v>
      </c>
      <c r="BD149" s="5">
        <v>6882.4303460000001</v>
      </c>
      <c r="BE149" s="5">
        <v>2550.9499999999998</v>
      </c>
      <c r="BF149" s="5">
        <v>732.25238000000002</v>
      </c>
      <c r="BG149" s="5">
        <f t="shared" si="48"/>
        <v>37</v>
      </c>
      <c r="BH149" s="5">
        <v>1137.20886</v>
      </c>
      <c r="BK149" s="5">
        <f t="shared" si="49"/>
        <v>2</v>
      </c>
      <c r="BL149" s="5">
        <v>9728.0193604999986</v>
      </c>
      <c r="BM149" s="5">
        <v>4103.2656365000003</v>
      </c>
      <c r="BN149" s="5">
        <v>13271.1719655</v>
      </c>
      <c r="BO149" s="5">
        <v>7409.7325499999997</v>
      </c>
      <c r="BP149" s="5">
        <v>0</v>
      </c>
      <c r="BQ149" s="5">
        <v>12554.023134499999</v>
      </c>
      <c r="BR149" s="5">
        <v>10694.372525999999</v>
      </c>
      <c r="BS149" s="5">
        <v>4082.926829</v>
      </c>
      <c r="BT149" s="5">
        <v>13657.142857000001</v>
      </c>
      <c r="BU149" s="5">
        <v>7127.1501829999997</v>
      </c>
      <c r="BV149" s="5">
        <v>0</v>
      </c>
      <c r="BW149" s="5">
        <v>5489.5110839999998</v>
      </c>
      <c r="BX149" s="5">
        <v>19</v>
      </c>
      <c r="BY149" s="5">
        <v>6</v>
      </c>
      <c r="BZ149" s="5">
        <v>1</v>
      </c>
      <c r="CA149" s="5">
        <v>2</v>
      </c>
      <c r="CD149" s="143">
        <v>0.10455655004068354</v>
      </c>
      <c r="CE149" s="143">
        <v>-6.3992673992673943E-2</v>
      </c>
      <c r="CF149" s="143">
        <v>39146818.620000005</v>
      </c>
      <c r="CG149" s="144">
        <v>92.3</v>
      </c>
      <c r="CH149" s="144">
        <v>4.4000000000000004</v>
      </c>
      <c r="CI149" s="144">
        <v>0.9</v>
      </c>
      <c r="CJ149" s="144">
        <v>95.8</v>
      </c>
      <c r="CK149" s="144">
        <v>2.1</v>
      </c>
      <c r="CL149" s="144">
        <v>0.4</v>
      </c>
      <c r="CM149" s="144">
        <v>97.6</v>
      </c>
      <c r="CN149" s="144">
        <v>98.3</v>
      </c>
    </row>
    <row r="150" spans="1:92" x14ac:dyDescent="0.3">
      <c r="A150">
        <v>935</v>
      </c>
      <c r="B150" s="1">
        <v>6.1394206E-4</v>
      </c>
      <c r="C150" s="1">
        <v>7.7765995000000001E-3</v>
      </c>
      <c r="D150" s="1">
        <v>9.3068127E-3</v>
      </c>
      <c r="E150" s="1">
        <v>7.7178446699999997E-3</v>
      </c>
      <c r="F150" s="2">
        <v>2283</v>
      </c>
      <c r="G150" s="2">
        <v>0</v>
      </c>
      <c r="H150" s="2">
        <v>150</v>
      </c>
      <c r="I150" s="2">
        <v>110</v>
      </c>
      <c r="J150" s="2">
        <v>3924</v>
      </c>
      <c r="K150" s="2">
        <v>828</v>
      </c>
      <c r="L150" s="4">
        <v>24</v>
      </c>
      <c r="M150" s="4">
        <v>1663</v>
      </c>
      <c r="N150" s="4">
        <v>30</v>
      </c>
      <c r="O150" s="4">
        <v>120</v>
      </c>
      <c r="P150" s="4">
        <v>0</v>
      </c>
      <c r="Q150" s="4">
        <v>5916</v>
      </c>
      <c r="R150" s="4">
        <v>34308</v>
      </c>
      <c r="S150" s="4">
        <v>12644</v>
      </c>
      <c r="T150" s="4">
        <v>2060</v>
      </c>
      <c r="U150" s="4">
        <v>444</v>
      </c>
      <c r="V150" s="4">
        <f t="shared" si="40"/>
        <v>0.91834512792596623</v>
      </c>
      <c r="W150" s="4">
        <f t="shared" si="41"/>
        <v>67</v>
      </c>
      <c r="X150" s="4">
        <v>27</v>
      </c>
      <c r="Y150" s="4">
        <v>723</v>
      </c>
      <c r="Z150" s="4">
        <v>0</v>
      </c>
      <c r="AA150" s="4">
        <v>29</v>
      </c>
      <c r="AB150" s="4">
        <v>0</v>
      </c>
      <c r="AC150" s="4">
        <v>7041</v>
      </c>
      <c r="AD150" s="4">
        <v>20457</v>
      </c>
      <c r="AE150" s="4">
        <v>11764</v>
      </c>
      <c r="AF150" s="4">
        <v>5128</v>
      </c>
      <c r="AG150" s="4">
        <v>0</v>
      </c>
      <c r="AH150" s="4">
        <f t="shared" si="42"/>
        <v>0.96277278562259305</v>
      </c>
      <c r="AI150" s="4">
        <f t="shared" si="43"/>
        <v>62</v>
      </c>
      <c r="AJ150" s="4">
        <v>176</v>
      </c>
      <c r="AK150" s="4">
        <v>451</v>
      </c>
      <c r="AL150" s="4">
        <v>544</v>
      </c>
      <c r="AM150" s="4">
        <v>666</v>
      </c>
      <c r="AN150" s="4">
        <f t="shared" si="44"/>
        <v>0.1502988898377455</v>
      </c>
      <c r="AO150" s="4">
        <f t="shared" si="45"/>
        <v>67</v>
      </c>
      <c r="AP150" s="4">
        <v>4375</v>
      </c>
      <c r="AQ150" s="4">
        <v>25204</v>
      </c>
      <c r="AR150" s="4">
        <v>19020</v>
      </c>
      <c r="AS150" s="4">
        <v>6773</v>
      </c>
      <c r="AT150" s="4">
        <v>47</v>
      </c>
      <c r="AU150" s="4">
        <v>216</v>
      </c>
      <c r="AV150" s="4">
        <v>516</v>
      </c>
      <c r="AW150" s="4">
        <v>0</v>
      </c>
      <c r="AX150" s="4">
        <f t="shared" si="46"/>
        <v>6.0333761232349167E-2</v>
      </c>
      <c r="AY150" s="4">
        <f t="shared" si="47"/>
        <v>71</v>
      </c>
      <c r="AZ150" s="4">
        <v>16909</v>
      </c>
      <c r="BA150" s="4">
        <v>14378</v>
      </c>
      <c r="BB150" s="4">
        <v>10795</v>
      </c>
      <c r="BC150" s="4">
        <v>2308</v>
      </c>
      <c r="BD150" s="5">
        <v>8959.0783049999991</v>
      </c>
      <c r="BE150" s="5">
        <v>3980.918181</v>
      </c>
      <c r="BF150" s="5">
        <v>10945.720448</v>
      </c>
      <c r="BG150" s="5">
        <f t="shared" si="48"/>
        <v>70</v>
      </c>
      <c r="BH150" s="5">
        <v>4215.9210000000003</v>
      </c>
      <c r="BJ150" s="5">
        <v>19618.535185000001</v>
      </c>
      <c r="BK150" s="5">
        <f t="shared" si="49"/>
        <v>7</v>
      </c>
      <c r="BL150" s="5">
        <v>9399.9590625000001</v>
      </c>
      <c r="BM150" s="5">
        <v>4082.926829</v>
      </c>
      <c r="BN150" s="5">
        <v>13615.486831499999</v>
      </c>
      <c r="BO150" s="5">
        <v>7409.7325499999997</v>
      </c>
      <c r="BP150" s="5">
        <v>0</v>
      </c>
      <c r="BQ150" s="5">
        <v>5489.5110839999998</v>
      </c>
      <c r="BR150" s="5">
        <v>9481.0829859999994</v>
      </c>
      <c r="BS150" s="5">
        <v>4148.7924235</v>
      </c>
      <c r="BT150" s="5">
        <v>18129.543333000001</v>
      </c>
      <c r="BU150" s="5">
        <v>11440.979142</v>
      </c>
      <c r="BV150" s="5">
        <v>0</v>
      </c>
      <c r="BW150" s="5">
        <v>23157.895</v>
      </c>
      <c r="BX150" s="5">
        <v>90</v>
      </c>
      <c r="BY150" s="5">
        <v>13</v>
      </c>
      <c r="BZ150" s="5">
        <v>4</v>
      </c>
      <c r="CA150" s="5">
        <v>9</v>
      </c>
      <c r="CC150" s="5">
        <v>2</v>
      </c>
      <c r="CD150" s="143">
        <v>0.1746038254166753</v>
      </c>
      <c r="CE150" s="143">
        <v>-4.4074994820799684E-2</v>
      </c>
      <c r="CF150" s="143">
        <v>75323912.25</v>
      </c>
      <c r="CG150" s="144">
        <v>90.1</v>
      </c>
      <c r="CH150" s="144">
        <v>5.6</v>
      </c>
      <c r="CI150" s="144">
        <v>1.4</v>
      </c>
      <c r="CJ150" s="144">
        <v>92.8</v>
      </c>
      <c r="CK150" s="144">
        <v>3.3</v>
      </c>
      <c r="CL150" s="144">
        <v>0.9</v>
      </c>
      <c r="CM150" s="144">
        <v>97.1</v>
      </c>
      <c r="CN150" s="144">
        <v>97</v>
      </c>
    </row>
    <row r="151" spans="1:92" x14ac:dyDescent="0.3">
      <c r="A151">
        <v>936</v>
      </c>
      <c r="B151" s="1">
        <v>-1.3113437130000001E-2</v>
      </c>
      <c r="C151" s="1">
        <v>1.6409517280000001E-2</v>
      </c>
      <c r="D151" s="1">
        <v>6.6581807500000001E-3</v>
      </c>
      <c r="E151" s="1">
        <v>1.592088514E-2</v>
      </c>
      <c r="F151" s="2">
        <v>9696</v>
      </c>
      <c r="G151" s="2">
        <v>1820</v>
      </c>
      <c r="H151" s="2">
        <v>2720</v>
      </c>
      <c r="I151" s="2">
        <v>1290</v>
      </c>
      <c r="J151" s="2">
        <v>8076</v>
      </c>
      <c r="K151" s="2">
        <v>1970</v>
      </c>
      <c r="L151" s="4">
        <v>716</v>
      </c>
      <c r="M151" s="4">
        <v>2031</v>
      </c>
      <c r="N151" s="4">
        <v>52</v>
      </c>
      <c r="O151" s="4">
        <v>0</v>
      </c>
      <c r="P151" s="4">
        <v>0</v>
      </c>
      <c r="Q151" s="4">
        <v>17734</v>
      </c>
      <c r="R151" s="4">
        <v>53021</v>
      </c>
      <c r="S151" s="4">
        <v>12328</v>
      </c>
      <c r="T151" s="4">
        <v>1390</v>
      </c>
      <c r="U151" s="4">
        <v>210</v>
      </c>
      <c r="V151" s="4">
        <f t="shared" si="40"/>
        <v>0.98142193640585929</v>
      </c>
      <c r="W151" s="4">
        <f t="shared" si="41"/>
        <v>54</v>
      </c>
      <c r="X151" s="4">
        <v>70</v>
      </c>
      <c r="Y151" s="4">
        <v>33</v>
      </c>
      <c r="Z151" s="4">
        <v>0</v>
      </c>
      <c r="AA151" s="4">
        <v>0</v>
      </c>
      <c r="AB151" s="4">
        <v>0</v>
      </c>
      <c r="AC151" s="4">
        <v>16936</v>
      </c>
      <c r="AD151" s="4">
        <v>41310</v>
      </c>
      <c r="AE151" s="4">
        <v>3158</v>
      </c>
      <c r="AF151" s="4">
        <v>1029</v>
      </c>
      <c r="AG151" s="4">
        <v>0</v>
      </c>
      <c r="AH151" s="4">
        <f t="shared" si="42"/>
        <v>1</v>
      </c>
      <c r="AI151" s="4">
        <f t="shared" si="43"/>
        <v>1</v>
      </c>
      <c r="AJ151" s="4">
        <v>136</v>
      </c>
      <c r="AK151" s="4">
        <v>653</v>
      </c>
      <c r="AL151" s="4">
        <v>488</v>
      </c>
      <c r="AM151" s="4">
        <v>1522</v>
      </c>
      <c r="AN151" s="4">
        <f t="shared" si="44"/>
        <v>0.10649960845732184</v>
      </c>
      <c r="AO151" s="4">
        <f t="shared" si="45"/>
        <v>82</v>
      </c>
      <c r="AP151" s="4">
        <v>7905</v>
      </c>
      <c r="AQ151" s="4">
        <v>39427</v>
      </c>
      <c r="AR151" s="4">
        <v>21177</v>
      </c>
      <c r="AS151" s="4">
        <v>16174</v>
      </c>
      <c r="AT151" s="4">
        <v>70</v>
      </c>
      <c r="AU151" s="4">
        <v>33</v>
      </c>
      <c r="AV151" s="4">
        <v>0</v>
      </c>
      <c r="AW151" s="4">
        <v>0</v>
      </c>
      <c r="AX151" s="4">
        <f t="shared" si="46"/>
        <v>0.67961165048543692</v>
      </c>
      <c r="AY151" s="4">
        <f t="shared" si="47"/>
        <v>42</v>
      </c>
      <c r="AZ151" s="4">
        <v>30947</v>
      </c>
      <c r="BA151" s="4">
        <v>25674</v>
      </c>
      <c r="BB151" s="4">
        <v>5812</v>
      </c>
      <c r="BC151" s="4">
        <v>0</v>
      </c>
      <c r="BD151" s="5">
        <v>14215.402959999999</v>
      </c>
      <c r="BE151" s="5">
        <v>7724.4440960000002</v>
      </c>
      <c r="BF151" s="5">
        <v>24046.123809000001</v>
      </c>
      <c r="BG151" s="5">
        <f t="shared" si="48"/>
        <v>122</v>
      </c>
      <c r="BH151" s="5">
        <v>14626.666665999999</v>
      </c>
      <c r="BI151" s="5">
        <v>23429.45</v>
      </c>
      <c r="BK151" s="5">
        <f t="shared" si="49"/>
        <v>32</v>
      </c>
      <c r="BL151" s="5">
        <v>11446.345873999999</v>
      </c>
      <c r="BM151" s="5">
        <v>4099.529587</v>
      </c>
      <c r="BN151" s="5">
        <v>19761.5242535</v>
      </c>
      <c r="BO151" s="5">
        <v>14589.304606</v>
      </c>
      <c r="BP151" s="5">
        <v>0</v>
      </c>
      <c r="BQ151" s="5">
        <v>22090.620772499999</v>
      </c>
      <c r="BR151" s="5">
        <v>10571.237112999999</v>
      </c>
      <c r="BS151" s="5">
        <v>4525.6289299999999</v>
      </c>
      <c r="BT151" s="5">
        <v>17545.036591</v>
      </c>
      <c r="BU151" s="5">
        <v>15133.233333</v>
      </c>
      <c r="BV151" s="5">
        <v>23429.45</v>
      </c>
      <c r="BW151" s="5">
        <v>19471.908211999998</v>
      </c>
      <c r="BX151" s="5">
        <v>42</v>
      </c>
      <c r="BY151" s="5">
        <v>85</v>
      </c>
      <c r="BZ151" s="5">
        <v>1</v>
      </c>
      <c r="CA151" s="5">
        <v>2</v>
      </c>
      <c r="CB151" s="5">
        <v>3</v>
      </c>
      <c r="CD151" s="143">
        <v>0.2092874571052048</v>
      </c>
      <c r="CE151" s="143">
        <v>2.1240377522649512E-2</v>
      </c>
      <c r="CF151" s="143">
        <v>279023210.93000001</v>
      </c>
      <c r="CG151" s="144">
        <v>81.7</v>
      </c>
      <c r="CH151" s="144">
        <v>8</v>
      </c>
      <c r="CI151" s="144">
        <v>2.9</v>
      </c>
      <c r="CJ151" s="144">
        <v>82.1</v>
      </c>
      <c r="CK151" s="144">
        <v>8.3000000000000007</v>
      </c>
      <c r="CL151" s="144">
        <v>2.5</v>
      </c>
      <c r="CM151" s="144">
        <v>92.5</v>
      </c>
      <c r="CN151" s="144">
        <v>92.9</v>
      </c>
    </row>
    <row r="152" spans="1:92" x14ac:dyDescent="0.3">
      <c r="A152">
        <v>937</v>
      </c>
      <c r="B152" s="1">
        <v>4.5223966299999998E-3</v>
      </c>
      <c r="C152" s="1">
        <v>2.7038667600000001E-3</v>
      </c>
      <c r="D152" s="1">
        <v>6.4294899000000001E-4</v>
      </c>
      <c r="E152" s="1">
        <v>5.3579082700000004E-3</v>
      </c>
      <c r="F152" s="2">
        <v>2832</v>
      </c>
      <c r="G152" s="2">
        <v>1921</v>
      </c>
      <c r="H152" s="2">
        <v>170</v>
      </c>
      <c r="I152" s="2">
        <v>530</v>
      </c>
      <c r="J152" s="2">
        <v>3219</v>
      </c>
      <c r="K152" s="2">
        <v>118</v>
      </c>
      <c r="L152" s="4">
        <v>395</v>
      </c>
      <c r="M152" s="4">
        <v>524</v>
      </c>
      <c r="N152" s="4">
        <v>29</v>
      </c>
      <c r="O152" s="4">
        <v>45</v>
      </c>
      <c r="Q152" s="4">
        <v>6443</v>
      </c>
      <c r="R152" s="4">
        <v>28691</v>
      </c>
      <c r="S152" s="4">
        <v>7397</v>
      </c>
      <c r="T152" s="4">
        <v>720</v>
      </c>
      <c r="V152" s="4">
        <f t="shared" si="40"/>
        <v>0.92547834843907351</v>
      </c>
      <c r="W152" s="4">
        <f t="shared" si="41"/>
        <v>64</v>
      </c>
      <c r="X152" s="4">
        <v>130</v>
      </c>
      <c r="Y152" s="4">
        <v>40</v>
      </c>
      <c r="Z152" s="4">
        <v>0</v>
      </c>
      <c r="AA152" s="4">
        <v>0</v>
      </c>
      <c r="AC152" s="4">
        <v>11480</v>
      </c>
      <c r="AD152" s="4">
        <v>17893</v>
      </c>
      <c r="AE152" s="4">
        <v>4646</v>
      </c>
      <c r="AF152" s="4">
        <v>1200</v>
      </c>
      <c r="AH152" s="4">
        <f t="shared" si="42"/>
        <v>1</v>
      </c>
      <c r="AI152" s="4">
        <f t="shared" si="43"/>
        <v>1</v>
      </c>
      <c r="AJ152" s="4">
        <v>0</v>
      </c>
      <c r="AK152" s="4">
        <v>614</v>
      </c>
      <c r="AL152" s="4">
        <v>334</v>
      </c>
      <c r="AM152" s="4">
        <v>45</v>
      </c>
      <c r="AN152" s="4">
        <f t="shared" si="44"/>
        <v>0</v>
      </c>
      <c r="AO152" s="4">
        <f t="shared" si="45"/>
        <v>100</v>
      </c>
      <c r="AP152" s="4">
        <v>4055</v>
      </c>
      <c r="AQ152" s="4">
        <v>22110</v>
      </c>
      <c r="AR152" s="4">
        <v>11495</v>
      </c>
      <c r="AS152" s="4">
        <v>5591</v>
      </c>
      <c r="AT152" s="4">
        <v>170</v>
      </c>
      <c r="AU152" s="4">
        <v>0</v>
      </c>
      <c r="AV152" s="4">
        <v>0</v>
      </c>
      <c r="AW152" s="4">
        <v>0</v>
      </c>
      <c r="AX152" s="4">
        <f t="shared" si="46"/>
        <v>1</v>
      </c>
      <c r="AY152" s="4">
        <f t="shared" si="47"/>
        <v>1</v>
      </c>
      <c r="AZ152" s="4">
        <v>15808</v>
      </c>
      <c r="BA152" s="4">
        <v>12136</v>
      </c>
      <c r="BB152" s="4">
        <v>7275</v>
      </c>
      <c r="BC152" s="4">
        <v>0</v>
      </c>
      <c r="BD152" s="5">
        <v>10204.899777000001</v>
      </c>
      <c r="BE152" s="5">
        <v>3333.333333</v>
      </c>
      <c r="BG152" s="5">
        <f t="shared" si="48"/>
        <v>87</v>
      </c>
      <c r="BH152" s="5">
        <v>13714.285714</v>
      </c>
      <c r="BK152" s="5">
        <f t="shared" si="49"/>
        <v>30</v>
      </c>
      <c r="BL152" s="5">
        <v>9597.212563000001</v>
      </c>
      <c r="BM152" s="5">
        <v>4372.1777769999999</v>
      </c>
      <c r="BN152" s="5">
        <v>19172.776666000002</v>
      </c>
      <c r="BO152" s="5">
        <v>11236.916802</v>
      </c>
      <c r="BP152" s="5">
        <v>1016.622222</v>
      </c>
      <c r="BQ152" s="5">
        <v>0</v>
      </c>
      <c r="BR152" s="5">
        <v>9741.1953059999996</v>
      </c>
      <c r="BS152" s="5">
        <v>3330.1900734999999</v>
      </c>
      <c r="BT152" s="5">
        <v>17819.047618500001</v>
      </c>
      <c r="BU152" s="5">
        <v>11195.911189999999</v>
      </c>
      <c r="BV152" s="5">
        <v>0</v>
      </c>
      <c r="BW152" s="5">
        <v>17276.650324999999</v>
      </c>
      <c r="BX152" s="5">
        <v>27</v>
      </c>
      <c r="BY152" s="5">
        <v>1</v>
      </c>
      <c r="CA152" s="5">
        <v>1</v>
      </c>
      <c r="CD152" s="143">
        <v>0.12992727178611174</v>
      </c>
      <c r="CE152" s="143">
        <v>-1.3200431034482762E-2</v>
      </c>
      <c r="CF152" s="143">
        <v>59510789.760000005</v>
      </c>
      <c r="CG152" s="144">
        <v>88.7</v>
      </c>
      <c r="CH152" s="144">
        <v>5.8</v>
      </c>
      <c r="CI152" s="144">
        <v>1.2</v>
      </c>
      <c r="CJ152" s="144">
        <v>80.400000000000006</v>
      </c>
      <c r="CK152" s="144">
        <v>10</v>
      </c>
      <c r="CL152" s="144">
        <v>3.4</v>
      </c>
      <c r="CM152" s="144">
        <v>95.6</v>
      </c>
      <c r="CN152" s="144">
        <v>93.8</v>
      </c>
    </row>
    <row r="153" spans="1:92" x14ac:dyDescent="0.3">
      <c r="A153">
        <v>938</v>
      </c>
      <c r="B153" s="1">
        <v>1.243923596E-2</v>
      </c>
      <c r="C153" s="1">
        <v>1.108074046E-2</v>
      </c>
      <c r="D153" s="1">
        <v>4.803770047E-2</v>
      </c>
      <c r="E153" s="1">
        <v>1.3681623550000001E-2</v>
      </c>
      <c r="F153" s="2">
        <v>6558</v>
      </c>
      <c r="G153" s="2">
        <v>3237</v>
      </c>
      <c r="H153" s="2">
        <v>900</v>
      </c>
      <c r="I153" s="2">
        <v>400</v>
      </c>
      <c r="J153" s="2">
        <v>3885</v>
      </c>
      <c r="K153" s="2">
        <v>1950</v>
      </c>
      <c r="L153" s="4">
        <v>61</v>
      </c>
      <c r="M153" s="4">
        <v>459</v>
      </c>
      <c r="N153" s="4">
        <v>0</v>
      </c>
      <c r="O153" s="4">
        <v>0</v>
      </c>
      <c r="Q153" s="4">
        <v>7600</v>
      </c>
      <c r="R153" s="4">
        <v>41051</v>
      </c>
      <c r="S153" s="4">
        <v>14039</v>
      </c>
      <c r="T153" s="4">
        <v>986</v>
      </c>
      <c r="V153" s="4">
        <f t="shared" si="40"/>
        <v>1</v>
      </c>
      <c r="W153" s="4">
        <f t="shared" si="41"/>
        <v>1</v>
      </c>
      <c r="X153" s="4">
        <v>0</v>
      </c>
      <c r="Y153" s="4">
        <v>0</v>
      </c>
      <c r="Z153" s="4">
        <v>0</v>
      </c>
      <c r="AA153" s="4">
        <v>0</v>
      </c>
      <c r="AC153" s="4">
        <v>13382</v>
      </c>
      <c r="AD153" s="4">
        <v>24479</v>
      </c>
      <c r="AE153" s="4">
        <v>9582</v>
      </c>
      <c r="AF153" s="4">
        <v>3100</v>
      </c>
      <c r="AH153" s="4" t="str">
        <f t="shared" si="42"/>
        <v>N/A</v>
      </c>
      <c r="AI153" s="4" t="str">
        <f t="shared" si="43"/>
        <v>N/A</v>
      </c>
      <c r="AJ153" s="4">
        <v>0</v>
      </c>
      <c r="AK153" s="4">
        <v>105</v>
      </c>
      <c r="AL153" s="4">
        <v>308</v>
      </c>
      <c r="AM153" s="4">
        <v>107</v>
      </c>
      <c r="AN153" s="4">
        <f t="shared" si="44"/>
        <v>0</v>
      </c>
      <c r="AO153" s="4">
        <f t="shared" si="45"/>
        <v>100</v>
      </c>
      <c r="AP153" s="4">
        <v>8427</v>
      </c>
      <c r="AQ153" s="4">
        <v>24219</v>
      </c>
      <c r="AR153" s="4">
        <v>21418</v>
      </c>
      <c r="AS153" s="4">
        <v>9612</v>
      </c>
      <c r="AT153" s="4">
        <v>0</v>
      </c>
      <c r="AU153" s="4">
        <v>0</v>
      </c>
      <c r="AV153" s="4">
        <v>0</v>
      </c>
      <c r="AW153" s="4">
        <v>0</v>
      </c>
      <c r="AX153" s="4" t="str">
        <f t="shared" si="46"/>
        <v>N/A</v>
      </c>
      <c r="AY153" s="4" t="str">
        <f t="shared" si="47"/>
        <v>N/A</v>
      </c>
      <c r="AZ153" s="4">
        <v>23737</v>
      </c>
      <c r="BA153" s="4">
        <v>13804</v>
      </c>
      <c r="BB153" s="4">
        <v>11635</v>
      </c>
      <c r="BC153" s="4">
        <v>1367</v>
      </c>
      <c r="BD153" s="5">
        <v>13796.137057</v>
      </c>
      <c r="BE153" s="5">
        <v>12924.848484</v>
      </c>
      <c r="BF153" s="5">
        <v>17845.238095000001</v>
      </c>
      <c r="BG153" s="5">
        <f t="shared" si="48"/>
        <v>119</v>
      </c>
      <c r="BH153" s="5">
        <v>15639.8</v>
      </c>
      <c r="BK153" s="5">
        <f t="shared" si="49"/>
        <v>34</v>
      </c>
      <c r="BL153" s="5">
        <v>9219.4772069999999</v>
      </c>
      <c r="BM153" s="5">
        <v>4830.3472215000002</v>
      </c>
      <c r="BN153" s="5">
        <v>13657.142857000001</v>
      </c>
      <c r="BO153" s="5">
        <v>7692.3149169999997</v>
      </c>
      <c r="BP153" s="5">
        <v>1016.622222</v>
      </c>
      <c r="BQ153" s="5">
        <v>0</v>
      </c>
      <c r="BR153" s="5">
        <v>10571.237112999999</v>
      </c>
      <c r="BS153" s="5">
        <v>4525.6289299999999</v>
      </c>
      <c r="BT153" s="5">
        <v>17545.036591</v>
      </c>
      <c r="BU153" s="5">
        <v>15133.233333</v>
      </c>
      <c r="BV153" s="5">
        <v>23429.45</v>
      </c>
      <c r="BW153" s="5">
        <v>19471.908211999998</v>
      </c>
      <c r="BX153" s="5">
        <v>43</v>
      </c>
      <c r="BY153" s="5">
        <v>25</v>
      </c>
      <c r="BZ153" s="5">
        <v>2</v>
      </c>
      <c r="CA153" s="5">
        <v>2</v>
      </c>
      <c r="CD153" s="143">
        <v>0.18747730738508461</v>
      </c>
      <c r="CE153" s="143">
        <v>0.14680220706150959</v>
      </c>
      <c r="CF153" s="143">
        <v>197655481.65000001</v>
      </c>
      <c r="CG153" s="144">
        <v>87.4</v>
      </c>
      <c r="CH153" s="144">
        <v>7.8</v>
      </c>
      <c r="CI153" s="144">
        <v>2.8</v>
      </c>
      <c r="CJ153" s="144">
        <v>90.4</v>
      </c>
      <c r="CK153" s="144">
        <v>5.7</v>
      </c>
      <c r="CL153" s="144">
        <v>1.6</v>
      </c>
      <c r="CM153" s="144">
        <v>98</v>
      </c>
      <c r="CN153" s="144">
        <v>97.7</v>
      </c>
    </row>
    <row r="155" spans="1:92" x14ac:dyDescent="0.3">
      <c r="A155" t="s">
        <v>257</v>
      </c>
      <c r="W155" s="4">
        <f>COUNT(Qual_P_PropRanks)</f>
        <v>141</v>
      </c>
      <c r="AO155" s="4">
        <f>COUNT(Qual_KS2_PropRanks)</f>
        <v>139</v>
      </c>
      <c r="CJ155" s="144">
        <f>MIN(Pref_S_1)</f>
        <v>55.3</v>
      </c>
      <c r="CM155" s="144">
        <f>MIN(Pref_P_T3)</f>
        <v>75.900000000000006</v>
      </c>
      <c r="CN155" s="144">
        <f>MIN(Pref_S_T3)</f>
        <v>79.099999999999994</v>
      </c>
    </row>
  </sheetData>
  <autoFilter ref="A1:CC153">
    <sortState ref="A2:CC153">
      <sortCondition ref="A1"/>
    </sortState>
  </autoFilter>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B15"/>
  <sheetViews>
    <sheetView workbookViewId="0">
      <selection activeCell="B16" sqref="B16"/>
    </sheetView>
  </sheetViews>
  <sheetFormatPr defaultColWidth="8.88671875" defaultRowHeight="14.4" x14ac:dyDescent="0.3"/>
  <cols>
    <col min="1" max="1" width="26.109375" style="24" bestFit="1" customWidth="1"/>
    <col min="2" max="2" width="137.6640625" style="124" bestFit="1" customWidth="1"/>
    <col min="3" max="16384" width="8.88671875" style="24"/>
  </cols>
  <sheetData>
    <row r="1" spans="1:2" ht="15" x14ac:dyDescent="0.25">
      <c r="A1" s="24" t="s">
        <v>317</v>
      </c>
    </row>
    <row r="2" spans="1:2" ht="15" x14ac:dyDescent="0.25">
      <c r="A2" s="24" t="s">
        <v>316</v>
      </c>
    </row>
    <row r="4" spans="1:2" ht="15" x14ac:dyDescent="0.25">
      <c r="A4" s="24" t="s">
        <v>315</v>
      </c>
      <c r="B4" s="124" t="s">
        <v>160</v>
      </c>
    </row>
    <row r="5" spans="1:2" ht="15" x14ac:dyDescent="0.25">
      <c r="A5" s="24">
        <v>0.1</v>
      </c>
      <c r="B5" s="124" t="s">
        <v>314</v>
      </c>
    </row>
    <row r="6" spans="1:2" ht="30" x14ac:dyDescent="0.25">
      <c r="A6" s="24">
        <v>0.2</v>
      </c>
      <c r="B6" s="124" t="s">
        <v>313</v>
      </c>
    </row>
    <row r="7" spans="1:2" ht="15" x14ac:dyDescent="0.25">
      <c r="A7" s="24">
        <v>0.3</v>
      </c>
      <c r="B7" s="124" t="s">
        <v>312</v>
      </c>
    </row>
    <row r="8" spans="1:2" ht="15" x14ac:dyDescent="0.25">
      <c r="A8" s="24">
        <v>0.4</v>
      </c>
      <c r="B8" s="124" t="s">
        <v>311</v>
      </c>
    </row>
    <row r="9" spans="1:2" ht="75" x14ac:dyDescent="0.25">
      <c r="A9" s="24">
        <v>0.5</v>
      </c>
      <c r="B9" s="124" t="s">
        <v>310</v>
      </c>
    </row>
    <row r="10" spans="1:2" ht="30" x14ac:dyDescent="0.25">
      <c r="A10" s="24">
        <v>0.6</v>
      </c>
      <c r="B10" s="124" t="s">
        <v>321</v>
      </c>
    </row>
    <row r="11" spans="1:2" ht="15" x14ac:dyDescent="0.25">
      <c r="A11" s="24">
        <v>0.7</v>
      </c>
      <c r="B11" s="124" t="s">
        <v>339</v>
      </c>
    </row>
    <row r="12" spans="1:2" ht="15" x14ac:dyDescent="0.25">
      <c r="A12" s="24">
        <v>0.8</v>
      </c>
      <c r="B12" s="124" t="s">
        <v>342</v>
      </c>
    </row>
    <row r="13" spans="1:2" ht="15" x14ac:dyDescent="0.25">
      <c r="A13" s="24">
        <v>0.9</v>
      </c>
      <c r="B13" s="124" t="s">
        <v>343</v>
      </c>
    </row>
    <row r="14" spans="1:2" ht="15" x14ac:dyDescent="0.25">
      <c r="A14" s="154" t="s">
        <v>361</v>
      </c>
      <c r="B14" s="124" t="s">
        <v>410</v>
      </c>
    </row>
    <row r="15" spans="1:2" ht="15" x14ac:dyDescent="0.25">
      <c r="A15" s="24">
        <v>0.11</v>
      </c>
      <c r="B15" s="124" t="s">
        <v>501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H45"/>
  <sheetViews>
    <sheetView zoomScale="80" zoomScaleNormal="80" workbookViewId="0">
      <pane ySplit="3" topLeftCell="A4" activePane="bottomLeft" state="frozen"/>
      <selection pane="bottomLeft" activeCell="F4" sqref="F4"/>
    </sheetView>
  </sheetViews>
  <sheetFormatPr defaultColWidth="0" defaultRowHeight="14.4" zeroHeight="1" x14ac:dyDescent="0.3"/>
  <cols>
    <col min="1" max="1" width="2.6640625" style="201" customWidth="1"/>
    <col min="2" max="2" width="30.33203125" style="191" customWidth="1"/>
    <col min="3" max="3" width="27.44140625" style="191" customWidth="1"/>
    <col min="4" max="4" width="24.33203125" style="191" customWidth="1"/>
    <col min="5" max="5" width="23.5546875" style="191" customWidth="1"/>
    <col min="6" max="6" width="87.6640625" style="191" customWidth="1"/>
    <col min="7" max="7" width="44.44140625" style="191" bestFit="1" customWidth="1"/>
    <col min="8" max="8" width="4.5546875" style="201" customWidth="1"/>
    <col min="9" max="16384" width="8.88671875" style="201" hidden="1"/>
  </cols>
  <sheetData>
    <row r="1" spans="1:8" s="24" customFormat="1" ht="27" customHeight="1" x14ac:dyDescent="0.25">
      <c r="A1" s="1"/>
      <c r="B1" s="193" t="s">
        <v>413</v>
      </c>
      <c r="C1" s="194"/>
      <c r="D1" s="195"/>
      <c r="E1" s="195"/>
      <c r="F1" s="195"/>
      <c r="G1" s="195"/>
      <c r="H1" s="1"/>
    </row>
    <row r="2" spans="1:8" s="24" customFormat="1" ht="15" x14ac:dyDescent="0.25">
      <c r="A2" s="1"/>
      <c r="B2" s="195"/>
      <c r="C2" s="195"/>
      <c r="D2" s="195"/>
      <c r="E2" s="195"/>
      <c r="F2" s="195"/>
      <c r="G2" s="195"/>
      <c r="H2" s="1"/>
    </row>
    <row r="3" spans="1:8" s="24" customFormat="1" ht="30.75" thickBot="1" x14ac:dyDescent="0.3">
      <c r="A3" s="1"/>
      <c r="B3" s="196" t="s">
        <v>414</v>
      </c>
      <c r="C3" s="196" t="s">
        <v>415</v>
      </c>
      <c r="D3" s="196" t="s">
        <v>416</v>
      </c>
      <c r="E3" s="196" t="s">
        <v>417</v>
      </c>
      <c r="F3" s="196" t="s">
        <v>399</v>
      </c>
      <c r="G3" s="196" t="s">
        <v>418</v>
      </c>
      <c r="H3" s="1"/>
    </row>
    <row r="4" spans="1:8" ht="115.8" thickBot="1" x14ac:dyDescent="0.35">
      <c r="A4" s="197"/>
      <c r="B4" s="198" t="s">
        <v>419</v>
      </c>
      <c r="C4" s="199" t="s">
        <v>519</v>
      </c>
      <c r="D4" s="199"/>
      <c r="E4" s="269" t="s">
        <v>420</v>
      </c>
      <c r="F4" s="199" t="s">
        <v>520</v>
      </c>
      <c r="G4" s="200" t="s">
        <v>421</v>
      </c>
      <c r="H4" s="197"/>
    </row>
    <row r="5" spans="1:8" ht="15.75" thickBot="1" x14ac:dyDescent="0.3">
      <c r="A5" s="197"/>
      <c r="B5" s="202"/>
      <c r="C5" s="202"/>
      <c r="D5" s="202"/>
      <c r="E5" s="202"/>
      <c r="F5" s="202"/>
      <c r="G5" s="202"/>
      <c r="H5" s="197"/>
    </row>
    <row r="6" spans="1:8" ht="67.2" customHeight="1" x14ac:dyDescent="0.3">
      <c r="A6" s="197"/>
      <c r="B6" s="314" t="s">
        <v>422</v>
      </c>
      <c r="C6" s="316" t="s">
        <v>521</v>
      </c>
      <c r="D6" s="203" t="s">
        <v>522</v>
      </c>
      <c r="E6" s="271" t="s">
        <v>423</v>
      </c>
      <c r="F6" s="203" t="s">
        <v>424</v>
      </c>
      <c r="G6" s="318" t="s">
        <v>505</v>
      </c>
      <c r="H6" s="197"/>
    </row>
    <row r="7" spans="1:8" ht="173.4" thickBot="1" x14ac:dyDescent="0.35">
      <c r="A7" s="197"/>
      <c r="B7" s="315"/>
      <c r="C7" s="317"/>
      <c r="D7" s="204" t="s">
        <v>523</v>
      </c>
      <c r="E7" s="270" t="s">
        <v>425</v>
      </c>
      <c r="F7" s="204" t="s">
        <v>426</v>
      </c>
      <c r="G7" s="319"/>
      <c r="H7" s="197"/>
    </row>
    <row r="8" spans="1:8" ht="15.75" thickBot="1" x14ac:dyDescent="0.3">
      <c r="A8" s="197"/>
      <c r="B8" s="202"/>
      <c r="C8" s="202"/>
      <c r="D8" s="202"/>
      <c r="E8" s="202"/>
      <c r="F8" s="202"/>
      <c r="G8" s="202"/>
      <c r="H8" s="197"/>
    </row>
    <row r="9" spans="1:8" ht="63" customHeight="1" x14ac:dyDescent="0.3">
      <c r="A9" s="197"/>
      <c r="B9" s="314" t="s">
        <v>427</v>
      </c>
      <c r="C9" s="316" t="s">
        <v>524</v>
      </c>
      <c r="D9" s="203" t="s">
        <v>428</v>
      </c>
      <c r="E9" s="271" t="s">
        <v>429</v>
      </c>
      <c r="F9" s="316" t="s">
        <v>525</v>
      </c>
      <c r="G9" s="318" t="s">
        <v>506</v>
      </c>
      <c r="H9" s="197"/>
    </row>
    <row r="10" spans="1:8" ht="57.6" x14ac:dyDescent="0.3">
      <c r="A10" s="197"/>
      <c r="B10" s="320"/>
      <c r="C10" s="321"/>
      <c r="D10" s="205" t="s">
        <v>430</v>
      </c>
      <c r="E10" s="272" t="s">
        <v>431</v>
      </c>
      <c r="F10" s="321"/>
      <c r="G10" s="322"/>
      <c r="H10" s="197"/>
    </row>
    <row r="11" spans="1:8" ht="201.6" customHeight="1" x14ac:dyDescent="0.3">
      <c r="A11" s="197"/>
      <c r="B11" s="320"/>
      <c r="C11" s="321" t="s">
        <v>526</v>
      </c>
      <c r="D11" s="205" t="s">
        <v>527</v>
      </c>
      <c r="E11" s="272" t="s">
        <v>432</v>
      </c>
      <c r="F11" s="205" t="s">
        <v>433</v>
      </c>
      <c r="G11" s="322" t="s">
        <v>507</v>
      </c>
      <c r="H11" s="197"/>
    </row>
    <row r="12" spans="1:8" ht="43.2" x14ac:dyDescent="0.3">
      <c r="A12" s="197"/>
      <c r="B12" s="320"/>
      <c r="C12" s="321"/>
      <c r="D12" s="205" t="s">
        <v>434</v>
      </c>
      <c r="E12" s="205" t="s">
        <v>435</v>
      </c>
      <c r="F12" s="205" t="s">
        <v>436</v>
      </c>
      <c r="G12" s="322"/>
      <c r="H12" s="197"/>
    </row>
    <row r="13" spans="1:8" ht="86.4" x14ac:dyDescent="0.3">
      <c r="A13" s="197"/>
      <c r="B13" s="320"/>
      <c r="C13" s="321"/>
      <c r="D13" s="205" t="s">
        <v>437</v>
      </c>
      <c r="E13" s="205" t="s">
        <v>435</v>
      </c>
      <c r="F13" s="205" t="s">
        <v>528</v>
      </c>
      <c r="G13" s="322"/>
      <c r="H13" s="197"/>
    </row>
    <row r="14" spans="1:8" ht="72" x14ac:dyDescent="0.3">
      <c r="A14" s="197"/>
      <c r="B14" s="320"/>
      <c r="C14" s="321"/>
      <c r="D14" s="205" t="s">
        <v>529</v>
      </c>
      <c r="E14" s="205"/>
      <c r="F14" s="205" t="s">
        <v>530</v>
      </c>
      <c r="G14" s="322"/>
      <c r="H14" s="197"/>
    </row>
    <row r="15" spans="1:8" ht="187.2" x14ac:dyDescent="0.3">
      <c r="A15" s="197"/>
      <c r="B15" s="320"/>
      <c r="C15" s="205" t="s">
        <v>439</v>
      </c>
      <c r="D15" s="205" t="s">
        <v>440</v>
      </c>
      <c r="E15" s="205" t="s">
        <v>538</v>
      </c>
      <c r="F15" s="205" t="s">
        <v>531</v>
      </c>
      <c r="G15" s="206" t="s">
        <v>508</v>
      </c>
      <c r="H15" s="197"/>
    </row>
    <row r="16" spans="1:8" ht="100.95" customHeight="1" x14ac:dyDescent="0.3">
      <c r="A16" s="197"/>
      <c r="B16" s="320"/>
      <c r="C16" s="321" t="s">
        <v>441</v>
      </c>
      <c r="D16" s="205" t="s">
        <v>442</v>
      </c>
      <c r="E16" s="323" t="s">
        <v>438</v>
      </c>
      <c r="F16" s="321" t="s">
        <v>532</v>
      </c>
      <c r="G16" s="322" t="s">
        <v>509</v>
      </c>
      <c r="H16" s="197"/>
    </row>
    <row r="17" spans="1:8" ht="28.8" x14ac:dyDescent="0.3">
      <c r="A17" s="197"/>
      <c r="B17" s="320"/>
      <c r="C17" s="321"/>
      <c r="D17" s="205" t="s">
        <v>443</v>
      </c>
      <c r="E17" s="323"/>
      <c r="F17" s="321"/>
      <c r="G17" s="322"/>
      <c r="H17" s="197"/>
    </row>
    <row r="18" spans="1:8" ht="57.6" x14ac:dyDescent="0.3">
      <c r="A18" s="197"/>
      <c r="B18" s="320"/>
      <c r="C18" s="321" t="s">
        <v>444</v>
      </c>
      <c r="D18" s="205" t="s">
        <v>445</v>
      </c>
      <c r="E18" s="323" t="s">
        <v>438</v>
      </c>
      <c r="F18" s="321" t="s">
        <v>533</v>
      </c>
      <c r="G18" s="322" t="s">
        <v>510</v>
      </c>
      <c r="H18" s="197"/>
    </row>
    <row r="19" spans="1:8" ht="51" customHeight="1" thickBot="1" x14ac:dyDescent="0.35">
      <c r="A19" s="197"/>
      <c r="B19" s="315"/>
      <c r="C19" s="317"/>
      <c r="D19" s="204" t="s">
        <v>443</v>
      </c>
      <c r="E19" s="324"/>
      <c r="F19" s="317"/>
      <c r="G19" s="319"/>
      <c r="H19" s="197"/>
    </row>
    <row r="20" spans="1:8" ht="15" thickBot="1" x14ac:dyDescent="0.35">
      <c r="A20" s="197"/>
      <c r="B20" s="202"/>
      <c r="C20" s="202"/>
      <c r="D20" s="202"/>
      <c r="E20" s="202"/>
      <c r="F20" s="202"/>
      <c r="G20" s="202"/>
      <c r="H20" s="197"/>
    </row>
    <row r="21" spans="1:8" ht="130.19999999999999" thickBot="1" x14ac:dyDescent="0.35">
      <c r="A21" s="197"/>
      <c r="B21" s="207" t="s">
        <v>323</v>
      </c>
      <c r="C21" s="199" t="s">
        <v>446</v>
      </c>
      <c r="D21" s="199"/>
      <c r="E21" s="269" t="s">
        <v>438</v>
      </c>
      <c r="F21" s="199" t="s">
        <v>447</v>
      </c>
      <c r="G21" s="211" t="s">
        <v>511</v>
      </c>
      <c r="H21" s="197"/>
    </row>
    <row r="22" spans="1:8" ht="15" thickBot="1" x14ac:dyDescent="0.35">
      <c r="A22" s="197"/>
      <c r="B22" s="202"/>
      <c r="C22" s="202"/>
      <c r="D22" s="202"/>
      <c r="E22" s="202"/>
      <c r="F22" s="202"/>
      <c r="G22" s="202"/>
      <c r="H22" s="197"/>
    </row>
    <row r="23" spans="1:8" ht="264.60000000000002" customHeight="1" x14ac:dyDescent="0.3">
      <c r="A23" s="197"/>
      <c r="B23" s="314" t="s">
        <v>448</v>
      </c>
      <c r="C23" s="316" t="s">
        <v>449</v>
      </c>
      <c r="D23" s="203" t="s">
        <v>450</v>
      </c>
      <c r="E23" s="271" t="s">
        <v>451</v>
      </c>
      <c r="F23" s="316" t="s">
        <v>534</v>
      </c>
      <c r="G23" s="318" t="s">
        <v>512</v>
      </c>
      <c r="H23" s="197"/>
    </row>
    <row r="24" spans="1:8" ht="87.6" customHeight="1" x14ac:dyDescent="0.3">
      <c r="A24" s="197"/>
      <c r="B24" s="320"/>
      <c r="C24" s="321"/>
      <c r="D24" s="205" t="s">
        <v>452</v>
      </c>
      <c r="E24" s="272" t="s">
        <v>453</v>
      </c>
      <c r="F24" s="321"/>
      <c r="G24" s="322"/>
      <c r="H24" s="197"/>
    </row>
    <row r="25" spans="1:8" ht="100.8" x14ac:dyDescent="0.3">
      <c r="A25" s="197"/>
      <c r="B25" s="320"/>
      <c r="C25" s="321" t="s">
        <v>454</v>
      </c>
      <c r="D25" s="205" t="s">
        <v>455</v>
      </c>
      <c r="E25" s="272" t="s">
        <v>456</v>
      </c>
      <c r="F25" s="205" t="s">
        <v>457</v>
      </c>
      <c r="G25" s="206" t="s">
        <v>458</v>
      </c>
      <c r="H25" s="197"/>
    </row>
    <row r="26" spans="1:8" ht="158.4" x14ac:dyDescent="0.3">
      <c r="A26" s="197"/>
      <c r="B26" s="320"/>
      <c r="C26" s="321"/>
      <c r="D26" s="205" t="s">
        <v>459</v>
      </c>
      <c r="E26" s="272" t="s">
        <v>460</v>
      </c>
      <c r="F26" s="205" t="s">
        <v>461</v>
      </c>
      <c r="G26" s="206" t="s">
        <v>462</v>
      </c>
      <c r="H26" s="197"/>
    </row>
    <row r="27" spans="1:8" ht="72" x14ac:dyDescent="0.3">
      <c r="A27" s="197"/>
      <c r="B27" s="320"/>
      <c r="C27" s="205" t="s">
        <v>463</v>
      </c>
      <c r="D27" s="205" t="s">
        <v>464</v>
      </c>
      <c r="E27" s="205"/>
      <c r="F27" s="205" t="s">
        <v>465</v>
      </c>
      <c r="G27" s="206" t="s">
        <v>513</v>
      </c>
      <c r="H27" s="197"/>
    </row>
    <row r="28" spans="1:8" ht="72" x14ac:dyDescent="0.3">
      <c r="A28" s="197"/>
      <c r="B28" s="320"/>
      <c r="C28" s="205" t="s">
        <v>466</v>
      </c>
      <c r="D28" s="205"/>
      <c r="E28" s="205"/>
      <c r="F28" s="205" t="s">
        <v>467</v>
      </c>
      <c r="G28" s="206" t="s">
        <v>514</v>
      </c>
      <c r="H28" s="197"/>
    </row>
    <row r="29" spans="1:8" ht="86.4" x14ac:dyDescent="0.3">
      <c r="A29" s="197"/>
      <c r="B29" s="320"/>
      <c r="C29" s="205" t="s">
        <v>468</v>
      </c>
      <c r="D29" s="205" t="s">
        <v>469</v>
      </c>
      <c r="E29" s="205"/>
      <c r="F29" s="205" t="s">
        <v>470</v>
      </c>
      <c r="G29" s="206" t="s">
        <v>515</v>
      </c>
      <c r="H29" s="197"/>
    </row>
    <row r="30" spans="1:8" ht="115.2" x14ac:dyDescent="0.3">
      <c r="A30" s="197"/>
      <c r="B30" s="320"/>
      <c r="C30" s="205" t="s">
        <v>471</v>
      </c>
      <c r="D30" s="205"/>
      <c r="E30" s="205"/>
      <c r="F30" s="205" t="s">
        <v>472</v>
      </c>
      <c r="G30" s="206" t="s">
        <v>516</v>
      </c>
      <c r="H30" s="197"/>
    </row>
    <row r="31" spans="1:8" ht="72" customHeight="1" x14ac:dyDescent="0.3">
      <c r="A31" s="197"/>
      <c r="B31" s="320"/>
      <c r="C31" s="321" t="s">
        <v>473</v>
      </c>
      <c r="D31" s="205" t="s">
        <v>474</v>
      </c>
      <c r="E31" s="321"/>
      <c r="F31" s="321" t="s">
        <v>475</v>
      </c>
      <c r="G31" s="206" t="s">
        <v>476</v>
      </c>
      <c r="H31" s="197"/>
    </row>
    <row r="32" spans="1:8" ht="97.95" customHeight="1" x14ac:dyDescent="0.3">
      <c r="A32" s="197"/>
      <c r="B32" s="320"/>
      <c r="C32" s="321"/>
      <c r="D32" s="205" t="s">
        <v>477</v>
      </c>
      <c r="E32" s="321"/>
      <c r="F32" s="321"/>
      <c r="G32" s="206" t="s">
        <v>478</v>
      </c>
      <c r="H32" s="197"/>
    </row>
    <row r="33" spans="1:8" ht="108.6" customHeight="1" x14ac:dyDescent="0.3">
      <c r="A33" s="197"/>
      <c r="B33" s="320"/>
      <c r="C33" s="321"/>
      <c r="D33" s="205" t="s">
        <v>479</v>
      </c>
      <c r="E33" s="321"/>
      <c r="F33" s="321" t="s">
        <v>480</v>
      </c>
      <c r="G33" s="322" t="s">
        <v>481</v>
      </c>
      <c r="H33" s="197"/>
    </row>
    <row r="34" spans="1:8" ht="108.6" customHeight="1" x14ac:dyDescent="0.3">
      <c r="A34" s="197"/>
      <c r="B34" s="320"/>
      <c r="C34" s="321"/>
      <c r="D34" s="205" t="s">
        <v>482</v>
      </c>
      <c r="E34" s="321"/>
      <c r="F34" s="321"/>
      <c r="G34" s="322"/>
      <c r="H34" s="197"/>
    </row>
    <row r="35" spans="1:8" ht="114" customHeight="1" thickBot="1" x14ac:dyDescent="0.35">
      <c r="A35" s="197"/>
      <c r="B35" s="315"/>
      <c r="C35" s="204" t="s">
        <v>483</v>
      </c>
      <c r="D35" s="204"/>
      <c r="E35" s="204"/>
      <c r="F35" s="204" t="s">
        <v>484</v>
      </c>
      <c r="G35" s="208" t="s">
        <v>485</v>
      </c>
      <c r="H35" s="197"/>
    </row>
    <row r="36" spans="1:8" ht="15" thickBot="1" x14ac:dyDescent="0.35">
      <c r="A36" s="197"/>
      <c r="B36" s="202"/>
      <c r="C36" s="202"/>
      <c r="D36" s="202"/>
      <c r="E36" s="202"/>
      <c r="F36" s="202"/>
      <c r="G36" s="202"/>
      <c r="H36" s="197"/>
    </row>
    <row r="37" spans="1:8" ht="129.6" x14ac:dyDescent="0.3">
      <c r="A37" s="197"/>
      <c r="B37" s="314" t="s">
        <v>486</v>
      </c>
      <c r="C37" s="203" t="s">
        <v>487</v>
      </c>
      <c r="D37" s="203"/>
      <c r="E37" s="203" t="s">
        <v>553</v>
      </c>
      <c r="F37" s="316" t="s">
        <v>535</v>
      </c>
      <c r="G37" s="209" t="s">
        <v>517</v>
      </c>
      <c r="H37" s="197"/>
    </row>
    <row r="38" spans="1:8" ht="86.4" x14ac:dyDescent="0.3">
      <c r="A38" s="197"/>
      <c r="B38" s="320"/>
      <c r="C38" s="205" t="s">
        <v>488</v>
      </c>
      <c r="D38" s="205"/>
      <c r="E38" s="205" t="s">
        <v>553</v>
      </c>
      <c r="F38" s="321"/>
      <c r="G38" s="206" t="s">
        <v>489</v>
      </c>
      <c r="H38" s="197"/>
    </row>
    <row r="39" spans="1:8" ht="86.4" x14ac:dyDescent="0.3">
      <c r="A39" s="197"/>
      <c r="B39" s="320"/>
      <c r="C39" s="205" t="s">
        <v>490</v>
      </c>
      <c r="D39" s="205"/>
      <c r="E39" s="205" t="s">
        <v>553</v>
      </c>
      <c r="F39" s="321"/>
      <c r="G39" s="206" t="s">
        <v>491</v>
      </c>
      <c r="H39" s="197"/>
    </row>
    <row r="40" spans="1:8" ht="100.8" x14ac:dyDescent="0.3">
      <c r="A40" s="197"/>
      <c r="B40" s="320"/>
      <c r="C40" s="321" t="s">
        <v>473</v>
      </c>
      <c r="D40" s="205" t="s">
        <v>492</v>
      </c>
      <c r="E40" s="205"/>
      <c r="F40" s="205" t="s">
        <v>536</v>
      </c>
      <c r="G40" s="206" t="s">
        <v>493</v>
      </c>
      <c r="H40" s="197"/>
    </row>
    <row r="41" spans="1:8" ht="144" x14ac:dyDescent="0.3">
      <c r="A41" s="197"/>
      <c r="B41" s="320"/>
      <c r="C41" s="321"/>
      <c r="D41" s="205" t="s">
        <v>494</v>
      </c>
      <c r="E41" s="272" t="s">
        <v>495</v>
      </c>
      <c r="F41" s="205" t="s">
        <v>537</v>
      </c>
      <c r="G41" s="206" t="s">
        <v>496</v>
      </c>
      <c r="H41" s="197"/>
    </row>
    <row r="42" spans="1:8" ht="43.8" thickBot="1" x14ac:dyDescent="0.35">
      <c r="A42" s="197"/>
      <c r="B42" s="315"/>
      <c r="C42" s="204" t="s">
        <v>497</v>
      </c>
      <c r="D42" s="204" t="s">
        <v>498</v>
      </c>
      <c r="E42" s="204"/>
      <c r="F42" s="204" t="s">
        <v>499</v>
      </c>
      <c r="G42" s="208" t="s">
        <v>500</v>
      </c>
      <c r="H42" s="197"/>
    </row>
    <row r="43" spans="1:8" x14ac:dyDescent="0.3">
      <c r="A43" s="197"/>
      <c r="B43" s="202"/>
      <c r="C43" s="202"/>
      <c r="D43" s="202"/>
      <c r="E43" s="202"/>
      <c r="F43" s="202"/>
      <c r="G43" s="202"/>
      <c r="H43" s="197"/>
    </row>
    <row r="44" spans="1:8" ht="15" hidden="1" x14ac:dyDescent="0.25"/>
    <row r="45" spans="1:8" ht="15" hidden="1" x14ac:dyDescent="0.25"/>
  </sheetData>
  <sheetProtection password="A229" sheet="1" objects="1" scenarios="1"/>
  <mergeCells count="30">
    <mergeCell ref="B37:B42"/>
    <mergeCell ref="F37:F39"/>
    <mergeCell ref="C40:C41"/>
    <mergeCell ref="B23:B35"/>
    <mergeCell ref="C23:C24"/>
    <mergeCell ref="F23:F24"/>
    <mergeCell ref="G18:G19"/>
    <mergeCell ref="G23:G24"/>
    <mergeCell ref="C25:C26"/>
    <mergeCell ref="C31:C34"/>
    <mergeCell ref="E31:E34"/>
    <mergeCell ref="F31:F32"/>
    <mergeCell ref="F33:F34"/>
    <mergeCell ref="G33:G34"/>
    <mergeCell ref="B6:B7"/>
    <mergeCell ref="C6:C7"/>
    <mergeCell ref="G6:G7"/>
    <mergeCell ref="B9:B19"/>
    <mergeCell ref="C9:C10"/>
    <mergeCell ref="F9:F10"/>
    <mergeCell ref="G9:G10"/>
    <mergeCell ref="C11:C14"/>
    <mergeCell ref="G11:G14"/>
    <mergeCell ref="C16:C17"/>
    <mergeCell ref="E16:E17"/>
    <mergeCell ref="F16:F17"/>
    <mergeCell ref="G16:G17"/>
    <mergeCell ref="C18:C19"/>
    <mergeCell ref="E18:E19"/>
    <mergeCell ref="F18:F19"/>
  </mergeCells>
  <hyperlinks>
    <hyperlink ref="E4" r:id="rId1"/>
    <hyperlink ref="E7" r:id="rId2"/>
    <hyperlink ref="E6" r:id="rId3"/>
    <hyperlink ref="E9" r:id="rId4"/>
    <hyperlink ref="E10" r:id="rId5"/>
    <hyperlink ref="E11" r:id="rId6"/>
    <hyperlink ref="E16:E17" r:id="rId7" display="Published in summary tables."/>
    <hyperlink ref="E18:E19" r:id="rId8" display="Published in summary tables."/>
    <hyperlink ref="E21" r:id="rId9"/>
    <hyperlink ref="E23" r:id="rId10"/>
    <hyperlink ref="E24" r:id="rId11"/>
    <hyperlink ref="E25" r:id="rId12"/>
    <hyperlink ref="E26" r:id="rId13"/>
    <hyperlink ref="E41" location="'Statistical Neighbours'!A1" display="1. Statistical neighbours for each LA are identified in the 'Stats Neighbours Sheet."/>
  </hyperlinks>
  <pageMargins left="0.7" right="0.7" top="0.75" bottom="0.75" header="0.3" footer="0.3"/>
  <pageSetup paperSize="9" orientation="portrait" r:id="rId1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AR161"/>
  <sheetViews>
    <sheetView showGridLines="0" workbookViewId="0">
      <pane xSplit="3" ySplit="3" topLeftCell="D4" activePane="bottomRight" state="frozen"/>
      <selection pane="topRight" activeCell="D1" sqref="D1"/>
      <selection pane="bottomLeft" activeCell="A3" sqref="A3"/>
      <selection pane="bottomRight"/>
    </sheetView>
  </sheetViews>
  <sheetFormatPr defaultColWidth="8.88671875" defaultRowHeight="14.4" x14ac:dyDescent="0.3"/>
  <cols>
    <col min="1" max="1" width="10.6640625" style="221" customWidth="1"/>
    <col min="2" max="2" width="25.88671875" style="221" bestFit="1" customWidth="1"/>
    <col min="3" max="3" width="26.33203125" style="221" bestFit="1" customWidth="1"/>
    <col min="4" max="44" width="23.6640625" style="221" customWidth="1"/>
    <col min="45" max="16384" width="8.88671875" style="221"/>
  </cols>
  <sheetData>
    <row r="1" spans="1:44" ht="7.95" customHeight="1" thickBot="1" x14ac:dyDescent="0.3"/>
    <row r="2" spans="1:44" s="222" customFormat="1" ht="15.75" thickBot="1" x14ac:dyDescent="0.3">
      <c r="D2" s="325" t="s">
        <v>358</v>
      </c>
      <c r="E2" s="326"/>
      <c r="F2" s="326"/>
      <c r="G2" s="326"/>
      <c r="H2" s="325" t="s">
        <v>354</v>
      </c>
      <c r="I2" s="326"/>
      <c r="J2" s="326"/>
      <c r="K2" s="327"/>
      <c r="L2" s="325" t="s">
        <v>362</v>
      </c>
      <c r="M2" s="326"/>
      <c r="N2" s="326"/>
      <c r="O2" s="326"/>
      <c r="P2" s="327"/>
      <c r="Q2" s="325" t="s">
        <v>502</v>
      </c>
      <c r="R2" s="326"/>
      <c r="S2" s="326"/>
      <c r="T2" s="327"/>
      <c r="U2" s="325" t="s">
        <v>367</v>
      </c>
      <c r="V2" s="326"/>
      <c r="W2" s="326"/>
      <c r="X2" s="326"/>
      <c r="Y2" s="326"/>
      <c r="Z2" s="326"/>
      <c r="AA2" s="326"/>
      <c r="AB2" s="326"/>
      <c r="AC2" s="326"/>
      <c r="AD2" s="326"/>
      <c r="AE2" s="325" t="s">
        <v>375</v>
      </c>
      <c r="AF2" s="326"/>
      <c r="AG2" s="326"/>
      <c r="AH2" s="326"/>
      <c r="AI2" s="326"/>
      <c r="AJ2" s="326"/>
      <c r="AK2" s="326"/>
      <c r="AL2" s="327"/>
      <c r="AM2" s="325" t="s">
        <v>383</v>
      </c>
      <c r="AN2" s="326"/>
      <c r="AO2" s="326"/>
      <c r="AP2" s="326"/>
      <c r="AQ2" s="326"/>
      <c r="AR2" s="327"/>
    </row>
    <row r="3" spans="1:44" ht="75.75" thickBot="1" x14ac:dyDescent="0.3">
      <c r="A3" s="223" t="s">
        <v>403</v>
      </c>
      <c r="B3" s="224" t="s">
        <v>404</v>
      </c>
      <c r="C3" s="225" t="s">
        <v>344</v>
      </c>
      <c r="D3" s="226" t="s">
        <v>405</v>
      </c>
      <c r="E3" s="227" t="s">
        <v>359</v>
      </c>
      <c r="F3" s="227" t="s">
        <v>360</v>
      </c>
      <c r="G3" s="227" t="s">
        <v>390</v>
      </c>
      <c r="H3" s="226" t="s">
        <v>355</v>
      </c>
      <c r="I3" s="227" t="s">
        <v>356</v>
      </c>
      <c r="J3" s="227" t="s">
        <v>357</v>
      </c>
      <c r="K3" s="228" t="s">
        <v>406</v>
      </c>
      <c r="L3" s="226" t="s">
        <v>363</v>
      </c>
      <c r="M3" s="227" t="s">
        <v>391</v>
      </c>
      <c r="N3" s="227" t="s">
        <v>407</v>
      </c>
      <c r="O3" s="227" t="s">
        <v>364</v>
      </c>
      <c r="P3" s="228" t="s">
        <v>408</v>
      </c>
      <c r="Q3" s="226" t="s">
        <v>365</v>
      </c>
      <c r="R3" s="227" t="s">
        <v>392</v>
      </c>
      <c r="S3" s="227" t="s">
        <v>366</v>
      </c>
      <c r="T3" s="228" t="s">
        <v>393</v>
      </c>
      <c r="U3" s="226" t="s">
        <v>368</v>
      </c>
      <c r="V3" s="227" t="s">
        <v>394</v>
      </c>
      <c r="W3" s="227" t="s">
        <v>369</v>
      </c>
      <c r="X3" s="227" t="s">
        <v>370</v>
      </c>
      <c r="Y3" s="227" t="s">
        <v>395</v>
      </c>
      <c r="Z3" s="227" t="s">
        <v>371</v>
      </c>
      <c r="AA3" s="227" t="s">
        <v>396</v>
      </c>
      <c r="AB3" s="227" t="s">
        <v>372</v>
      </c>
      <c r="AC3" s="227" t="s">
        <v>373</v>
      </c>
      <c r="AD3" s="227" t="s">
        <v>374</v>
      </c>
      <c r="AE3" s="226" t="s">
        <v>376</v>
      </c>
      <c r="AF3" s="227" t="s">
        <v>377</v>
      </c>
      <c r="AG3" s="227" t="s">
        <v>378</v>
      </c>
      <c r="AH3" s="227" t="s">
        <v>397</v>
      </c>
      <c r="AI3" s="227" t="s">
        <v>379</v>
      </c>
      <c r="AJ3" s="227" t="s">
        <v>380</v>
      </c>
      <c r="AK3" s="227" t="s">
        <v>381</v>
      </c>
      <c r="AL3" s="228" t="s">
        <v>398</v>
      </c>
      <c r="AM3" s="226" t="s">
        <v>386</v>
      </c>
      <c r="AN3" s="227" t="s">
        <v>387</v>
      </c>
      <c r="AO3" s="227" t="s">
        <v>388</v>
      </c>
      <c r="AP3" s="227" t="s">
        <v>384</v>
      </c>
      <c r="AQ3" s="227" t="s">
        <v>389</v>
      </c>
      <c r="AR3" s="228" t="s">
        <v>385</v>
      </c>
    </row>
    <row r="4" spans="1:44" ht="15" x14ac:dyDescent="0.25">
      <c r="A4" s="221">
        <v>301</v>
      </c>
      <c r="B4" s="221" t="s">
        <v>1</v>
      </c>
      <c r="C4" s="221" t="s">
        <v>345</v>
      </c>
      <c r="D4" s="229">
        <v>166955585.40000001</v>
      </c>
      <c r="E4" s="230">
        <v>17772</v>
      </c>
      <c r="F4" s="230">
        <v>26552</v>
      </c>
      <c r="G4" s="231">
        <v>0.49403556155750628</v>
      </c>
      <c r="H4" s="232">
        <v>18107</v>
      </c>
      <c r="I4" s="230">
        <v>26191</v>
      </c>
      <c r="J4" s="230">
        <v>4017</v>
      </c>
      <c r="K4" s="233">
        <v>210</v>
      </c>
      <c r="L4" s="232">
        <v>23564</v>
      </c>
      <c r="M4" s="230">
        <v>24264</v>
      </c>
      <c r="N4" s="234">
        <v>2.9706331690000001E-2</v>
      </c>
      <c r="O4" s="230">
        <v>24459</v>
      </c>
      <c r="P4" s="235">
        <v>3.7981666939999999E-2</v>
      </c>
      <c r="Q4" s="236">
        <v>90.7</v>
      </c>
      <c r="R4" s="237">
        <v>4.8</v>
      </c>
      <c r="S4" s="237">
        <v>2.1</v>
      </c>
      <c r="T4" s="238">
        <v>97.6</v>
      </c>
      <c r="U4" s="232">
        <v>0</v>
      </c>
      <c r="V4" s="230">
        <v>30</v>
      </c>
      <c r="W4" s="230">
        <v>0</v>
      </c>
      <c r="X4" s="230">
        <v>0</v>
      </c>
      <c r="Y4" s="230">
        <v>0</v>
      </c>
      <c r="Z4" s="230">
        <v>1406</v>
      </c>
      <c r="AA4" s="230">
        <v>17089</v>
      </c>
      <c r="AB4" s="230">
        <v>6099</v>
      </c>
      <c r="AC4" s="230">
        <v>0</v>
      </c>
      <c r="AD4" s="233">
        <v>0</v>
      </c>
      <c r="AE4" s="232">
        <v>0</v>
      </c>
      <c r="AF4" s="230">
        <v>30</v>
      </c>
      <c r="AG4" s="230">
        <v>0</v>
      </c>
      <c r="AH4" s="230">
        <v>0</v>
      </c>
      <c r="AI4" s="230">
        <v>7921</v>
      </c>
      <c r="AJ4" s="230">
        <v>11118</v>
      </c>
      <c r="AK4" s="230">
        <v>3982</v>
      </c>
      <c r="AL4" s="233">
        <v>1573</v>
      </c>
      <c r="AM4" s="239">
        <v>54968965.307689004</v>
      </c>
      <c r="AN4" s="230">
        <v>5342</v>
      </c>
      <c r="AO4" s="240">
        <v>0</v>
      </c>
      <c r="AP4" s="230">
        <v>0</v>
      </c>
      <c r="AQ4" s="240">
        <v>0</v>
      </c>
      <c r="AR4" s="233">
        <v>0</v>
      </c>
    </row>
    <row r="5" spans="1:44" ht="15" x14ac:dyDescent="0.25">
      <c r="A5" s="221">
        <v>302</v>
      </c>
      <c r="B5" s="221" t="s">
        <v>4</v>
      </c>
      <c r="C5" s="221" t="s">
        <v>345</v>
      </c>
      <c r="D5" s="241">
        <v>100755442.15000001</v>
      </c>
      <c r="E5" s="242">
        <v>24401</v>
      </c>
      <c r="F5" s="242">
        <v>31416</v>
      </c>
      <c r="G5" s="243">
        <v>0.28748821769599608</v>
      </c>
      <c r="H5" s="244">
        <v>25503</v>
      </c>
      <c r="I5" s="242">
        <v>30396</v>
      </c>
      <c r="J5" s="242">
        <v>1760</v>
      </c>
      <c r="K5" s="245">
        <v>500</v>
      </c>
      <c r="L5" s="244">
        <v>28300</v>
      </c>
      <c r="M5" s="242">
        <v>29217</v>
      </c>
      <c r="N5" s="246">
        <v>3.2402826849999997E-2</v>
      </c>
      <c r="O5" s="242">
        <v>29425</v>
      </c>
      <c r="P5" s="247">
        <v>3.9752650170000001E-2</v>
      </c>
      <c r="Q5" s="248">
        <v>80</v>
      </c>
      <c r="R5" s="249">
        <v>7.3</v>
      </c>
      <c r="S5" s="249">
        <v>3.6</v>
      </c>
      <c r="T5" s="250">
        <v>90.9</v>
      </c>
      <c r="U5" s="244">
        <v>138</v>
      </c>
      <c r="V5" s="242">
        <v>140</v>
      </c>
      <c r="W5" s="242">
        <v>0</v>
      </c>
      <c r="X5" s="242">
        <v>0</v>
      </c>
      <c r="Y5" s="242">
        <v>145</v>
      </c>
      <c r="Z5" s="242">
        <v>9095</v>
      </c>
      <c r="AA5" s="242">
        <v>16489</v>
      </c>
      <c r="AB5" s="242">
        <v>1039</v>
      </c>
      <c r="AC5" s="242">
        <v>420</v>
      </c>
      <c r="AD5" s="245">
        <v>1659</v>
      </c>
      <c r="AE5" s="244">
        <v>151</v>
      </c>
      <c r="AF5" s="242">
        <v>248</v>
      </c>
      <c r="AG5" s="242">
        <v>24</v>
      </c>
      <c r="AH5" s="242">
        <v>0</v>
      </c>
      <c r="AI5" s="242">
        <v>11456</v>
      </c>
      <c r="AJ5" s="242">
        <v>11938</v>
      </c>
      <c r="AK5" s="242">
        <v>3051</v>
      </c>
      <c r="AL5" s="245">
        <v>2257</v>
      </c>
      <c r="AM5" s="251">
        <v>20227112.451602001</v>
      </c>
      <c r="AN5" s="242">
        <v>2380</v>
      </c>
      <c r="AO5" s="252">
        <v>5008918</v>
      </c>
      <c r="AP5" s="242">
        <v>1230</v>
      </c>
      <c r="AQ5" s="252">
        <v>12548448</v>
      </c>
      <c r="AR5" s="245">
        <v>630</v>
      </c>
    </row>
    <row r="6" spans="1:44" ht="15" x14ac:dyDescent="0.25">
      <c r="A6" s="221">
        <v>370</v>
      </c>
      <c r="B6" s="221" t="s">
        <v>5</v>
      </c>
      <c r="C6" s="221" t="s">
        <v>346</v>
      </c>
      <c r="D6" s="241">
        <v>16379393.609999999</v>
      </c>
      <c r="E6" s="242">
        <v>16933</v>
      </c>
      <c r="F6" s="242">
        <v>19393</v>
      </c>
      <c r="G6" s="243">
        <v>0.14527845036319609</v>
      </c>
      <c r="H6" s="244">
        <v>19184</v>
      </c>
      <c r="I6" s="242">
        <v>20037</v>
      </c>
      <c r="J6" s="242">
        <v>905</v>
      </c>
      <c r="K6" s="245">
        <v>180</v>
      </c>
      <c r="L6" s="244">
        <v>18802</v>
      </c>
      <c r="M6" s="242">
        <v>18855</v>
      </c>
      <c r="N6" s="246">
        <v>2.8188490499999998E-3</v>
      </c>
      <c r="O6" s="242">
        <v>18710</v>
      </c>
      <c r="P6" s="247">
        <v>-4.8930964700000003E-3</v>
      </c>
      <c r="Q6" s="248">
        <v>90.6</v>
      </c>
      <c r="R6" s="249">
        <v>4.5</v>
      </c>
      <c r="S6" s="249">
        <v>1.2</v>
      </c>
      <c r="T6" s="250">
        <v>96.3</v>
      </c>
      <c r="U6" s="244">
        <v>270</v>
      </c>
      <c r="V6" s="242">
        <v>423</v>
      </c>
      <c r="W6" s="242">
        <v>0</v>
      </c>
      <c r="X6" s="242">
        <v>0</v>
      </c>
      <c r="Y6" s="242">
        <v>0</v>
      </c>
      <c r="Z6" s="242">
        <v>5493</v>
      </c>
      <c r="AA6" s="242">
        <v>9840</v>
      </c>
      <c r="AB6" s="242">
        <v>3171</v>
      </c>
      <c r="AC6" s="242">
        <v>630</v>
      </c>
      <c r="AD6" s="245">
        <v>0</v>
      </c>
      <c r="AE6" s="244">
        <v>217</v>
      </c>
      <c r="AF6" s="242">
        <v>331</v>
      </c>
      <c r="AG6" s="242">
        <v>145</v>
      </c>
      <c r="AH6" s="242">
        <v>0</v>
      </c>
      <c r="AI6" s="242">
        <v>3976</v>
      </c>
      <c r="AJ6" s="242">
        <v>9440</v>
      </c>
      <c r="AK6" s="242">
        <v>5718</v>
      </c>
      <c r="AL6" s="245">
        <v>0</v>
      </c>
      <c r="AM6" s="251">
        <v>8365000</v>
      </c>
      <c r="AN6" s="242">
        <v>925</v>
      </c>
      <c r="AO6" s="252">
        <v>0</v>
      </c>
      <c r="AP6" s="242">
        <v>0</v>
      </c>
      <c r="AQ6" s="252">
        <v>0</v>
      </c>
      <c r="AR6" s="245">
        <v>0</v>
      </c>
    </row>
    <row r="7" spans="1:44" ht="15" x14ac:dyDescent="0.25">
      <c r="A7" s="221">
        <v>800</v>
      </c>
      <c r="B7" s="221" t="s">
        <v>6</v>
      </c>
      <c r="C7" s="221" t="s">
        <v>347</v>
      </c>
      <c r="D7" s="241">
        <v>28404703.350000001</v>
      </c>
      <c r="E7" s="242">
        <v>11504</v>
      </c>
      <c r="F7" s="242">
        <v>13878</v>
      </c>
      <c r="G7" s="243">
        <v>0.20636300417246178</v>
      </c>
      <c r="H7" s="244">
        <v>12808</v>
      </c>
      <c r="I7" s="242">
        <v>13713</v>
      </c>
      <c r="J7" s="242">
        <v>1214</v>
      </c>
      <c r="K7" s="245">
        <v>280</v>
      </c>
      <c r="L7" s="244">
        <v>12431</v>
      </c>
      <c r="M7" s="242">
        <v>12480</v>
      </c>
      <c r="N7" s="246">
        <v>3.9417584999999998E-3</v>
      </c>
      <c r="O7" s="242">
        <v>12473</v>
      </c>
      <c r="P7" s="247">
        <v>3.3786501399999998E-3</v>
      </c>
      <c r="Q7" s="248">
        <v>91.7</v>
      </c>
      <c r="R7" s="249">
        <v>5.0999999999999996</v>
      </c>
      <c r="S7" s="249">
        <v>1.2</v>
      </c>
      <c r="T7" s="250">
        <v>98.1</v>
      </c>
      <c r="U7" s="244">
        <v>73</v>
      </c>
      <c r="V7" s="242">
        <v>170</v>
      </c>
      <c r="W7" s="242">
        <v>60</v>
      </c>
      <c r="X7" s="242">
        <v>0</v>
      </c>
      <c r="Y7" s="242">
        <v>22</v>
      </c>
      <c r="Z7" s="242">
        <v>2876</v>
      </c>
      <c r="AA7" s="242">
        <v>8789</v>
      </c>
      <c r="AB7" s="242">
        <v>1430</v>
      </c>
      <c r="AC7" s="242">
        <v>0</v>
      </c>
      <c r="AD7" s="245">
        <v>293</v>
      </c>
      <c r="AE7" s="244">
        <v>30</v>
      </c>
      <c r="AF7" s="242">
        <v>125</v>
      </c>
      <c r="AG7" s="242">
        <v>88</v>
      </c>
      <c r="AH7" s="242">
        <v>82</v>
      </c>
      <c r="AI7" s="242">
        <v>1078</v>
      </c>
      <c r="AJ7" s="242">
        <v>6306</v>
      </c>
      <c r="AK7" s="242">
        <v>4277</v>
      </c>
      <c r="AL7" s="245">
        <v>1727</v>
      </c>
      <c r="AM7" s="251">
        <v>4341779.3333299998</v>
      </c>
      <c r="AN7" s="242">
        <v>648</v>
      </c>
      <c r="AO7" s="252">
        <v>313000</v>
      </c>
      <c r="AP7" s="242">
        <v>91</v>
      </c>
      <c r="AQ7" s="252">
        <v>0</v>
      </c>
      <c r="AR7" s="245">
        <v>0</v>
      </c>
    </row>
    <row r="8" spans="1:44" ht="15" x14ac:dyDescent="0.25">
      <c r="A8" s="221">
        <v>822</v>
      </c>
      <c r="B8" s="221" t="s">
        <v>7</v>
      </c>
      <c r="C8" s="221" t="s">
        <v>348</v>
      </c>
      <c r="D8" s="241">
        <v>41913045.840000004</v>
      </c>
      <c r="E8" s="242">
        <v>12403</v>
      </c>
      <c r="F8" s="242">
        <v>15318</v>
      </c>
      <c r="G8" s="243">
        <v>0.23502378456824968</v>
      </c>
      <c r="H8" s="244">
        <v>13140</v>
      </c>
      <c r="I8" s="242">
        <v>16155</v>
      </c>
      <c r="J8" s="242">
        <v>900</v>
      </c>
      <c r="K8" s="245">
        <v>110</v>
      </c>
      <c r="L8" s="244">
        <v>14334</v>
      </c>
      <c r="M8" s="242">
        <v>14879</v>
      </c>
      <c r="N8" s="246">
        <v>3.8021487370000003E-2</v>
      </c>
      <c r="O8" s="242">
        <v>13937</v>
      </c>
      <c r="P8" s="247">
        <v>-2.769638621E-2</v>
      </c>
      <c r="Q8" s="248">
        <v>91.8</v>
      </c>
      <c r="R8" s="249">
        <v>5.0999999999999996</v>
      </c>
      <c r="S8" s="249">
        <v>1.2</v>
      </c>
      <c r="T8" s="250">
        <v>98.2</v>
      </c>
      <c r="U8" s="244">
        <v>360</v>
      </c>
      <c r="V8" s="242">
        <v>690</v>
      </c>
      <c r="W8" s="242">
        <v>0</v>
      </c>
      <c r="X8" s="242">
        <v>0</v>
      </c>
      <c r="Y8" s="242">
        <v>0</v>
      </c>
      <c r="Z8" s="242">
        <v>2794</v>
      </c>
      <c r="AA8" s="242">
        <v>11091</v>
      </c>
      <c r="AB8" s="242">
        <v>1220</v>
      </c>
      <c r="AC8" s="242">
        <v>0</v>
      </c>
      <c r="AD8" s="245">
        <v>0</v>
      </c>
      <c r="AE8" s="244">
        <v>0</v>
      </c>
      <c r="AF8" s="242">
        <v>390</v>
      </c>
      <c r="AG8" s="242">
        <v>60</v>
      </c>
      <c r="AH8" s="242">
        <v>600</v>
      </c>
      <c r="AI8" s="242">
        <v>824</v>
      </c>
      <c r="AJ8" s="242">
        <v>1610</v>
      </c>
      <c r="AK8" s="242">
        <v>4028</v>
      </c>
      <c r="AL8" s="245">
        <v>8643</v>
      </c>
      <c r="AM8" s="251">
        <v>6829950</v>
      </c>
      <c r="AN8" s="242">
        <v>930</v>
      </c>
      <c r="AO8" s="252">
        <v>222000</v>
      </c>
      <c r="AP8" s="242">
        <v>90</v>
      </c>
      <c r="AQ8" s="252">
        <v>11277904.952370999</v>
      </c>
      <c r="AR8" s="245">
        <v>1155</v>
      </c>
    </row>
    <row r="9" spans="1:44" ht="15" x14ac:dyDescent="0.25">
      <c r="A9" s="221">
        <v>303</v>
      </c>
      <c r="B9" s="221" t="s">
        <v>8</v>
      </c>
      <c r="C9" s="221" t="s">
        <v>345</v>
      </c>
      <c r="D9" s="241">
        <v>55483244.409999996</v>
      </c>
      <c r="E9" s="242">
        <v>18657</v>
      </c>
      <c r="F9" s="242">
        <v>23435</v>
      </c>
      <c r="G9" s="243">
        <v>0.25609690732700874</v>
      </c>
      <c r="H9" s="244">
        <v>19817</v>
      </c>
      <c r="I9" s="242">
        <v>23472</v>
      </c>
      <c r="J9" s="242">
        <v>210</v>
      </c>
      <c r="K9" s="245">
        <v>520</v>
      </c>
      <c r="L9" s="244">
        <v>21618</v>
      </c>
      <c r="M9" s="242">
        <v>21663</v>
      </c>
      <c r="N9" s="246">
        <v>2.08159866E-3</v>
      </c>
      <c r="O9" s="242">
        <v>21661</v>
      </c>
      <c r="P9" s="247">
        <v>1.9890831700000002E-3</v>
      </c>
      <c r="Q9" s="248">
        <v>85.3</v>
      </c>
      <c r="R9" s="249">
        <v>7.1</v>
      </c>
      <c r="S9" s="249">
        <v>2.8</v>
      </c>
      <c r="T9" s="250">
        <v>95.2</v>
      </c>
      <c r="U9" s="244">
        <v>0</v>
      </c>
      <c r="V9" s="242">
        <v>54</v>
      </c>
      <c r="W9" s="242">
        <v>177</v>
      </c>
      <c r="X9" s="242">
        <v>0</v>
      </c>
      <c r="Y9" s="242">
        <v>0</v>
      </c>
      <c r="Z9" s="242">
        <v>1758</v>
      </c>
      <c r="AA9" s="242">
        <v>17565</v>
      </c>
      <c r="AB9" s="242">
        <v>2028</v>
      </c>
      <c r="AC9" s="242">
        <v>0</v>
      </c>
      <c r="AD9" s="245">
        <v>0</v>
      </c>
      <c r="AE9" s="244">
        <v>30</v>
      </c>
      <c r="AF9" s="242">
        <v>0</v>
      </c>
      <c r="AG9" s="242">
        <v>24</v>
      </c>
      <c r="AH9" s="242">
        <v>177</v>
      </c>
      <c r="AI9" s="242">
        <v>4993</v>
      </c>
      <c r="AJ9" s="242">
        <v>11113</v>
      </c>
      <c r="AK9" s="242">
        <v>3647</v>
      </c>
      <c r="AL9" s="245">
        <v>1598</v>
      </c>
      <c r="AM9" s="251">
        <v>37612640</v>
      </c>
      <c r="AN9" s="242">
        <v>2720</v>
      </c>
      <c r="AO9" s="252">
        <v>142000</v>
      </c>
      <c r="AP9" s="242">
        <v>30</v>
      </c>
      <c r="AQ9" s="252">
        <v>1645000</v>
      </c>
      <c r="AR9" s="245">
        <v>420</v>
      </c>
    </row>
    <row r="10" spans="1:44" ht="15" x14ac:dyDescent="0.25">
      <c r="A10" s="221">
        <v>330</v>
      </c>
      <c r="B10" s="221" t="s">
        <v>9</v>
      </c>
      <c r="C10" s="221" t="s">
        <v>349</v>
      </c>
      <c r="D10" s="241">
        <v>216714102.34</v>
      </c>
      <c r="E10" s="242">
        <v>93884</v>
      </c>
      <c r="F10" s="242">
        <v>114084</v>
      </c>
      <c r="G10" s="243">
        <v>0.21515913254654673</v>
      </c>
      <c r="H10" s="244">
        <v>100091</v>
      </c>
      <c r="I10" s="242">
        <v>113399</v>
      </c>
      <c r="J10" s="242">
        <v>1318</v>
      </c>
      <c r="K10" s="245">
        <v>3740</v>
      </c>
      <c r="L10" s="244">
        <v>106003</v>
      </c>
      <c r="M10" s="242">
        <v>106292</v>
      </c>
      <c r="N10" s="246">
        <v>2.7263379299999999E-3</v>
      </c>
      <c r="O10" s="242">
        <v>104869</v>
      </c>
      <c r="P10" s="247">
        <v>-1.0697810429999999E-2</v>
      </c>
      <c r="Q10" s="248">
        <v>85</v>
      </c>
      <c r="R10" s="249">
        <v>7.1</v>
      </c>
      <c r="S10" s="249">
        <v>2.8</v>
      </c>
      <c r="T10" s="250">
        <v>94.9</v>
      </c>
      <c r="U10" s="244">
        <v>300</v>
      </c>
      <c r="V10" s="242">
        <v>370</v>
      </c>
      <c r="W10" s="242">
        <v>420</v>
      </c>
      <c r="X10" s="242">
        <v>0</v>
      </c>
      <c r="Y10" s="242">
        <v>0</v>
      </c>
      <c r="Z10" s="242">
        <v>20870</v>
      </c>
      <c r="AA10" s="242">
        <v>63367</v>
      </c>
      <c r="AB10" s="242">
        <v>18761</v>
      </c>
      <c r="AC10" s="242">
        <v>6120</v>
      </c>
      <c r="AD10" s="245">
        <v>0</v>
      </c>
      <c r="AE10" s="244">
        <v>60</v>
      </c>
      <c r="AF10" s="242">
        <v>430</v>
      </c>
      <c r="AG10" s="242">
        <v>600</v>
      </c>
      <c r="AH10" s="242">
        <v>0</v>
      </c>
      <c r="AI10" s="242">
        <v>24783</v>
      </c>
      <c r="AJ10" s="242">
        <v>48861</v>
      </c>
      <c r="AK10" s="242">
        <v>28404</v>
      </c>
      <c r="AL10" s="245">
        <v>7070</v>
      </c>
      <c r="AM10" s="251">
        <v>94296513</v>
      </c>
      <c r="AN10" s="242">
        <v>9918</v>
      </c>
      <c r="AO10" s="252">
        <v>2328932.77</v>
      </c>
      <c r="AP10" s="242">
        <v>700</v>
      </c>
      <c r="AQ10" s="252">
        <v>0</v>
      </c>
      <c r="AR10" s="245">
        <v>0</v>
      </c>
    </row>
    <row r="11" spans="1:44" ht="15" x14ac:dyDescent="0.25">
      <c r="A11" s="221">
        <v>889</v>
      </c>
      <c r="B11" s="221" t="s">
        <v>10</v>
      </c>
      <c r="C11" s="221" t="s">
        <v>350</v>
      </c>
      <c r="D11" s="241">
        <v>16965931.800000001</v>
      </c>
      <c r="E11" s="242">
        <v>13745</v>
      </c>
      <c r="F11" s="242">
        <v>15280</v>
      </c>
      <c r="G11" s="243">
        <v>0.11167697344488903</v>
      </c>
      <c r="H11" s="244">
        <v>14516</v>
      </c>
      <c r="I11" s="242">
        <v>16317</v>
      </c>
      <c r="J11" s="242">
        <v>0</v>
      </c>
      <c r="K11" s="245">
        <v>350</v>
      </c>
      <c r="L11" s="244">
        <v>14754</v>
      </c>
      <c r="M11" s="242">
        <v>14681</v>
      </c>
      <c r="N11" s="246">
        <v>-4.94781076E-3</v>
      </c>
      <c r="O11" s="242">
        <v>14573</v>
      </c>
      <c r="P11" s="247">
        <v>-1.226785956E-2</v>
      </c>
      <c r="Q11" s="248">
        <v>85.9</v>
      </c>
      <c r="R11" s="249">
        <v>9.1</v>
      </c>
      <c r="S11" s="249">
        <v>2</v>
      </c>
      <c r="T11" s="250">
        <v>96.9</v>
      </c>
      <c r="U11" s="244">
        <v>84</v>
      </c>
      <c r="V11" s="242">
        <v>255</v>
      </c>
      <c r="W11" s="242">
        <v>0</v>
      </c>
      <c r="X11" s="242">
        <v>0</v>
      </c>
      <c r="Y11" s="242">
        <v>0</v>
      </c>
      <c r="Z11" s="242">
        <v>1774</v>
      </c>
      <c r="AA11" s="242">
        <v>10455</v>
      </c>
      <c r="AB11" s="242">
        <v>2428</v>
      </c>
      <c r="AC11" s="242">
        <v>0</v>
      </c>
      <c r="AD11" s="245">
        <v>0</v>
      </c>
      <c r="AE11" s="244">
        <v>40</v>
      </c>
      <c r="AF11" s="242">
        <v>269</v>
      </c>
      <c r="AG11" s="242">
        <v>0</v>
      </c>
      <c r="AH11" s="242">
        <v>30</v>
      </c>
      <c r="AI11" s="242">
        <v>3452</v>
      </c>
      <c r="AJ11" s="242">
        <v>8405</v>
      </c>
      <c r="AK11" s="242">
        <v>1803</v>
      </c>
      <c r="AL11" s="245">
        <v>997</v>
      </c>
      <c r="AM11" s="251">
        <v>4096648.3333310001</v>
      </c>
      <c r="AN11" s="242">
        <v>665</v>
      </c>
      <c r="AO11" s="252">
        <v>0</v>
      </c>
      <c r="AP11" s="242">
        <v>0</v>
      </c>
      <c r="AQ11" s="252">
        <v>0</v>
      </c>
      <c r="AR11" s="245">
        <v>0</v>
      </c>
    </row>
    <row r="12" spans="1:44" ht="15" x14ac:dyDescent="0.25">
      <c r="A12" s="221">
        <v>890</v>
      </c>
      <c r="B12" s="221" t="s">
        <v>11</v>
      </c>
      <c r="C12" s="221" t="s">
        <v>350</v>
      </c>
      <c r="D12" s="241">
        <v>23227234.870000001</v>
      </c>
      <c r="E12" s="242">
        <v>10771</v>
      </c>
      <c r="F12" s="242">
        <v>11785</v>
      </c>
      <c r="G12" s="243">
        <v>9.4141676724538215E-2</v>
      </c>
      <c r="H12" s="244">
        <v>11208</v>
      </c>
      <c r="I12" s="242">
        <v>12270</v>
      </c>
      <c r="J12" s="242">
        <v>0</v>
      </c>
      <c r="K12" s="245">
        <v>150</v>
      </c>
      <c r="L12" s="244">
        <v>11489</v>
      </c>
      <c r="M12" s="242">
        <v>11472</v>
      </c>
      <c r="N12" s="246">
        <v>-1.4796762099999999E-3</v>
      </c>
      <c r="O12" s="242">
        <v>11846</v>
      </c>
      <c r="P12" s="247">
        <v>3.1073200450000001E-2</v>
      </c>
      <c r="Q12" s="248">
        <v>90</v>
      </c>
      <c r="R12" s="249">
        <v>6.6</v>
      </c>
      <c r="S12" s="249">
        <v>1.2</v>
      </c>
      <c r="T12" s="250">
        <v>97.8</v>
      </c>
      <c r="U12" s="244">
        <v>0</v>
      </c>
      <c r="V12" s="242">
        <v>60</v>
      </c>
      <c r="W12" s="242">
        <v>0</v>
      </c>
      <c r="X12" s="242">
        <v>0</v>
      </c>
      <c r="Y12" s="242">
        <v>0</v>
      </c>
      <c r="Z12" s="242">
        <v>0</v>
      </c>
      <c r="AA12" s="242">
        <v>8806</v>
      </c>
      <c r="AB12" s="242">
        <v>2630</v>
      </c>
      <c r="AC12" s="242">
        <v>0</v>
      </c>
      <c r="AD12" s="245">
        <v>0</v>
      </c>
      <c r="AE12" s="244">
        <v>0</v>
      </c>
      <c r="AF12" s="242">
        <v>60</v>
      </c>
      <c r="AG12" s="242">
        <v>0</v>
      </c>
      <c r="AH12" s="242">
        <v>0</v>
      </c>
      <c r="AI12" s="242">
        <v>4448</v>
      </c>
      <c r="AJ12" s="242">
        <v>4203</v>
      </c>
      <c r="AK12" s="242">
        <v>2785</v>
      </c>
      <c r="AL12" s="245">
        <v>0</v>
      </c>
      <c r="AM12" s="251">
        <v>7189292</v>
      </c>
      <c r="AN12" s="242">
        <v>630</v>
      </c>
      <c r="AO12" s="252">
        <v>25000</v>
      </c>
      <c r="AP12" s="242">
        <v>30</v>
      </c>
      <c r="AQ12" s="252">
        <v>0</v>
      </c>
      <c r="AR12" s="245">
        <v>0</v>
      </c>
    </row>
    <row r="13" spans="1:44" ht="15" x14ac:dyDescent="0.25">
      <c r="A13" s="221">
        <v>350</v>
      </c>
      <c r="B13" s="221" t="s">
        <v>13</v>
      </c>
      <c r="C13" s="221" t="s">
        <v>350</v>
      </c>
      <c r="D13" s="241">
        <v>40506602.560000002</v>
      </c>
      <c r="E13" s="242">
        <v>22723</v>
      </c>
      <c r="F13" s="242">
        <v>27754</v>
      </c>
      <c r="G13" s="243">
        <v>0.22140562425736032</v>
      </c>
      <c r="H13" s="244">
        <v>23791</v>
      </c>
      <c r="I13" s="242">
        <v>27627</v>
      </c>
      <c r="J13" s="242">
        <v>274</v>
      </c>
      <c r="K13" s="245">
        <v>670</v>
      </c>
      <c r="L13" s="244">
        <v>26044</v>
      </c>
      <c r="M13" s="242">
        <v>25795</v>
      </c>
      <c r="N13" s="246">
        <v>-9.5607433499999995E-3</v>
      </c>
      <c r="O13" s="242">
        <v>25446</v>
      </c>
      <c r="P13" s="247">
        <v>-2.2961142680000001E-2</v>
      </c>
      <c r="Q13" s="248">
        <v>90.5</v>
      </c>
      <c r="R13" s="249">
        <v>6</v>
      </c>
      <c r="S13" s="249">
        <v>1.4</v>
      </c>
      <c r="T13" s="250">
        <v>97.9</v>
      </c>
      <c r="U13" s="244">
        <v>0</v>
      </c>
      <c r="V13" s="242">
        <v>30</v>
      </c>
      <c r="W13" s="242">
        <v>60</v>
      </c>
      <c r="X13" s="242">
        <v>0</v>
      </c>
      <c r="Y13" s="242">
        <v>0</v>
      </c>
      <c r="Z13" s="242">
        <v>4820</v>
      </c>
      <c r="AA13" s="242">
        <v>18410</v>
      </c>
      <c r="AB13" s="242">
        <v>3737</v>
      </c>
      <c r="AC13" s="242">
        <v>0</v>
      </c>
      <c r="AD13" s="245">
        <v>0</v>
      </c>
      <c r="AE13" s="244">
        <v>30</v>
      </c>
      <c r="AF13" s="242">
        <v>60</v>
      </c>
      <c r="AG13" s="242">
        <v>0</v>
      </c>
      <c r="AH13" s="242">
        <v>0</v>
      </c>
      <c r="AI13" s="242">
        <v>8355</v>
      </c>
      <c r="AJ13" s="242">
        <v>16682</v>
      </c>
      <c r="AK13" s="242">
        <v>1750</v>
      </c>
      <c r="AL13" s="245">
        <v>180</v>
      </c>
      <c r="AM13" s="251">
        <v>25923790</v>
      </c>
      <c r="AN13" s="242">
        <v>2590</v>
      </c>
      <c r="AO13" s="252">
        <v>1152993</v>
      </c>
      <c r="AP13" s="242">
        <v>100</v>
      </c>
      <c r="AQ13" s="252">
        <v>0</v>
      </c>
      <c r="AR13" s="245">
        <v>0</v>
      </c>
    </row>
    <row r="14" spans="1:44" ht="15" x14ac:dyDescent="0.25">
      <c r="A14" s="221">
        <v>837</v>
      </c>
      <c r="B14" s="221" t="s">
        <v>14</v>
      </c>
      <c r="C14" s="221" t="s">
        <v>347</v>
      </c>
      <c r="D14" s="241">
        <v>40531127.950000003</v>
      </c>
      <c r="E14" s="242">
        <v>10028</v>
      </c>
      <c r="F14" s="242">
        <v>13343</v>
      </c>
      <c r="G14" s="243">
        <v>0.33057439170323089</v>
      </c>
      <c r="H14" s="244">
        <v>11084</v>
      </c>
      <c r="I14" s="242">
        <v>14682</v>
      </c>
      <c r="J14" s="242">
        <v>60</v>
      </c>
      <c r="K14" s="245">
        <v>110</v>
      </c>
      <c r="L14" s="244">
        <v>11905</v>
      </c>
      <c r="M14" s="242">
        <v>11845</v>
      </c>
      <c r="N14" s="246">
        <v>-5.0398991999999997E-3</v>
      </c>
      <c r="O14" s="242">
        <v>12018</v>
      </c>
      <c r="P14" s="247">
        <v>9.4918101599999992E-3</v>
      </c>
      <c r="Q14" s="248">
        <v>78.900000000000006</v>
      </c>
      <c r="R14" s="249">
        <v>10.1</v>
      </c>
      <c r="S14" s="249">
        <v>4.0999999999999996</v>
      </c>
      <c r="T14" s="250">
        <v>93.2</v>
      </c>
      <c r="U14" s="244">
        <v>150</v>
      </c>
      <c r="V14" s="242">
        <v>1140</v>
      </c>
      <c r="W14" s="242">
        <v>60</v>
      </c>
      <c r="X14" s="242">
        <v>0</v>
      </c>
      <c r="Y14" s="242">
        <v>0</v>
      </c>
      <c r="Z14" s="242">
        <v>2700</v>
      </c>
      <c r="AA14" s="242">
        <v>8830</v>
      </c>
      <c r="AB14" s="242">
        <v>780</v>
      </c>
      <c r="AC14" s="242">
        <v>0</v>
      </c>
      <c r="AD14" s="245">
        <v>0</v>
      </c>
      <c r="AE14" s="244">
        <v>0</v>
      </c>
      <c r="AF14" s="242">
        <v>450</v>
      </c>
      <c r="AG14" s="242">
        <v>0</v>
      </c>
      <c r="AH14" s="242">
        <v>900</v>
      </c>
      <c r="AI14" s="242">
        <v>1633</v>
      </c>
      <c r="AJ14" s="242">
        <v>6331</v>
      </c>
      <c r="AK14" s="242">
        <v>2906</v>
      </c>
      <c r="AL14" s="245">
        <v>1440</v>
      </c>
      <c r="AM14" s="251">
        <v>26262406</v>
      </c>
      <c r="AN14" s="242">
        <v>2370</v>
      </c>
      <c r="AO14" s="252">
        <v>0</v>
      </c>
      <c r="AP14" s="242">
        <v>0</v>
      </c>
      <c r="AQ14" s="252">
        <v>12031403</v>
      </c>
      <c r="AR14" s="245">
        <v>840</v>
      </c>
    </row>
    <row r="15" spans="1:44" ht="15" x14ac:dyDescent="0.25">
      <c r="A15" s="221">
        <v>867</v>
      </c>
      <c r="B15" s="221" t="s">
        <v>15</v>
      </c>
      <c r="C15" s="221" t="s">
        <v>351</v>
      </c>
      <c r="D15" s="241">
        <v>50731502.770000003</v>
      </c>
      <c r="E15" s="242">
        <v>8306</v>
      </c>
      <c r="F15" s="242">
        <v>10755</v>
      </c>
      <c r="G15" s="243">
        <v>0.29484709848302426</v>
      </c>
      <c r="H15" s="244">
        <v>9360</v>
      </c>
      <c r="I15" s="242">
        <v>10647</v>
      </c>
      <c r="J15" s="242">
        <v>700</v>
      </c>
      <c r="K15" s="245">
        <v>50</v>
      </c>
      <c r="L15" s="244">
        <v>9729</v>
      </c>
      <c r="M15" s="242">
        <v>10009</v>
      </c>
      <c r="N15" s="246">
        <v>2.8779936270000001E-2</v>
      </c>
      <c r="O15" s="242">
        <v>9996</v>
      </c>
      <c r="P15" s="247">
        <v>2.7443724940000001E-2</v>
      </c>
      <c r="Q15" s="248">
        <v>84.5</v>
      </c>
      <c r="R15" s="249">
        <v>9.1999999999999993</v>
      </c>
      <c r="S15" s="249">
        <v>3.6</v>
      </c>
      <c r="T15" s="250">
        <v>97.3</v>
      </c>
      <c r="U15" s="244">
        <v>0</v>
      </c>
      <c r="V15" s="242">
        <v>149</v>
      </c>
      <c r="W15" s="242">
        <v>0</v>
      </c>
      <c r="X15" s="242">
        <v>0</v>
      </c>
      <c r="Y15" s="242">
        <v>0</v>
      </c>
      <c r="Z15" s="242">
        <v>839</v>
      </c>
      <c r="AA15" s="242">
        <v>5768</v>
      </c>
      <c r="AB15" s="242">
        <v>3471</v>
      </c>
      <c r="AC15" s="242">
        <v>420</v>
      </c>
      <c r="AD15" s="245">
        <v>0</v>
      </c>
      <c r="AE15" s="244">
        <v>0</v>
      </c>
      <c r="AF15" s="242">
        <v>149</v>
      </c>
      <c r="AG15" s="242">
        <v>0</v>
      </c>
      <c r="AH15" s="242">
        <v>0</v>
      </c>
      <c r="AI15" s="242">
        <v>839</v>
      </c>
      <c r="AJ15" s="242">
        <v>6329</v>
      </c>
      <c r="AK15" s="242">
        <v>2550</v>
      </c>
      <c r="AL15" s="245">
        <v>780</v>
      </c>
      <c r="AM15" s="251">
        <v>26529151.976877</v>
      </c>
      <c r="AN15" s="242">
        <v>1654</v>
      </c>
      <c r="AO15" s="252">
        <v>0</v>
      </c>
      <c r="AP15" s="242">
        <v>0</v>
      </c>
      <c r="AQ15" s="252">
        <v>0</v>
      </c>
      <c r="AR15" s="245">
        <v>0</v>
      </c>
    </row>
    <row r="16" spans="1:44" ht="15" x14ac:dyDescent="0.25">
      <c r="A16" s="221">
        <v>380</v>
      </c>
      <c r="B16" s="221" t="s">
        <v>16</v>
      </c>
      <c r="C16" s="221" t="s">
        <v>346</v>
      </c>
      <c r="D16" s="241">
        <v>112702431.56</v>
      </c>
      <c r="E16" s="242">
        <v>47444</v>
      </c>
      <c r="F16" s="242">
        <v>56303</v>
      </c>
      <c r="G16" s="243">
        <v>0.18672540257988368</v>
      </c>
      <c r="H16" s="244">
        <v>49494</v>
      </c>
      <c r="I16" s="242">
        <v>57748</v>
      </c>
      <c r="J16" s="242">
        <v>1467</v>
      </c>
      <c r="K16" s="245">
        <v>360</v>
      </c>
      <c r="L16" s="244">
        <v>53772</v>
      </c>
      <c r="M16" s="242">
        <v>53807</v>
      </c>
      <c r="N16" s="246">
        <v>6.5089637000000002E-4</v>
      </c>
      <c r="O16" s="242">
        <v>53333</v>
      </c>
      <c r="P16" s="247">
        <v>-8.1641002700000003E-3</v>
      </c>
      <c r="Q16" s="248">
        <v>85.8</v>
      </c>
      <c r="R16" s="249">
        <v>6.8</v>
      </c>
      <c r="S16" s="249">
        <v>2.5</v>
      </c>
      <c r="T16" s="250">
        <v>95</v>
      </c>
      <c r="U16" s="244">
        <v>165</v>
      </c>
      <c r="V16" s="242">
        <v>582</v>
      </c>
      <c r="W16" s="242">
        <v>343</v>
      </c>
      <c r="X16" s="242">
        <v>0</v>
      </c>
      <c r="Y16" s="242">
        <v>0</v>
      </c>
      <c r="Z16" s="242">
        <v>7020</v>
      </c>
      <c r="AA16" s="242">
        <v>28359</v>
      </c>
      <c r="AB16" s="242">
        <v>17915</v>
      </c>
      <c r="AC16" s="242">
        <v>585</v>
      </c>
      <c r="AD16" s="245">
        <v>0</v>
      </c>
      <c r="AE16" s="244">
        <v>90</v>
      </c>
      <c r="AF16" s="242">
        <v>705</v>
      </c>
      <c r="AG16" s="242">
        <v>295</v>
      </c>
      <c r="AH16" s="242">
        <v>0</v>
      </c>
      <c r="AI16" s="242">
        <v>8535</v>
      </c>
      <c r="AJ16" s="242">
        <v>28968</v>
      </c>
      <c r="AK16" s="242">
        <v>15245</v>
      </c>
      <c r="AL16" s="245">
        <v>1131</v>
      </c>
      <c r="AM16" s="251">
        <v>64684972.666662</v>
      </c>
      <c r="AN16" s="242">
        <v>5459</v>
      </c>
      <c r="AO16" s="252">
        <v>1085063</v>
      </c>
      <c r="AP16" s="242">
        <v>90</v>
      </c>
      <c r="AQ16" s="252">
        <v>14962640</v>
      </c>
      <c r="AR16" s="245">
        <v>1050</v>
      </c>
    </row>
    <row r="17" spans="1:44" ht="15" x14ac:dyDescent="0.25">
      <c r="A17" s="221">
        <v>304</v>
      </c>
      <c r="B17" s="221" t="s">
        <v>17</v>
      </c>
      <c r="C17" s="221" t="s">
        <v>345</v>
      </c>
      <c r="D17" s="241">
        <v>158717223.17000002</v>
      </c>
      <c r="E17" s="242">
        <v>21954</v>
      </c>
      <c r="F17" s="242">
        <v>28366</v>
      </c>
      <c r="G17" s="243">
        <v>0.29206522729343165</v>
      </c>
      <c r="H17" s="244">
        <v>22177</v>
      </c>
      <c r="I17" s="242">
        <v>28684</v>
      </c>
      <c r="J17" s="242">
        <v>2595</v>
      </c>
      <c r="K17" s="245">
        <v>460</v>
      </c>
      <c r="L17" s="244">
        <v>26000</v>
      </c>
      <c r="M17" s="242">
        <v>26998</v>
      </c>
      <c r="N17" s="246">
        <v>3.8384615380000001E-2</v>
      </c>
      <c r="O17" s="242">
        <v>27948</v>
      </c>
      <c r="P17" s="247">
        <v>7.4923076919999998E-2</v>
      </c>
      <c r="Q17" s="248">
        <v>80.400000000000006</v>
      </c>
      <c r="R17" s="249">
        <v>9.5</v>
      </c>
      <c r="S17" s="249">
        <v>3.1</v>
      </c>
      <c r="T17" s="250">
        <v>93.1</v>
      </c>
      <c r="U17" s="244">
        <v>997</v>
      </c>
      <c r="V17" s="242">
        <v>716</v>
      </c>
      <c r="W17" s="242">
        <v>0</v>
      </c>
      <c r="X17" s="242">
        <v>0</v>
      </c>
      <c r="Y17" s="242">
        <v>0</v>
      </c>
      <c r="Z17" s="242">
        <v>4754</v>
      </c>
      <c r="AA17" s="242">
        <v>18252</v>
      </c>
      <c r="AB17" s="242">
        <v>1915</v>
      </c>
      <c r="AC17" s="242">
        <v>852</v>
      </c>
      <c r="AD17" s="245">
        <v>0</v>
      </c>
      <c r="AE17" s="244">
        <v>187</v>
      </c>
      <c r="AF17" s="242">
        <v>686</v>
      </c>
      <c r="AG17" s="242">
        <v>0</v>
      </c>
      <c r="AH17" s="242">
        <v>840</v>
      </c>
      <c r="AI17" s="242">
        <v>12231</v>
      </c>
      <c r="AJ17" s="242">
        <v>9289</v>
      </c>
      <c r="AK17" s="242">
        <v>1738</v>
      </c>
      <c r="AL17" s="245">
        <v>2515</v>
      </c>
      <c r="AM17" s="251">
        <v>49335523</v>
      </c>
      <c r="AN17" s="242">
        <v>3100</v>
      </c>
      <c r="AO17" s="252">
        <v>7093749</v>
      </c>
      <c r="AP17" s="242">
        <v>1340</v>
      </c>
      <c r="AQ17" s="252">
        <v>0</v>
      </c>
      <c r="AR17" s="245">
        <v>0</v>
      </c>
    </row>
    <row r="18" spans="1:44" ht="15" x14ac:dyDescent="0.25">
      <c r="A18" s="221">
        <v>846</v>
      </c>
      <c r="B18" s="221" t="s">
        <v>18</v>
      </c>
      <c r="C18" s="221" t="s">
        <v>351</v>
      </c>
      <c r="D18" s="241">
        <v>54421446.170000002</v>
      </c>
      <c r="E18" s="242">
        <v>16617</v>
      </c>
      <c r="F18" s="242">
        <v>19355</v>
      </c>
      <c r="G18" s="243">
        <v>0.16477101763254498</v>
      </c>
      <c r="H18" s="244">
        <v>18291</v>
      </c>
      <c r="I18" s="242">
        <v>20830</v>
      </c>
      <c r="J18" s="242">
        <v>480</v>
      </c>
      <c r="K18" s="245">
        <v>440</v>
      </c>
      <c r="L18" s="244">
        <v>18446</v>
      </c>
      <c r="M18" s="242">
        <v>18605</v>
      </c>
      <c r="N18" s="246">
        <v>8.6197549599999999E-3</v>
      </c>
      <c r="O18" s="242">
        <v>18741</v>
      </c>
      <c r="P18" s="247">
        <v>1.5992627119999998E-2</v>
      </c>
      <c r="Q18" s="248">
        <v>88.4</v>
      </c>
      <c r="R18" s="249">
        <v>6</v>
      </c>
      <c r="S18" s="249">
        <v>1.9</v>
      </c>
      <c r="T18" s="250">
        <v>96.4</v>
      </c>
      <c r="U18" s="244">
        <v>67</v>
      </c>
      <c r="V18" s="242">
        <v>705</v>
      </c>
      <c r="W18" s="242">
        <v>0</v>
      </c>
      <c r="X18" s="242">
        <v>0</v>
      </c>
      <c r="Y18" s="242">
        <v>0</v>
      </c>
      <c r="Z18" s="242">
        <v>3513</v>
      </c>
      <c r="AA18" s="242">
        <v>13828</v>
      </c>
      <c r="AB18" s="242">
        <v>2297</v>
      </c>
      <c r="AC18" s="242">
        <v>0</v>
      </c>
      <c r="AD18" s="245">
        <v>0</v>
      </c>
      <c r="AE18" s="244">
        <v>30</v>
      </c>
      <c r="AF18" s="242">
        <v>183</v>
      </c>
      <c r="AG18" s="242">
        <v>432</v>
      </c>
      <c r="AH18" s="242">
        <v>127</v>
      </c>
      <c r="AI18" s="242">
        <v>3579</v>
      </c>
      <c r="AJ18" s="242">
        <v>8295</v>
      </c>
      <c r="AK18" s="242">
        <v>4796</v>
      </c>
      <c r="AL18" s="245">
        <v>2968</v>
      </c>
      <c r="AM18" s="251">
        <v>19781500</v>
      </c>
      <c r="AN18" s="242">
        <v>1373</v>
      </c>
      <c r="AO18" s="252">
        <v>718000</v>
      </c>
      <c r="AP18" s="242">
        <v>180</v>
      </c>
      <c r="AQ18" s="252">
        <v>8320000</v>
      </c>
      <c r="AR18" s="245">
        <v>782</v>
      </c>
    </row>
    <row r="19" spans="1:44" ht="15" x14ac:dyDescent="0.25">
      <c r="A19" s="221">
        <v>801</v>
      </c>
      <c r="B19" s="221" t="s">
        <v>2</v>
      </c>
      <c r="C19" s="221" t="s">
        <v>347</v>
      </c>
      <c r="D19" s="241">
        <v>147735388.75999999</v>
      </c>
      <c r="E19" s="242">
        <v>27765</v>
      </c>
      <c r="F19" s="242">
        <v>36599</v>
      </c>
      <c r="G19" s="243">
        <v>0.31817035836484786</v>
      </c>
      <c r="H19" s="244">
        <v>30056</v>
      </c>
      <c r="I19" s="242">
        <v>37714</v>
      </c>
      <c r="J19" s="242">
        <v>2886</v>
      </c>
      <c r="K19" s="245">
        <v>720</v>
      </c>
      <c r="L19" s="244">
        <v>33017</v>
      </c>
      <c r="M19" s="242">
        <v>33620</v>
      </c>
      <c r="N19" s="246">
        <v>1.8263318890000001E-2</v>
      </c>
      <c r="O19" s="242">
        <v>34932</v>
      </c>
      <c r="P19" s="247">
        <v>5.8000424020000003E-2</v>
      </c>
      <c r="Q19" s="248">
        <v>84.2</v>
      </c>
      <c r="R19" s="249">
        <v>8.4</v>
      </c>
      <c r="S19" s="249">
        <v>3</v>
      </c>
      <c r="T19" s="250">
        <v>95.6</v>
      </c>
      <c r="U19" s="244">
        <v>277</v>
      </c>
      <c r="V19" s="242">
        <v>703</v>
      </c>
      <c r="W19" s="242">
        <v>0</v>
      </c>
      <c r="X19" s="242">
        <v>0</v>
      </c>
      <c r="Y19" s="242">
        <v>0</v>
      </c>
      <c r="Z19" s="242">
        <v>8754</v>
      </c>
      <c r="AA19" s="242">
        <v>20302</v>
      </c>
      <c r="AB19" s="242">
        <v>4099</v>
      </c>
      <c r="AC19" s="242">
        <v>180</v>
      </c>
      <c r="AD19" s="245">
        <v>380</v>
      </c>
      <c r="AE19" s="244">
        <v>30</v>
      </c>
      <c r="AF19" s="242">
        <v>550</v>
      </c>
      <c r="AG19" s="242">
        <v>0</v>
      </c>
      <c r="AH19" s="242">
        <v>400</v>
      </c>
      <c r="AI19" s="242">
        <v>8109</v>
      </c>
      <c r="AJ19" s="242">
        <v>13924</v>
      </c>
      <c r="AK19" s="242">
        <v>8946</v>
      </c>
      <c r="AL19" s="245">
        <v>2736</v>
      </c>
      <c r="AM19" s="251">
        <v>79547936</v>
      </c>
      <c r="AN19" s="242">
        <v>5418</v>
      </c>
      <c r="AO19" s="252">
        <v>2548577.333329</v>
      </c>
      <c r="AP19" s="242">
        <v>765</v>
      </c>
      <c r="AQ19" s="252">
        <v>10854679</v>
      </c>
      <c r="AR19" s="245">
        <v>690</v>
      </c>
    </row>
    <row r="20" spans="1:44" ht="15" x14ac:dyDescent="0.25">
      <c r="A20" s="221">
        <v>305</v>
      </c>
      <c r="B20" s="221" t="s">
        <v>19</v>
      </c>
      <c r="C20" s="221" t="s">
        <v>345</v>
      </c>
      <c r="D20" s="241">
        <v>70877377.109999999</v>
      </c>
      <c r="E20" s="242">
        <v>23224</v>
      </c>
      <c r="F20" s="242">
        <v>27608</v>
      </c>
      <c r="G20" s="243">
        <v>0.18877023768515322</v>
      </c>
      <c r="H20" s="244">
        <v>23926</v>
      </c>
      <c r="I20" s="242">
        <v>27461</v>
      </c>
      <c r="J20" s="242">
        <v>1769</v>
      </c>
      <c r="K20" s="245">
        <v>660</v>
      </c>
      <c r="L20" s="244">
        <v>25732</v>
      </c>
      <c r="M20" s="242">
        <v>25823</v>
      </c>
      <c r="N20" s="246">
        <v>3.5364526599999998E-3</v>
      </c>
      <c r="O20" s="242">
        <v>25510</v>
      </c>
      <c r="P20" s="247">
        <v>-8.6273900200000003E-3</v>
      </c>
      <c r="Q20" s="248">
        <v>82.8</v>
      </c>
      <c r="R20" s="249">
        <v>8.1999999999999993</v>
      </c>
      <c r="S20" s="249">
        <v>3.1</v>
      </c>
      <c r="T20" s="250">
        <v>94.1</v>
      </c>
      <c r="U20" s="244">
        <v>30</v>
      </c>
      <c r="V20" s="242">
        <v>395</v>
      </c>
      <c r="W20" s="242">
        <v>60</v>
      </c>
      <c r="X20" s="242">
        <v>0</v>
      </c>
      <c r="Y20" s="242">
        <v>0</v>
      </c>
      <c r="Z20" s="242">
        <v>4749</v>
      </c>
      <c r="AA20" s="242">
        <v>13574</v>
      </c>
      <c r="AB20" s="242">
        <v>5775</v>
      </c>
      <c r="AC20" s="242">
        <v>420</v>
      </c>
      <c r="AD20" s="245">
        <v>0</v>
      </c>
      <c r="AE20" s="244">
        <v>105</v>
      </c>
      <c r="AF20" s="242">
        <v>380</v>
      </c>
      <c r="AG20" s="242">
        <v>0</v>
      </c>
      <c r="AH20" s="242">
        <v>0</v>
      </c>
      <c r="AI20" s="242">
        <v>8287</v>
      </c>
      <c r="AJ20" s="242">
        <v>12661</v>
      </c>
      <c r="AK20" s="242">
        <v>1294</v>
      </c>
      <c r="AL20" s="245">
        <v>2276</v>
      </c>
      <c r="AM20" s="251">
        <v>7463018</v>
      </c>
      <c r="AN20" s="242">
        <v>1050</v>
      </c>
      <c r="AO20" s="252">
        <v>4507000</v>
      </c>
      <c r="AP20" s="242">
        <v>905</v>
      </c>
      <c r="AQ20" s="252">
        <v>0</v>
      </c>
      <c r="AR20" s="245">
        <v>0</v>
      </c>
    </row>
    <row r="21" spans="1:44" ht="15" x14ac:dyDescent="0.25">
      <c r="A21" s="221">
        <v>825</v>
      </c>
      <c r="B21" s="221" t="s">
        <v>20</v>
      </c>
      <c r="C21" s="221" t="s">
        <v>351</v>
      </c>
      <c r="D21" s="241">
        <v>82733548.909999996</v>
      </c>
      <c r="E21" s="242">
        <v>38323</v>
      </c>
      <c r="F21" s="242">
        <v>43796</v>
      </c>
      <c r="G21" s="243">
        <v>0.1428124103019075</v>
      </c>
      <c r="H21" s="244">
        <v>42388</v>
      </c>
      <c r="I21" s="242">
        <v>44716</v>
      </c>
      <c r="J21" s="242">
        <v>1215</v>
      </c>
      <c r="K21" s="245">
        <v>660</v>
      </c>
      <c r="L21" s="244">
        <v>41609</v>
      </c>
      <c r="M21" s="242">
        <v>41381</v>
      </c>
      <c r="N21" s="246">
        <v>-5.4795837400000002E-3</v>
      </c>
      <c r="O21" s="242">
        <v>41417</v>
      </c>
      <c r="P21" s="247">
        <v>-4.6143863100000003E-3</v>
      </c>
      <c r="Q21" s="248">
        <v>83.9</v>
      </c>
      <c r="R21" s="249">
        <v>7.3</v>
      </c>
      <c r="S21" s="249">
        <v>2.2999999999999998</v>
      </c>
      <c r="T21" s="250">
        <v>93.6</v>
      </c>
      <c r="U21" s="244">
        <v>17</v>
      </c>
      <c r="V21" s="242">
        <v>196</v>
      </c>
      <c r="W21" s="242">
        <v>30</v>
      </c>
      <c r="X21" s="242">
        <v>0</v>
      </c>
      <c r="Y21" s="242">
        <v>0</v>
      </c>
      <c r="Z21" s="242">
        <v>9115</v>
      </c>
      <c r="AA21" s="242">
        <v>29836</v>
      </c>
      <c r="AB21" s="242">
        <v>4252</v>
      </c>
      <c r="AC21" s="242">
        <v>1075</v>
      </c>
      <c r="AD21" s="245">
        <v>0</v>
      </c>
      <c r="AE21" s="244">
        <v>45</v>
      </c>
      <c r="AF21" s="242">
        <v>30</v>
      </c>
      <c r="AG21" s="242">
        <v>21</v>
      </c>
      <c r="AH21" s="242">
        <v>147</v>
      </c>
      <c r="AI21" s="242">
        <v>7414</v>
      </c>
      <c r="AJ21" s="242">
        <v>22308</v>
      </c>
      <c r="AK21" s="242">
        <v>7729</v>
      </c>
      <c r="AL21" s="245">
        <v>6827</v>
      </c>
      <c r="AM21" s="251">
        <v>20626207</v>
      </c>
      <c r="AN21" s="242">
        <v>1573</v>
      </c>
      <c r="AO21" s="252">
        <v>0</v>
      </c>
      <c r="AP21" s="242">
        <v>0</v>
      </c>
      <c r="AQ21" s="252">
        <v>13107000</v>
      </c>
      <c r="AR21" s="245">
        <v>840</v>
      </c>
    </row>
    <row r="22" spans="1:44" ht="15" x14ac:dyDescent="0.25">
      <c r="A22" s="221">
        <v>351</v>
      </c>
      <c r="B22" s="221" t="s">
        <v>21</v>
      </c>
      <c r="C22" s="221" t="s">
        <v>350</v>
      </c>
      <c r="D22" s="241">
        <v>17186638.399999999</v>
      </c>
      <c r="E22" s="242">
        <v>14594</v>
      </c>
      <c r="F22" s="242">
        <v>16267</v>
      </c>
      <c r="G22" s="243">
        <v>0.11463615184322329</v>
      </c>
      <c r="H22" s="244">
        <v>15829</v>
      </c>
      <c r="I22" s="242">
        <v>16126</v>
      </c>
      <c r="J22" s="242">
        <v>225</v>
      </c>
      <c r="K22" s="245">
        <v>420</v>
      </c>
      <c r="L22" s="244">
        <v>15523</v>
      </c>
      <c r="M22" s="242">
        <v>15906</v>
      </c>
      <c r="N22" s="246">
        <v>2.4673065769999999E-2</v>
      </c>
      <c r="O22" s="242">
        <v>15659</v>
      </c>
      <c r="P22" s="247">
        <v>8.7611930600000002E-3</v>
      </c>
      <c r="Q22" s="248">
        <v>84.8</v>
      </c>
      <c r="R22" s="249">
        <v>7.2</v>
      </c>
      <c r="S22" s="249">
        <v>2.7</v>
      </c>
      <c r="T22" s="250">
        <v>94.7</v>
      </c>
      <c r="U22" s="244">
        <v>61</v>
      </c>
      <c r="V22" s="242">
        <v>255</v>
      </c>
      <c r="W22" s="242">
        <v>77</v>
      </c>
      <c r="X22" s="242">
        <v>0</v>
      </c>
      <c r="Y22" s="242">
        <v>0</v>
      </c>
      <c r="Z22" s="242">
        <v>2349</v>
      </c>
      <c r="AA22" s="242">
        <v>10227</v>
      </c>
      <c r="AB22" s="242">
        <v>2072</v>
      </c>
      <c r="AC22" s="242">
        <v>0</v>
      </c>
      <c r="AD22" s="245">
        <v>0</v>
      </c>
      <c r="AE22" s="244">
        <v>119</v>
      </c>
      <c r="AF22" s="242">
        <v>157</v>
      </c>
      <c r="AG22" s="242">
        <v>117</v>
      </c>
      <c r="AH22" s="242">
        <v>0</v>
      </c>
      <c r="AI22" s="242">
        <v>2596</v>
      </c>
      <c r="AJ22" s="242">
        <v>8579</v>
      </c>
      <c r="AK22" s="242">
        <v>3473</v>
      </c>
      <c r="AL22" s="245">
        <v>0</v>
      </c>
      <c r="AM22" s="251">
        <v>1130000</v>
      </c>
      <c r="AN22" s="242">
        <v>95</v>
      </c>
      <c r="AO22" s="252">
        <v>0</v>
      </c>
      <c r="AP22" s="242">
        <v>0</v>
      </c>
      <c r="AQ22" s="252">
        <v>0</v>
      </c>
      <c r="AR22" s="245">
        <v>0</v>
      </c>
    </row>
    <row r="23" spans="1:44" ht="15" x14ac:dyDescent="0.25">
      <c r="A23" s="221">
        <v>381</v>
      </c>
      <c r="B23" s="221" t="s">
        <v>22</v>
      </c>
      <c r="C23" s="221" t="s">
        <v>346</v>
      </c>
      <c r="D23" s="241">
        <v>26437160.869999997</v>
      </c>
      <c r="E23" s="242">
        <v>17410</v>
      </c>
      <c r="F23" s="242">
        <v>19338</v>
      </c>
      <c r="G23" s="243">
        <v>0.11074095347501434</v>
      </c>
      <c r="H23" s="244">
        <v>19163</v>
      </c>
      <c r="I23" s="242">
        <v>20182</v>
      </c>
      <c r="J23" s="242">
        <v>630</v>
      </c>
      <c r="K23" s="245">
        <v>240</v>
      </c>
      <c r="L23" s="244">
        <v>18712</v>
      </c>
      <c r="M23" s="242">
        <v>18937</v>
      </c>
      <c r="N23" s="246">
        <v>1.202436938E-2</v>
      </c>
      <c r="O23" s="242">
        <v>18827</v>
      </c>
      <c r="P23" s="247">
        <v>6.1457887900000004E-3</v>
      </c>
      <c r="Q23" s="248">
        <v>91.2</v>
      </c>
      <c r="R23" s="249">
        <v>5.8</v>
      </c>
      <c r="S23" s="249">
        <v>0.9</v>
      </c>
      <c r="T23" s="250">
        <v>97.8</v>
      </c>
      <c r="U23" s="244">
        <v>122</v>
      </c>
      <c r="V23" s="242">
        <v>325</v>
      </c>
      <c r="W23" s="242">
        <v>56</v>
      </c>
      <c r="X23" s="242">
        <v>0</v>
      </c>
      <c r="Y23" s="242">
        <v>0</v>
      </c>
      <c r="Z23" s="242">
        <v>4372</v>
      </c>
      <c r="AA23" s="242">
        <v>12521</v>
      </c>
      <c r="AB23" s="242">
        <v>2786</v>
      </c>
      <c r="AC23" s="242">
        <v>0</v>
      </c>
      <c r="AD23" s="245">
        <v>0</v>
      </c>
      <c r="AE23" s="244">
        <v>206</v>
      </c>
      <c r="AF23" s="242">
        <v>192</v>
      </c>
      <c r="AG23" s="242">
        <v>45</v>
      </c>
      <c r="AH23" s="242">
        <v>60</v>
      </c>
      <c r="AI23" s="242">
        <v>5295</v>
      </c>
      <c r="AJ23" s="242">
        <v>10742</v>
      </c>
      <c r="AK23" s="242">
        <v>2983</v>
      </c>
      <c r="AL23" s="245">
        <v>659</v>
      </c>
      <c r="AM23" s="251">
        <v>638000</v>
      </c>
      <c r="AN23" s="242">
        <v>365</v>
      </c>
      <c r="AO23" s="252">
        <v>60000</v>
      </c>
      <c r="AP23" s="242">
        <v>30</v>
      </c>
      <c r="AQ23" s="252">
        <v>0</v>
      </c>
      <c r="AR23" s="245">
        <v>0</v>
      </c>
    </row>
    <row r="24" spans="1:44" ht="15" x14ac:dyDescent="0.25">
      <c r="A24" s="221">
        <v>873</v>
      </c>
      <c r="B24" s="221" t="s">
        <v>23</v>
      </c>
      <c r="C24" s="221" t="s">
        <v>348</v>
      </c>
      <c r="D24" s="241">
        <v>137751006.57999998</v>
      </c>
      <c r="E24" s="242">
        <v>43010</v>
      </c>
      <c r="F24" s="242">
        <v>52285</v>
      </c>
      <c r="G24" s="243">
        <v>0.21564752383166708</v>
      </c>
      <c r="H24" s="244">
        <v>48270</v>
      </c>
      <c r="I24" s="242">
        <v>54332</v>
      </c>
      <c r="J24" s="242">
        <v>3720</v>
      </c>
      <c r="K24" s="245">
        <v>840</v>
      </c>
      <c r="L24" s="244">
        <v>47408</v>
      </c>
      <c r="M24" s="242">
        <v>47817</v>
      </c>
      <c r="N24" s="246">
        <v>8.6272359000000003E-3</v>
      </c>
      <c r="O24" s="242">
        <v>48901</v>
      </c>
      <c r="P24" s="247">
        <v>3.1492575090000002E-2</v>
      </c>
      <c r="Q24" s="248">
        <v>90.1</v>
      </c>
      <c r="R24" s="249">
        <v>5.3</v>
      </c>
      <c r="S24" s="249">
        <v>1.3</v>
      </c>
      <c r="T24" s="250">
        <v>96.7</v>
      </c>
      <c r="U24" s="244">
        <v>0</v>
      </c>
      <c r="V24" s="242">
        <v>372</v>
      </c>
      <c r="W24" s="242">
        <v>300</v>
      </c>
      <c r="X24" s="242">
        <v>0</v>
      </c>
      <c r="Y24" s="242">
        <v>0</v>
      </c>
      <c r="Z24" s="242">
        <v>5175</v>
      </c>
      <c r="AA24" s="242">
        <v>35069</v>
      </c>
      <c r="AB24" s="242">
        <v>10461</v>
      </c>
      <c r="AC24" s="242">
        <v>1110</v>
      </c>
      <c r="AD24" s="245">
        <v>0</v>
      </c>
      <c r="AE24" s="244">
        <v>0</v>
      </c>
      <c r="AF24" s="242">
        <v>608</v>
      </c>
      <c r="AG24" s="242">
        <v>34</v>
      </c>
      <c r="AH24" s="242">
        <v>30</v>
      </c>
      <c r="AI24" s="242">
        <v>4242</v>
      </c>
      <c r="AJ24" s="242">
        <v>31098</v>
      </c>
      <c r="AK24" s="242">
        <v>12215</v>
      </c>
      <c r="AL24" s="245">
        <v>4260</v>
      </c>
      <c r="AM24" s="251">
        <v>31293000</v>
      </c>
      <c r="AN24" s="242">
        <v>2215</v>
      </c>
      <c r="AO24" s="252">
        <v>1168000</v>
      </c>
      <c r="AP24" s="242">
        <v>330</v>
      </c>
      <c r="AQ24" s="252">
        <v>35739000</v>
      </c>
      <c r="AR24" s="245">
        <v>1710</v>
      </c>
    </row>
    <row r="25" spans="1:44" ht="15" x14ac:dyDescent="0.25">
      <c r="A25" s="221">
        <v>202</v>
      </c>
      <c r="B25" s="221" t="s">
        <v>24</v>
      </c>
      <c r="C25" s="221" t="s">
        <v>345</v>
      </c>
      <c r="D25" s="241">
        <v>17722852.52</v>
      </c>
      <c r="E25" s="242">
        <v>10362</v>
      </c>
      <c r="F25" s="242">
        <v>11280</v>
      </c>
      <c r="G25" s="243">
        <v>8.8592935726693689E-2</v>
      </c>
      <c r="H25" s="244">
        <v>11004</v>
      </c>
      <c r="I25" s="242">
        <v>11439</v>
      </c>
      <c r="J25" s="242">
        <v>1023</v>
      </c>
      <c r="K25" s="245">
        <v>50</v>
      </c>
      <c r="L25" s="244">
        <v>10870</v>
      </c>
      <c r="M25" s="242">
        <v>10900</v>
      </c>
      <c r="N25" s="246">
        <v>2.7598895999999999E-3</v>
      </c>
      <c r="O25" s="242">
        <v>10870</v>
      </c>
      <c r="P25" s="247">
        <v>0</v>
      </c>
      <c r="Q25" s="248">
        <v>75.599999999999994</v>
      </c>
      <c r="R25" s="249">
        <v>7.6</v>
      </c>
      <c r="S25" s="249">
        <v>4</v>
      </c>
      <c r="T25" s="250">
        <v>87.2</v>
      </c>
      <c r="U25" s="244">
        <v>0</v>
      </c>
      <c r="V25" s="242">
        <v>33</v>
      </c>
      <c r="W25" s="242">
        <v>0</v>
      </c>
      <c r="X25" s="242">
        <v>0</v>
      </c>
      <c r="Y25" s="242">
        <v>0</v>
      </c>
      <c r="Z25" s="242">
        <v>3549</v>
      </c>
      <c r="AA25" s="242">
        <v>7142</v>
      </c>
      <c r="AB25" s="242">
        <v>400</v>
      </c>
      <c r="AC25" s="242">
        <v>0</v>
      </c>
      <c r="AD25" s="245">
        <v>0</v>
      </c>
      <c r="AE25" s="244">
        <v>0</v>
      </c>
      <c r="AF25" s="242">
        <v>0</v>
      </c>
      <c r="AG25" s="242">
        <v>33</v>
      </c>
      <c r="AH25" s="242">
        <v>0</v>
      </c>
      <c r="AI25" s="242">
        <v>7018</v>
      </c>
      <c r="AJ25" s="242">
        <v>3182</v>
      </c>
      <c r="AK25" s="242">
        <v>447</v>
      </c>
      <c r="AL25" s="245">
        <v>444</v>
      </c>
      <c r="AM25" s="251">
        <v>6553000</v>
      </c>
      <c r="AN25" s="242">
        <v>195</v>
      </c>
      <c r="AO25" s="252">
        <v>0</v>
      </c>
      <c r="AP25" s="242">
        <v>0</v>
      </c>
      <c r="AQ25" s="252">
        <v>0</v>
      </c>
      <c r="AR25" s="245">
        <v>0</v>
      </c>
    </row>
    <row r="26" spans="1:44" ht="15" x14ac:dyDescent="0.25">
      <c r="A26" s="221">
        <v>823</v>
      </c>
      <c r="B26" s="221" t="s">
        <v>25</v>
      </c>
      <c r="C26" s="221" t="s">
        <v>348</v>
      </c>
      <c r="D26" s="241">
        <v>72001748.170000002</v>
      </c>
      <c r="E26" s="242">
        <v>19862</v>
      </c>
      <c r="F26" s="242">
        <v>25247</v>
      </c>
      <c r="G26" s="243">
        <v>0.27112073305810092</v>
      </c>
      <c r="H26" s="244">
        <v>23073</v>
      </c>
      <c r="I26" s="242">
        <v>25987</v>
      </c>
      <c r="J26" s="242">
        <v>2040</v>
      </c>
      <c r="K26" s="245">
        <v>180</v>
      </c>
      <c r="L26" s="244">
        <v>22605</v>
      </c>
      <c r="M26" s="242">
        <v>22800</v>
      </c>
      <c r="N26" s="246">
        <v>8.6264100800000007E-3</v>
      </c>
      <c r="O26" s="242">
        <v>23969</v>
      </c>
      <c r="P26" s="247">
        <v>6.0340632599999999E-2</v>
      </c>
      <c r="Q26" s="248">
        <v>91.9</v>
      </c>
      <c r="R26" s="249">
        <v>3.8</v>
      </c>
      <c r="S26" s="249">
        <v>1.1000000000000001</v>
      </c>
      <c r="T26" s="250">
        <v>96.8</v>
      </c>
      <c r="U26" s="244">
        <v>75</v>
      </c>
      <c r="V26" s="242">
        <v>330</v>
      </c>
      <c r="W26" s="242">
        <v>44</v>
      </c>
      <c r="X26" s="242">
        <v>30</v>
      </c>
      <c r="Y26" s="242">
        <v>0</v>
      </c>
      <c r="Z26" s="242">
        <v>5544</v>
      </c>
      <c r="AA26" s="242">
        <v>15465</v>
      </c>
      <c r="AB26" s="242">
        <v>3694</v>
      </c>
      <c r="AC26" s="242">
        <v>580</v>
      </c>
      <c r="AD26" s="245">
        <v>0</v>
      </c>
      <c r="AE26" s="244">
        <v>0</v>
      </c>
      <c r="AF26" s="242">
        <v>0</v>
      </c>
      <c r="AG26" s="242">
        <v>104</v>
      </c>
      <c r="AH26" s="242">
        <v>375</v>
      </c>
      <c r="AI26" s="242">
        <v>0</v>
      </c>
      <c r="AJ26" s="242">
        <v>3667</v>
      </c>
      <c r="AK26" s="242">
        <v>6123</v>
      </c>
      <c r="AL26" s="245">
        <v>15493</v>
      </c>
      <c r="AM26" s="251">
        <v>7012782</v>
      </c>
      <c r="AN26" s="242">
        <v>300</v>
      </c>
      <c r="AO26" s="252">
        <v>0</v>
      </c>
      <c r="AP26" s="242">
        <v>0</v>
      </c>
      <c r="AQ26" s="252">
        <v>11503666</v>
      </c>
      <c r="AR26" s="245">
        <v>600</v>
      </c>
    </row>
    <row r="27" spans="1:44" ht="15" x14ac:dyDescent="0.25">
      <c r="A27" s="221">
        <v>895</v>
      </c>
      <c r="B27" s="221" t="s">
        <v>26</v>
      </c>
      <c r="C27" s="221" t="s">
        <v>350</v>
      </c>
      <c r="D27" s="241">
        <v>37694681.350000001</v>
      </c>
      <c r="E27" s="242">
        <v>25980</v>
      </c>
      <c r="F27" s="242">
        <v>29081</v>
      </c>
      <c r="G27" s="243">
        <v>0.11936104695919947</v>
      </c>
      <c r="H27" s="244">
        <v>28999</v>
      </c>
      <c r="I27" s="242">
        <v>30080</v>
      </c>
      <c r="J27" s="242">
        <v>298</v>
      </c>
      <c r="K27" s="245">
        <v>630</v>
      </c>
      <c r="L27" s="244">
        <v>27692</v>
      </c>
      <c r="M27" s="242">
        <v>27757</v>
      </c>
      <c r="N27" s="246">
        <v>2.3472482999999998E-3</v>
      </c>
      <c r="O27" s="242">
        <v>27622</v>
      </c>
      <c r="P27" s="247">
        <v>-2.5278058600000002E-3</v>
      </c>
      <c r="Q27" s="248">
        <v>90.7</v>
      </c>
      <c r="R27" s="249">
        <v>5.4</v>
      </c>
      <c r="S27" s="249">
        <v>1.2</v>
      </c>
      <c r="T27" s="250">
        <v>97.3</v>
      </c>
      <c r="U27" s="244">
        <v>422</v>
      </c>
      <c r="V27" s="242">
        <v>585</v>
      </c>
      <c r="W27" s="242">
        <v>0</v>
      </c>
      <c r="X27" s="242">
        <v>0</v>
      </c>
      <c r="Y27" s="242">
        <v>0</v>
      </c>
      <c r="Z27" s="242">
        <v>7134</v>
      </c>
      <c r="AA27" s="242">
        <v>20076</v>
      </c>
      <c r="AB27" s="242">
        <v>1366</v>
      </c>
      <c r="AC27" s="242">
        <v>210</v>
      </c>
      <c r="AD27" s="245">
        <v>0</v>
      </c>
      <c r="AE27" s="244">
        <v>203</v>
      </c>
      <c r="AF27" s="242">
        <v>577</v>
      </c>
      <c r="AG27" s="242">
        <v>227</v>
      </c>
      <c r="AH27" s="242">
        <v>0</v>
      </c>
      <c r="AI27" s="242">
        <v>4346</v>
      </c>
      <c r="AJ27" s="242">
        <v>20075</v>
      </c>
      <c r="AK27" s="242">
        <v>4233</v>
      </c>
      <c r="AL27" s="245">
        <v>132</v>
      </c>
      <c r="AM27" s="251">
        <v>7353000</v>
      </c>
      <c r="AN27" s="242">
        <v>757</v>
      </c>
      <c r="AO27" s="252">
        <v>312000</v>
      </c>
      <c r="AP27" s="242">
        <v>105</v>
      </c>
      <c r="AQ27" s="252">
        <v>548000</v>
      </c>
      <c r="AR27" s="245">
        <v>100</v>
      </c>
    </row>
    <row r="28" spans="1:44" ht="15" x14ac:dyDescent="0.25">
      <c r="A28" s="221">
        <v>896</v>
      </c>
      <c r="B28" s="221" t="s">
        <v>27</v>
      </c>
      <c r="C28" s="221" t="s">
        <v>350</v>
      </c>
      <c r="D28" s="241">
        <v>52436725.219999999</v>
      </c>
      <c r="E28" s="242">
        <v>23816</v>
      </c>
      <c r="F28" s="242">
        <v>26762</v>
      </c>
      <c r="G28" s="243">
        <v>0.12369835404769902</v>
      </c>
      <c r="H28" s="244">
        <v>26804</v>
      </c>
      <c r="I28" s="242">
        <v>28693</v>
      </c>
      <c r="J28" s="242">
        <v>3059</v>
      </c>
      <c r="K28" s="245">
        <v>440</v>
      </c>
      <c r="L28" s="244">
        <v>25687</v>
      </c>
      <c r="M28" s="242">
        <v>26096</v>
      </c>
      <c r="N28" s="246">
        <v>1.592245104E-2</v>
      </c>
      <c r="O28" s="242">
        <v>25461</v>
      </c>
      <c r="P28" s="247">
        <v>-8.7982247800000007E-3</v>
      </c>
      <c r="Q28" s="248">
        <v>92.4</v>
      </c>
      <c r="R28" s="249">
        <v>5</v>
      </c>
      <c r="S28" s="249">
        <v>1.1000000000000001</v>
      </c>
      <c r="T28" s="250">
        <v>98.6</v>
      </c>
      <c r="U28" s="244">
        <v>77</v>
      </c>
      <c r="V28" s="242">
        <v>179</v>
      </c>
      <c r="W28" s="242">
        <v>0</v>
      </c>
      <c r="X28" s="242">
        <v>0</v>
      </c>
      <c r="Y28" s="242">
        <v>0</v>
      </c>
      <c r="Z28" s="242">
        <v>6526</v>
      </c>
      <c r="AA28" s="242">
        <v>18203</v>
      </c>
      <c r="AB28" s="242">
        <v>2903</v>
      </c>
      <c r="AC28" s="242">
        <v>0</v>
      </c>
      <c r="AD28" s="245">
        <v>0</v>
      </c>
      <c r="AE28" s="244">
        <v>92</v>
      </c>
      <c r="AF28" s="242">
        <v>164</v>
      </c>
      <c r="AG28" s="242">
        <v>0</v>
      </c>
      <c r="AH28" s="242">
        <v>0</v>
      </c>
      <c r="AI28" s="242">
        <v>6375</v>
      </c>
      <c r="AJ28" s="242">
        <v>16871</v>
      </c>
      <c r="AK28" s="242">
        <v>4218</v>
      </c>
      <c r="AL28" s="245">
        <v>168</v>
      </c>
      <c r="AM28" s="251">
        <v>2291065.9999990002</v>
      </c>
      <c r="AN28" s="242">
        <v>436</v>
      </c>
      <c r="AO28" s="252">
        <v>177921</v>
      </c>
      <c r="AP28" s="242">
        <v>83</v>
      </c>
      <c r="AQ28" s="252">
        <v>0</v>
      </c>
      <c r="AR28" s="245">
        <v>0</v>
      </c>
    </row>
    <row r="29" spans="1:44" ht="15" x14ac:dyDescent="0.25">
      <c r="A29" s="221">
        <v>201</v>
      </c>
      <c r="B29" s="221" t="s">
        <v>28</v>
      </c>
      <c r="C29" s="221" t="s">
        <v>345</v>
      </c>
      <c r="D29" s="241">
        <v>3270832.07</v>
      </c>
      <c r="E29" s="242">
        <v>205</v>
      </c>
      <c r="F29" s="242">
        <v>356</v>
      </c>
      <c r="G29" s="243">
        <v>0.73658536585365852</v>
      </c>
      <c r="H29" s="244">
        <v>210</v>
      </c>
      <c r="I29" s="242">
        <v>210</v>
      </c>
      <c r="J29" s="242">
        <v>210</v>
      </c>
      <c r="K29" s="245">
        <v>10</v>
      </c>
      <c r="L29" s="244">
        <v>203</v>
      </c>
      <c r="M29" s="242">
        <v>258</v>
      </c>
      <c r="N29" s="246">
        <v>0.27093596059000002</v>
      </c>
      <c r="O29" s="242">
        <v>210</v>
      </c>
      <c r="P29" s="247">
        <v>3.4482758619999998E-2</v>
      </c>
      <c r="Q29" s="248">
        <v>78.099999999999994</v>
      </c>
      <c r="R29" s="249">
        <v>15.6</v>
      </c>
      <c r="S29" s="249">
        <v>3.1</v>
      </c>
      <c r="T29" s="250">
        <v>96.9</v>
      </c>
      <c r="U29" s="244">
        <v>0</v>
      </c>
      <c r="V29" s="242">
        <v>0</v>
      </c>
      <c r="W29" s="242">
        <v>0</v>
      </c>
      <c r="X29" s="242">
        <v>0</v>
      </c>
      <c r="Y29" s="242">
        <v>0</v>
      </c>
      <c r="Z29" s="242">
        <v>210</v>
      </c>
      <c r="AA29" s="242">
        <v>0</v>
      </c>
      <c r="AB29" s="242">
        <v>0</v>
      </c>
      <c r="AC29" s="242">
        <v>0</v>
      </c>
      <c r="AD29" s="245">
        <v>0</v>
      </c>
      <c r="AE29" s="244">
        <v>0</v>
      </c>
      <c r="AF29" s="242">
        <v>0</v>
      </c>
      <c r="AG29" s="242">
        <v>0</v>
      </c>
      <c r="AH29" s="242">
        <v>0</v>
      </c>
      <c r="AI29" s="242">
        <v>210</v>
      </c>
      <c r="AJ29" s="242">
        <v>0</v>
      </c>
      <c r="AK29" s="242">
        <v>0</v>
      </c>
      <c r="AL29" s="245">
        <v>0</v>
      </c>
      <c r="AM29" s="251">
        <v>0</v>
      </c>
      <c r="AN29" s="242">
        <v>0</v>
      </c>
      <c r="AO29" s="252">
        <v>0</v>
      </c>
      <c r="AP29" s="242">
        <v>0</v>
      </c>
      <c r="AQ29" s="252">
        <v>0</v>
      </c>
      <c r="AR29" s="245">
        <v>0</v>
      </c>
    </row>
    <row r="30" spans="1:44" ht="15" x14ac:dyDescent="0.25">
      <c r="A30" s="221">
        <v>908</v>
      </c>
      <c r="B30" s="221" t="s">
        <v>29</v>
      </c>
      <c r="C30" s="221" t="s">
        <v>347</v>
      </c>
      <c r="D30" s="241">
        <v>46925075.150000006</v>
      </c>
      <c r="E30" s="242">
        <v>36175</v>
      </c>
      <c r="F30" s="242">
        <v>41717</v>
      </c>
      <c r="G30" s="243">
        <v>0.15319972356599854</v>
      </c>
      <c r="H30" s="244">
        <v>40970</v>
      </c>
      <c r="I30" s="242">
        <v>43225</v>
      </c>
      <c r="J30" s="242">
        <v>1755</v>
      </c>
      <c r="K30" s="245">
        <v>740</v>
      </c>
      <c r="L30" s="244">
        <v>39001</v>
      </c>
      <c r="M30" s="242">
        <v>39020</v>
      </c>
      <c r="N30" s="246">
        <v>4.8716698999999998E-4</v>
      </c>
      <c r="O30" s="242">
        <v>37714</v>
      </c>
      <c r="P30" s="247">
        <v>-3.2999153859999998E-2</v>
      </c>
      <c r="Q30" s="248">
        <v>90.7</v>
      </c>
      <c r="R30" s="249">
        <v>4.5</v>
      </c>
      <c r="S30" s="249">
        <v>0.8</v>
      </c>
      <c r="T30" s="250">
        <v>96.1</v>
      </c>
      <c r="U30" s="244">
        <v>291</v>
      </c>
      <c r="V30" s="242">
        <v>605</v>
      </c>
      <c r="W30" s="242">
        <v>0</v>
      </c>
      <c r="X30" s="242">
        <v>0</v>
      </c>
      <c r="Y30" s="242">
        <v>0</v>
      </c>
      <c r="Z30" s="242">
        <v>7575</v>
      </c>
      <c r="AA30" s="242">
        <v>26270</v>
      </c>
      <c r="AB30" s="242">
        <v>3742</v>
      </c>
      <c r="AC30" s="242">
        <v>554</v>
      </c>
      <c r="AD30" s="245">
        <v>0</v>
      </c>
      <c r="AE30" s="244">
        <v>106</v>
      </c>
      <c r="AF30" s="242">
        <v>513</v>
      </c>
      <c r="AG30" s="242">
        <v>217</v>
      </c>
      <c r="AH30" s="242">
        <v>60</v>
      </c>
      <c r="AI30" s="242">
        <v>5182</v>
      </c>
      <c r="AJ30" s="242">
        <v>21612</v>
      </c>
      <c r="AK30" s="242">
        <v>8220</v>
      </c>
      <c r="AL30" s="245">
        <v>3127</v>
      </c>
      <c r="AM30" s="251">
        <v>5038541</v>
      </c>
      <c r="AN30" s="242">
        <v>480</v>
      </c>
      <c r="AO30" s="252">
        <v>496000</v>
      </c>
      <c r="AP30" s="242">
        <v>90</v>
      </c>
      <c r="AQ30" s="252">
        <v>0</v>
      </c>
      <c r="AR30" s="245">
        <v>0</v>
      </c>
    </row>
    <row r="31" spans="1:44" ht="15" x14ac:dyDescent="0.25">
      <c r="A31" s="221">
        <v>331</v>
      </c>
      <c r="B31" s="221" t="s">
        <v>30</v>
      </c>
      <c r="C31" s="221" t="s">
        <v>349</v>
      </c>
      <c r="D31" s="241">
        <v>48445861.100000001</v>
      </c>
      <c r="E31" s="242">
        <v>25147</v>
      </c>
      <c r="F31" s="242">
        <v>31380</v>
      </c>
      <c r="G31" s="243">
        <v>0.24786256809957452</v>
      </c>
      <c r="H31" s="244">
        <v>27204</v>
      </c>
      <c r="I31" s="242">
        <v>33682</v>
      </c>
      <c r="J31" s="242">
        <v>915</v>
      </c>
      <c r="K31" s="245">
        <v>50</v>
      </c>
      <c r="L31" s="244">
        <v>28899</v>
      </c>
      <c r="M31" s="242">
        <v>28848</v>
      </c>
      <c r="N31" s="246">
        <v>-1.76476694E-3</v>
      </c>
      <c r="O31" s="242">
        <v>28862</v>
      </c>
      <c r="P31" s="247">
        <v>-1.2803211100000001E-3</v>
      </c>
      <c r="Q31" s="248">
        <v>90.1</v>
      </c>
      <c r="R31" s="249">
        <v>6.5</v>
      </c>
      <c r="S31" s="249">
        <v>1.5</v>
      </c>
      <c r="T31" s="250">
        <v>98.1</v>
      </c>
      <c r="U31" s="244">
        <v>0</v>
      </c>
      <c r="V31" s="242">
        <v>2220</v>
      </c>
      <c r="W31" s="242">
        <v>30</v>
      </c>
      <c r="X31" s="242">
        <v>0</v>
      </c>
      <c r="Y31" s="242">
        <v>0</v>
      </c>
      <c r="Z31" s="242">
        <v>1680</v>
      </c>
      <c r="AA31" s="242">
        <v>23731</v>
      </c>
      <c r="AB31" s="242">
        <v>5111</v>
      </c>
      <c r="AC31" s="242">
        <v>0</v>
      </c>
      <c r="AD31" s="245">
        <v>0</v>
      </c>
      <c r="AE31" s="244">
        <v>150</v>
      </c>
      <c r="AF31" s="242">
        <v>1470</v>
      </c>
      <c r="AG31" s="242">
        <v>630</v>
      </c>
      <c r="AH31" s="242">
        <v>0</v>
      </c>
      <c r="AI31" s="242">
        <v>5825</v>
      </c>
      <c r="AJ31" s="242">
        <v>18746</v>
      </c>
      <c r="AK31" s="242">
        <v>5771</v>
      </c>
      <c r="AL31" s="245">
        <v>180</v>
      </c>
      <c r="AM31" s="251">
        <v>49536856.358948998</v>
      </c>
      <c r="AN31" s="242">
        <v>4335</v>
      </c>
      <c r="AO31" s="252">
        <v>0</v>
      </c>
      <c r="AP31" s="242">
        <v>0</v>
      </c>
      <c r="AQ31" s="252">
        <v>3783166.6666529998</v>
      </c>
      <c r="AR31" s="245">
        <v>525</v>
      </c>
    </row>
    <row r="32" spans="1:44" x14ac:dyDescent="0.3">
      <c r="A32" s="221">
        <v>306</v>
      </c>
      <c r="B32" s="221" t="s">
        <v>31</v>
      </c>
      <c r="C32" s="221" t="s">
        <v>345</v>
      </c>
      <c r="D32" s="241">
        <v>202942529.62</v>
      </c>
      <c r="E32" s="242">
        <v>27112</v>
      </c>
      <c r="F32" s="242">
        <v>35795</v>
      </c>
      <c r="G32" s="243">
        <v>0.32026408970197706</v>
      </c>
      <c r="H32" s="244">
        <v>28556</v>
      </c>
      <c r="I32" s="242">
        <v>36031</v>
      </c>
      <c r="J32" s="242">
        <v>3990</v>
      </c>
      <c r="K32" s="245">
        <v>20</v>
      </c>
      <c r="L32" s="244">
        <v>31560</v>
      </c>
      <c r="M32" s="242">
        <v>32155</v>
      </c>
      <c r="N32" s="246">
        <v>1.8852978449999998E-2</v>
      </c>
      <c r="O32" s="242">
        <v>35313</v>
      </c>
      <c r="P32" s="247">
        <v>0.1189163498</v>
      </c>
      <c r="Q32" s="248">
        <v>82.2</v>
      </c>
      <c r="R32" s="249">
        <v>8.4</v>
      </c>
      <c r="S32" s="249">
        <v>3.6</v>
      </c>
      <c r="T32" s="250">
        <v>94.2</v>
      </c>
      <c r="U32" s="244">
        <v>522</v>
      </c>
      <c r="V32" s="242">
        <v>668</v>
      </c>
      <c r="W32" s="242">
        <v>180</v>
      </c>
      <c r="X32" s="242">
        <v>72</v>
      </c>
      <c r="Y32" s="242">
        <v>0</v>
      </c>
      <c r="Z32" s="242">
        <v>7164</v>
      </c>
      <c r="AA32" s="242">
        <v>19230</v>
      </c>
      <c r="AB32" s="242">
        <v>3303</v>
      </c>
      <c r="AC32" s="242">
        <v>651</v>
      </c>
      <c r="AD32" s="245">
        <v>0</v>
      </c>
      <c r="AE32" s="244">
        <v>157</v>
      </c>
      <c r="AF32" s="242">
        <v>998</v>
      </c>
      <c r="AG32" s="242">
        <v>80</v>
      </c>
      <c r="AH32" s="242">
        <v>207</v>
      </c>
      <c r="AI32" s="242">
        <v>7126</v>
      </c>
      <c r="AJ32" s="242">
        <v>14130</v>
      </c>
      <c r="AK32" s="242">
        <v>5331</v>
      </c>
      <c r="AL32" s="245">
        <v>3761</v>
      </c>
      <c r="AM32" s="251">
        <v>65943225</v>
      </c>
      <c r="AN32" s="242">
        <v>3610</v>
      </c>
      <c r="AO32" s="252">
        <v>11204179</v>
      </c>
      <c r="AP32" s="242">
        <v>2010</v>
      </c>
      <c r="AQ32" s="252">
        <v>25546110</v>
      </c>
      <c r="AR32" s="245">
        <v>2025</v>
      </c>
    </row>
    <row r="33" spans="1:44" x14ac:dyDescent="0.3">
      <c r="A33" s="221">
        <v>909</v>
      </c>
      <c r="B33" s="221" t="s">
        <v>32</v>
      </c>
      <c r="C33" s="221" t="s">
        <v>350</v>
      </c>
      <c r="D33" s="241">
        <v>20374236.330000002</v>
      </c>
      <c r="E33" s="242">
        <v>34461</v>
      </c>
      <c r="F33" s="242">
        <v>35270</v>
      </c>
      <c r="G33" s="243">
        <v>2.3475813238153176E-2</v>
      </c>
      <c r="H33" s="244">
        <v>38171</v>
      </c>
      <c r="I33" s="242">
        <v>41025</v>
      </c>
      <c r="J33" s="242">
        <v>345</v>
      </c>
      <c r="K33" s="245">
        <v>180</v>
      </c>
      <c r="L33" s="244">
        <v>35474</v>
      </c>
      <c r="M33" s="242">
        <v>35190</v>
      </c>
      <c r="N33" s="246">
        <v>-8.0058634400000002E-3</v>
      </c>
      <c r="O33" s="242">
        <v>35171</v>
      </c>
      <c r="P33" s="247">
        <v>-8.5414669800000006E-3</v>
      </c>
      <c r="Q33" s="248">
        <v>94.7</v>
      </c>
      <c r="R33" s="249">
        <v>3.3</v>
      </c>
      <c r="S33" s="249">
        <v>0.7</v>
      </c>
      <c r="T33" s="250">
        <v>98.6</v>
      </c>
      <c r="U33" s="244">
        <v>105</v>
      </c>
      <c r="V33" s="242">
        <v>744</v>
      </c>
      <c r="W33" s="242">
        <v>86</v>
      </c>
      <c r="X33" s="242">
        <v>203</v>
      </c>
      <c r="Y33" s="242">
        <v>0</v>
      </c>
      <c r="Z33" s="242">
        <v>5191</v>
      </c>
      <c r="AA33" s="242">
        <v>29410</v>
      </c>
      <c r="AB33" s="242">
        <v>4670</v>
      </c>
      <c r="AC33" s="242">
        <v>448</v>
      </c>
      <c r="AD33" s="245">
        <v>0</v>
      </c>
      <c r="AE33" s="244">
        <v>121</v>
      </c>
      <c r="AF33" s="242">
        <v>694</v>
      </c>
      <c r="AG33" s="242">
        <v>182</v>
      </c>
      <c r="AH33" s="242">
        <v>141</v>
      </c>
      <c r="AI33" s="242">
        <v>3612</v>
      </c>
      <c r="AJ33" s="242">
        <v>23262</v>
      </c>
      <c r="AK33" s="242">
        <v>7626</v>
      </c>
      <c r="AL33" s="245">
        <v>5219</v>
      </c>
      <c r="AM33" s="251">
        <v>7631001.3098569997</v>
      </c>
      <c r="AN33" s="242">
        <v>1284</v>
      </c>
      <c r="AO33" s="252">
        <v>429000</v>
      </c>
      <c r="AP33" s="242">
        <v>75</v>
      </c>
      <c r="AQ33" s="252">
        <v>24030</v>
      </c>
      <c r="AR33" s="245">
        <v>14</v>
      </c>
    </row>
    <row r="34" spans="1:44" x14ac:dyDescent="0.3">
      <c r="A34" s="221">
        <v>841</v>
      </c>
      <c r="B34" s="221" t="s">
        <v>33</v>
      </c>
      <c r="C34" s="221" t="s">
        <v>352</v>
      </c>
      <c r="D34" s="241">
        <v>9492317.3399999999</v>
      </c>
      <c r="E34" s="242">
        <v>8049</v>
      </c>
      <c r="F34" s="242">
        <v>8681</v>
      </c>
      <c r="G34" s="243">
        <v>7.8519070692011361E-2</v>
      </c>
      <c r="H34" s="244">
        <v>8480</v>
      </c>
      <c r="I34" s="242">
        <v>9176</v>
      </c>
      <c r="J34" s="242">
        <v>666</v>
      </c>
      <c r="K34" s="245">
        <v>0</v>
      </c>
      <c r="L34" s="244">
        <v>8498</v>
      </c>
      <c r="M34" s="242">
        <v>8529</v>
      </c>
      <c r="N34" s="246">
        <v>3.6479171499999999E-3</v>
      </c>
      <c r="O34" s="242">
        <v>8709</v>
      </c>
      <c r="P34" s="247">
        <v>2.4829371610000001E-2</v>
      </c>
      <c r="Q34" s="248">
        <v>88.3</v>
      </c>
      <c r="R34" s="249">
        <v>6.5</v>
      </c>
      <c r="S34" s="249">
        <v>1.3</v>
      </c>
      <c r="T34" s="250">
        <v>96</v>
      </c>
      <c r="U34" s="244">
        <v>0</v>
      </c>
      <c r="V34" s="242">
        <v>402</v>
      </c>
      <c r="W34" s="242">
        <v>45</v>
      </c>
      <c r="X34" s="242">
        <v>0</v>
      </c>
      <c r="Y34" s="242">
        <v>0</v>
      </c>
      <c r="Z34" s="242">
        <v>1376</v>
      </c>
      <c r="AA34" s="242">
        <v>6408</v>
      </c>
      <c r="AB34" s="242">
        <v>945</v>
      </c>
      <c r="AC34" s="242">
        <v>0</v>
      </c>
      <c r="AD34" s="245">
        <v>0</v>
      </c>
      <c r="AE34" s="244">
        <v>0</v>
      </c>
      <c r="AF34" s="242">
        <v>230</v>
      </c>
      <c r="AG34" s="242">
        <v>157</v>
      </c>
      <c r="AH34" s="242">
        <v>60</v>
      </c>
      <c r="AI34" s="242">
        <v>4080</v>
      </c>
      <c r="AJ34" s="242">
        <v>2976</v>
      </c>
      <c r="AK34" s="242">
        <v>1193</v>
      </c>
      <c r="AL34" s="245">
        <v>480</v>
      </c>
      <c r="AM34" s="251">
        <v>4296269</v>
      </c>
      <c r="AN34" s="242">
        <v>545</v>
      </c>
      <c r="AO34" s="252">
        <v>175000</v>
      </c>
      <c r="AP34" s="242">
        <v>30</v>
      </c>
      <c r="AQ34" s="252">
        <v>0</v>
      </c>
      <c r="AR34" s="245">
        <v>0</v>
      </c>
    </row>
    <row r="35" spans="1:44" x14ac:dyDescent="0.3">
      <c r="A35" s="221">
        <v>831</v>
      </c>
      <c r="B35" s="221" t="s">
        <v>34</v>
      </c>
      <c r="C35" s="221" t="s">
        <v>353</v>
      </c>
      <c r="D35" s="241">
        <v>43547509.969999999</v>
      </c>
      <c r="E35" s="242">
        <v>19498</v>
      </c>
      <c r="F35" s="242">
        <v>23695</v>
      </c>
      <c r="G35" s="243">
        <v>0.21525284644578924</v>
      </c>
      <c r="H35" s="244">
        <v>21873</v>
      </c>
      <c r="I35" s="242">
        <v>24683</v>
      </c>
      <c r="J35" s="242">
        <v>391</v>
      </c>
      <c r="K35" s="245">
        <v>410</v>
      </c>
      <c r="L35" s="244">
        <v>22080</v>
      </c>
      <c r="M35" s="242">
        <v>22091</v>
      </c>
      <c r="N35" s="246">
        <v>4.9818840000000002E-4</v>
      </c>
      <c r="O35" s="242">
        <v>22905</v>
      </c>
      <c r="P35" s="247">
        <v>3.7364130430000003E-2</v>
      </c>
      <c r="Q35" s="248">
        <v>88.4</v>
      </c>
      <c r="R35" s="249">
        <v>6.8</v>
      </c>
      <c r="S35" s="249">
        <v>2</v>
      </c>
      <c r="T35" s="250">
        <v>97.2</v>
      </c>
      <c r="U35" s="244">
        <v>0</v>
      </c>
      <c r="V35" s="242">
        <v>1375</v>
      </c>
      <c r="W35" s="242">
        <v>323</v>
      </c>
      <c r="X35" s="242">
        <v>28</v>
      </c>
      <c r="Y35" s="242">
        <v>0</v>
      </c>
      <c r="Z35" s="242">
        <v>2439</v>
      </c>
      <c r="AA35" s="242">
        <v>13104</v>
      </c>
      <c r="AB35" s="242">
        <v>6040</v>
      </c>
      <c r="AC35" s="242">
        <v>357</v>
      </c>
      <c r="AD35" s="245">
        <v>0</v>
      </c>
      <c r="AE35" s="244">
        <v>197</v>
      </c>
      <c r="AF35" s="242">
        <v>774</v>
      </c>
      <c r="AG35" s="242">
        <v>420</v>
      </c>
      <c r="AH35" s="242">
        <v>335</v>
      </c>
      <c r="AI35" s="242">
        <v>4018</v>
      </c>
      <c r="AJ35" s="242">
        <v>8062</v>
      </c>
      <c r="AK35" s="242">
        <v>6745</v>
      </c>
      <c r="AL35" s="245">
        <v>3115</v>
      </c>
      <c r="AM35" s="251">
        <v>20281960</v>
      </c>
      <c r="AN35" s="242">
        <v>2091</v>
      </c>
      <c r="AO35" s="252">
        <v>0</v>
      </c>
      <c r="AP35" s="242">
        <v>0</v>
      </c>
      <c r="AQ35" s="252">
        <v>0</v>
      </c>
      <c r="AR35" s="245">
        <v>0</v>
      </c>
    </row>
    <row r="36" spans="1:44" x14ac:dyDescent="0.3">
      <c r="A36" s="221">
        <v>830</v>
      </c>
      <c r="B36" s="221" t="s">
        <v>35</v>
      </c>
      <c r="C36" s="221" t="s">
        <v>353</v>
      </c>
      <c r="D36" s="241">
        <v>36094277.909999996</v>
      </c>
      <c r="E36" s="242">
        <v>54744</v>
      </c>
      <c r="F36" s="242">
        <v>58773</v>
      </c>
      <c r="G36" s="243">
        <v>7.3597106532222734E-2</v>
      </c>
      <c r="H36" s="244">
        <v>62140</v>
      </c>
      <c r="I36" s="242">
        <v>64087</v>
      </c>
      <c r="J36" s="242">
        <v>1026</v>
      </c>
      <c r="K36" s="245">
        <v>670</v>
      </c>
      <c r="L36" s="244">
        <v>57581</v>
      </c>
      <c r="M36" s="242">
        <v>57154</v>
      </c>
      <c r="N36" s="246">
        <v>-7.4156405699999997E-3</v>
      </c>
      <c r="O36" s="242">
        <v>56587</v>
      </c>
      <c r="P36" s="247">
        <v>-1.726263871E-2</v>
      </c>
      <c r="Q36" s="248">
        <v>94.5</v>
      </c>
      <c r="R36" s="249">
        <v>3.8</v>
      </c>
      <c r="S36" s="249">
        <v>0.6</v>
      </c>
      <c r="T36" s="250">
        <v>98.9</v>
      </c>
      <c r="U36" s="244">
        <v>101</v>
      </c>
      <c r="V36" s="242">
        <v>356</v>
      </c>
      <c r="W36" s="242">
        <v>116</v>
      </c>
      <c r="X36" s="242">
        <v>0</v>
      </c>
      <c r="Y36" s="242">
        <v>0</v>
      </c>
      <c r="Z36" s="242">
        <v>7020</v>
      </c>
      <c r="AA36" s="242">
        <v>40801</v>
      </c>
      <c r="AB36" s="242">
        <v>14557</v>
      </c>
      <c r="AC36" s="242">
        <v>944</v>
      </c>
      <c r="AD36" s="245">
        <v>0</v>
      </c>
      <c r="AE36" s="244">
        <v>0</v>
      </c>
      <c r="AF36" s="242">
        <v>277</v>
      </c>
      <c r="AG36" s="242">
        <v>110</v>
      </c>
      <c r="AH36" s="242">
        <v>186</v>
      </c>
      <c r="AI36" s="242">
        <v>3856</v>
      </c>
      <c r="AJ36" s="242">
        <v>32573</v>
      </c>
      <c r="AK36" s="242">
        <v>16055</v>
      </c>
      <c r="AL36" s="245">
        <v>10838</v>
      </c>
      <c r="AM36" s="251">
        <v>8864000</v>
      </c>
      <c r="AN36" s="242">
        <v>766</v>
      </c>
      <c r="AO36" s="252">
        <v>875000</v>
      </c>
      <c r="AP36" s="242">
        <v>106</v>
      </c>
      <c r="AQ36" s="252">
        <v>2800000</v>
      </c>
      <c r="AR36" s="245">
        <v>30</v>
      </c>
    </row>
    <row r="37" spans="1:44" x14ac:dyDescent="0.3">
      <c r="A37" s="221">
        <v>878</v>
      </c>
      <c r="B37" s="221" t="s">
        <v>36</v>
      </c>
      <c r="C37" s="221" t="s">
        <v>347</v>
      </c>
      <c r="D37" s="241">
        <v>71389066.010000005</v>
      </c>
      <c r="E37" s="242">
        <v>49808</v>
      </c>
      <c r="F37" s="242">
        <v>54808</v>
      </c>
      <c r="G37" s="243">
        <v>0.10038548024413751</v>
      </c>
      <c r="H37" s="244">
        <v>54609</v>
      </c>
      <c r="I37" s="242">
        <v>59910</v>
      </c>
      <c r="J37" s="242">
        <v>2554</v>
      </c>
      <c r="K37" s="245">
        <v>640</v>
      </c>
      <c r="L37" s="244">
        <v>52879</v>
      </c>
      <c r="M37" s="242">
        <v>52409</v>
      </c>
      <c r="N37" s="246">
        <v>-8.8882164899999998E-3</v>
      </c>
      <c r="O37" s="242">
        <v>52428</v>
      </c>
      <c r="P37" s="247">
        <v>-8.52890561E-3</v>
      </c>
      <c r="Q37" s="248">
        <v>94.4</v>
      </c>
      <c r="R37" s="249">
        <v>3.2</v>
      </c>
      <c r="S37" s="249">
        <v>0.5</v>
      </c>
      <c r="T37" s="250">
        <v>98.1</v>
      </c>
      <c r="U37" s="244">
        <v>56</v>
      </c>
      <c r="V37" s="242">
        <v>573</v>
      </c>
      <c r="W37" s="242">
        <v>55</v>
      </c>
      <c r="X37" s="242">
        <v>0</v>
      </c>
      <c r="Y37" s="242">
        <v>0</v>
      </c>
      <c r="Z37" s="242">
        <v>12019</v>
      </c>
      <c r="AA37" s="242">
        <v>37906</v>
      </c>
      <c r="AB37" s="242">
        <v>7570</v>
      </c>
      <c r="AC37" s="242">
        <v>636</v>
      </c>
      <c r="AD37" s="245">
        <v>0</v>
      </c>
      <c r="AE37" s="244">
        <v>275</v>
      </c>
      <c r="AF37" s="242">
        <v>263</v>
      </c>
      <c r="AG37" s="242">
        <v>146</v>
      </c>
      <c r="AH37" s="242">
        <v>0</v>
      </c>
      <c r="AI37" s="242">
        <v>10987</v>
      </c>
      <c r="AJ37" s="242">
        <v>34273</v>
      </c>
      <c r="AK37" s="242">
        <v>8480</v>
      </c>
      <c r="AL37" s="245">
        <v>4391</v>
      </c>
      <c r="AM37" s="251">
        <v>23699048.368662</v>
      </c>
      <c r="AN37" s="242">
        <v>2142</v>
      </c>
      <c r="AO37" s="252">
        <v>230398</v>
      </c>
      <c r="AP37" s="242">
        <v>60</v>
      </c>
      <c r="AQ37" s="252">
        <v>1092718</v>
      </c>
      <c r="AR37" s="245">
        <v>35</v>
      </c>
    </row>
    <row r="38" spans="1:44" x14ac:dyDescent="0.3">
      <c r="A38" s="221">
        <v>371</v>
      </c>
      <c r="B38" s="221" t="s">
        <v>37</v>
      </c>
      <c r="C38" s="221" t="s">
        <v>346</v>
      </c>
      <c r="D38" s="241">
        <v>34736235.740000002</v>
      </c>
      <c r="E38" s="242">
        <v>22846</v>
      </c>
      <c r="F38" s="242">
        <v>27007</v>
      </c>
      <c r="G38" s="243">
        <v>0.18213253961306131</v>
      </c>
      <c r="H38" s="244">
        <v>27075</v>
      </c>
      <c r="I38" s="242">
        <v>28351</v>
      </c>
      <c r="J38" s="242">
        <v>2658</v>
      </c>
      <c r="K38" s="245">
        <v>170</v>
      </c>
      <c r="L38" s="244">
        <v>24999</v>
      </c>
      <c r="M38" s="242">
        <v>25083</v>
      </c>
      <c r="N38" s="246">
        <v>3.3601344E-3</v>
      </c>
      <c r="O38" s="242">
        <v>24831</v>
      </c>
      <c r="P38" s="247">
        <v>-6.72026881E-3</v>
      </c>
      <c r="Q38" s="248">
        <v>94.2</v>
      </c>
      <c r="R38" s="249">
        <v>2.6</v>
      </c>
      <c r="S38" s="249">
        <v>0.8</v>
      </c>
      <c r="T38" s="250">
        <v>97.6</v>
      </c>
      <c r="U38" s="244">
        <v>226</v>
      </c>
      <c r="V38" s="242">
        <v>182</v>
      </c>
      <c r="W38" s="242">
        <v>259</v>
      </c>
      <c r="X38" s="242">
        <v>0</v>
      </c>
      <c r="Y38" s="242">
        <v>0</v>
      </c>
      <c r="Z38" s="242">
        <v>3976</v>
      </c>
      <c r="AA38" s="242">
        <v>12472</v>
      </c>
      <c r="AB38" s="242">
        <v>9218</v>
      </c>
      <c r="AC38" s="242">
        <v>1183</v>
      </c>
      <c r="AD38" s="245">
        <v>0</v>
      </c>
      <c r="AE38" s="244">
        <v>0</v>
      </c>
      <c r="AF38" s="242">
        <v>394</v>
      </c>
      <c r="AG38" s="242">
        <v>258</v>
      </c>
      <c r="AH38" s="242">
        <v>15</v>
      </c>
      <c r="AI38" s="242">
        <v>2139</v>
      </c>
      <c r="AJ38" s="242">
        <v>14095</v>
      </c>
      <c r="AK38" s="242">
        <v>8659</v>
      </c>
      <c r="AL38" s="245">
        <v>1956</v>
      </c>
      <c r="AM38" s="251">
        <v>1607019</v>
      </c>
      <c r="AN38" s="242">
        <v>249</v>
      </c>
      <c r="AO38" s="252">
        <v>0</v>
      </c>
      <c r="AP38" s="242">
        <v>0</v>
      </c>
      <c r="AQ38" s="252">
        <v>0</v>
      </c>
      <c r="AR38" s="245">
        <v>0</v>
      </c>
    </row>
    <row r="39" spans="1:44" x14ac:dyDescent="0.3">
      <c r="A39" s="221">
        <v>835</v>
      </c>
      <c r="B39" s="221" t="s">
        <v>38</v>
      </c>
      <c r="C39" s="221" t="s">
        <v>347</v>
      </c>
      <c r="D39" s="241">
        <v>30382951.769999996</v>
      </c>
      <c r="E39" s="242">
        <v>26650</v>
      </c>
      <c r="F39" s="242">
        <v>29188</v>
      </c>
      <c r="G39" s="243">
        <v>9.5234521575984887E-2</v>
      </c>
      <c r="H39" s="244">
        <v>30899</v>
      </c>
      <c r="I39" s="242">
        <v>31762</v>
      </c>
      <c r="J39" s="242">
        <v>830</v>
      </c>
      <c r="K39" s="245">
        <v>130</v>
      </c>
      <c r="L39" s="244">
        <v>28216</v>
      </c>
      <c r="M39" s="242">
        <v>28089</v>
      </c>
      <c r="N39" s="246">
        <v>-4.50099234E-3</v>
      </c>
      <c r="O39" s="242">
        <v>28197</v>
      </c>
      <c r="P39" s="247">
        <v>-6.733768E-4</v>
      </c>
      <c r="Q39" s="248">
        <v>92.1</v>
      </c>
      <c r="R39" s="249">
        <v>4.5999999999999996</v>
      </c>
      <c r="S39" s="249">
        <v>1.1000000000000001</v>
      </c>
      <c r="T39" s="250">
        <v>97.8</v>
      </c>
      <c r="U39" s="244">
        <v>223</v>
      </c>
      <c r="V39" s="242">
        <v>245</v>
      </c>
      <c r="W39" s="242">
        <v>42</v>
      </c>
      <c r="X39" s="242">
        <v>93</v>
      </c>
      <c r="Y39" s="242">
        <v>0</v>
      </c>
      <c r="Z39" s="242">
        <v>7438</v>
      </c>
      <c r="AA39" s="242">
        <v>17537</v>
      </c>
      <c r="AB39" s="242">
        <v>5263</v>
      </c>
      <c r="AC39" s="242">
        <v>516</v>
      </c>
      <c r="AD39" s="245">
        <v>0</v>
      </c>
      <c r="AE39" s="244">
        <v>0</v>
      </c>
      <c r="AF39" s="242">
        <v>209</v>
      </c>
      <c r="AG39" s="242">
        <v>323</v>
      </c>
      <c r="AH39" s="242">
        <v>71</v>
      </c>
      <c r="AI39" s="242">
        <v>2732</v>
      </c>
      <c r="AJ39" s="242">
        <v>11181</v>
      </c>
      <c r="AK39" s="242">
        <v>9102</v>
      </c>
      <c r="AL39" s="245">
        <v>7739</v>
      </c>
      <c r="AM39" s="251">
        <v>8215000</v>
      </c>
      <c r="AN39" s="242">
        <v>750</v>
      </c>
      <c r="AO39" s="252">
        <v>837000</v>
      </c>
      <c r="AP39" s="242">
        <v>205</v>
      </c>
      <c r="AQ39" s="252">
        <v>0</v>
      </c>
      <c r="AR39" s="245">
        <v>0</v>
      </c>
    </row>
    <row r="40" spans="1:44" x14ac:dyDescent="0.3">
      <c r="A40" s="221">
        <v>332</v>
      </c>
      <c r="B40" s="221" t="s">
        <v>39</v>
      </c>
      <c r="C40" s="221" t="s">
        <v>349</v>
      </c>
      <c r="D40" s="241">
        <v>23762767.969999999</v>
      </c>
      <c r="E40" s="242">
        <v>24475</v>
      </c>
      <c r="F40" s="242">
        <v>27024</v>
      </c>
      <c r="G40" s="243">
        <v>0.10414708886618995</v>
      </c>
      <c r="H40" s="244">
        <v>27546</v>
      </c>
      <c r="I40" s="242">
        <v>27579</v>
      </c>
      <c r="J40" s="242">
        <v>915</v>
      </c>
      <c r="K40" s="245">
        <v>130</v>
      </c>
      <c r="L40" s="244">
        <v>25613</v>
      </c>
      <c r="M40" s="242">
        <v>25714</v>
      </c>
      <c r="N40" s="246">
        <v>3.9433100300000001E-3</v>
      </c>
      <c r="O40" s="242">
        <v>25101</v>
      </c>
      <c r="P40" s="247">
        <v>-1.9989848899999999E-2</v>
      </c>
      <c r="Q40" s="248">
        <v>89.5</v>
      </c>
      <c r="R40" s="249">
        <v>5.6</v>
      </c>
      <c r="S40" s="249">
        <v>1.8</v>
      </c>
      <c r="T40" s="250">
        <v>96.9</v>
      </c>
      <c r="U40" s="244">
        <v>0</v>
      </c>
      <c r="V40" s="242">
        <v>0</v>
      </c>
      <c r="W40" s="242">
        <v>0</v>
      </c>
      <c r="X40" s="242">
        <v>38</v>
      </c>
      <c r="Y40" s="242">
        <v>0</v>
      </c>
      <c r="Z40" s="242">
        <v>2188</v>
      </c>
      <c r="AA40" s="242">
        <v>21571</v>
      </c>
      <c r="AB40" s="242">
        <v>2667</v>
      </c>
      <c r="AC40" s="242">
        <v>1115</v>
      </c>
      <c r="AD40" s="245">
        <v>0</v>
      </c>
      <c r="AE40" s="244">
        <v>0</v>
      </c>
      <c r="AF40" s="242">
        <v>0</v>
      </c>
      <c r="AG40" s="242">
        <v>38</v>
      </c>
      <c r="AH40" s="242">
        <v>0</v>
      </c>
      <c r="AI40" s="242">
        <v>2866</v>
      </c>
      <c r="AJ40" s="242">
        <v>16359</v>
      </c>
      <c r="AK40" s="242">
        <v>8316</v>
      </c>
      <c r="AL40" s="245">
        <v>0</v>
      </c>
      <c r="AM40" s="251">
        <v>1901233</v>
      </c>
      <c r="AN40" s="242">
        <v>322</v>
      </c>
      <c r="AO40" s="252">
        <v>0</v>
      </c>
      <c r="AP40" s="242">
        <v>0</v>
      </c>
      <c r="AQ40" s="252">
        <v>0</v>
      </c>
      <c r="AR40" s="245">
        <v>0</v>
      </c>
    </row>
    <row r="41" spans="1:44" x14ac:dyDescent="0.3">
      <c r="A41" s="221">
        <v>840</v>
      </c>
      <c r="B41" s="221" t="s">
        <v>40</v>
      </c>
      <c r="C41" s="221" t="s">
        <v>352</v>
      </c>
      <c r="D41" s="241">
        <v>15970903.65</v>
      </c>
      <c r="E41" s="242">
        <v>35782</v>
      </c>
      <c r="F41" s="242">
        <v>38550</v>
      </c>
      <c r="G41" s="243">
        <v>7.7357330501369503E-2</v>
      </c>
      <c r="H41" s="244">
        <v>42888</v>
      </c>
      <c r="I41" s="242">
        <v>44476</v>
      </c>
      <c r="J41" s="242">
        <v>796</v>
      </c>
      <c r="K41" s="245">
        <v>120</v>
      </c>
      <c r="L41" s="244">
        <v>37965</v>
      </c>
      <c r="M41" s="242">
        <v>37810</v>
      </c>
      <c r="N41" s="246">
        <v>-4.0827077500000001E-3</v>
      </c>
      <c r="O41" s="242">
        <v>37765</v>
      </c>
      <c r="P41" s="247">
        <v>-5.2680100000000001E-3</v>
      </c>
      <c r="Q41" s="248">
        <v>92.8</v>
      </c>
      <c r="R41" s="249">
        <v>3.9</v>
      </c>
      <c r="S41" s="249">
        <v>0.8</v>
      </c>
      <c r="T41" s="250">
        <v>97.6</v>
      </c>
      <c r="U41" s="244">
        <v>17</v>
      </c>
      <c r="V41" s="242">
        <v>221</v>
      </c>
      <c r="W41" s="242">
        <v>89</v>
      </c>
      <c r="X41" s="242">
        <v>0</v>
      </c>
      <c r="Y41" s="242">
        <v>30</v>
      </c>
      <c r="Z41" s="242">
        <v>6613</v>
      </c>
      <c r="AA41" s="242">
        <v>31584</v>
      </c>
      <c r="AB41" s="242">
        <v>3121</v>
      </c>
      <c r="AC41" s="242">
        <v>980</v>
      </c>
      <c r="AD41" s="245">
        <v>1415</v>
      </c>
      <c r="AE41" s="244">
        <v>56</v>
      </c>
      <c r="AF41" s="242">
        <v>254</v>
      </c>
      <c r="AG41" s="242">
        <v>30</v>
      </c>
      <c r="AH41" s="242">
        <v>17</v>
      </c>
      <c r="AI41" s="242">
        <v>12523</v>
      </c>
      <c r="AJ41" s="242">
        <v>23837</v>
      </c>
      <c r="AK41" s="242">
        <v>4455</v>
      </c>
      <c r="AL41" s="245">
        <v>2898</v>
      </c>
      <c r="AM41" s="251">
        <v>7463429</v>
      </c>
      <c r="AN41" s="242">
        <v>1182</v>
      </c>
      <c r="AO41" s="252">
        <v>16400</v>
      </c>
      <c r="AP41" s="242">
        <v>31</v>
      </c>
      <c r="AQ41" s="252">
        <v>107523.529412</v>
      </c>
      <c r="AR41" s="245">
        <v>42</v>
      </c>
    </row>
    <row r="42" spans="1:44" x14ac:dyDescent="0.3">
      <c r="A42" s="221">
        <v>307</v>
      </c>
      <c r="B42" s="221" t="s">
        <v>41</v>
      </c>
      <c r="C42" s="221" t="s">
        <v>345</v>
      </c>
      <c r="D42" s="241">
        <v>123341863.08</v>
      </c>
      <c r="E42" s="242">
        <v>24385</v>
      </c>
      <c r="F42" s="242">
        <v>31727</v>
      </c>
      <c r="G42" s="243">
        <v>0.30108673364773431</v>
      </c>
      <c r="H42" s="244">
        <v>25954</v>
      </c>
      <c r="I42" s="242">
        <v>31738</v>
      </c>
      <c r="J42" s="242">
        <v>1075</v>
      </c>
      <c r="K42" s="245">
        <v>650</v>
      </c>
      <c r="L42" s="244">
        <v>29637</v>
      </c>
      <c r="M42" s="242">
        <v>29837</v>
      </c>
      <c r="N42" s="246">
        <v>6.7483213500000002E-3</v>
      </c>
      <c r="O42" s="242">
        <v>30800</v>
      </c>
      <c r="P42" s="247">
        <v>3.9241488669999998E-2</v>
      </c>
      <c r="Q42" s="248">
        <v>82.9</v>
      </c>
      <c r="R42" s="249">
        <v>8.3000000000000007</v>
      </c>
      <c r="S42" s="249">
        <v>3.1</v>
      </c>
      <c r="T42" s="250">
        <v>94.3</v>
      </c>
      <c r="U42" s="244">
        <v>120</v>
      </c>
      <c r="V42" s="242">
        <v>828</v>
      </c>
      <c r="W42" s="242">
        <v>38</v>
      </c>
      <c r="X42" s="242">
        <v>0</v>
      </c>
      <c r="Y42" s="242">
        <v>0</v>
      </c>
      <c r="Z42" s="242">
        <v>4848</v>
      </c>
      <c r="AA42" s="242">
        <v>23285</v>
      </c>
      <c r="AB42" s="242">
        <v>1999</v>
      </c>
      <c r="AC42" s="242">
        <v>410</v>
      </c>
      <c r="AD42" s="245">
        <v>0</v>
      </c>
      <c r="AE42" s="244">
        <v>368</v>
      </c>
      <c r="AF42" s="242">
        <v>472</v>
      </c>
      <c r="AG42" s="242">
        <v>146</v>
      </c>
      <c r="AH42" s="242">
        <v>0</v>
      </c>
      <c r="AI42" s="242">
        <v>11080</v>
      </c>
      <c r="AJ42" s="242">
        <v>14363</v>
      </c>
      <c r="AK42" s="242">
        <v>2808</v>
      </c>
      <c r="AL42" s="245">
        <v>2291</v>
      </c>
      <c r="AM42" s="251">
        <v>70881076.540766999</v>
      </c>
      <c r="AN42" s="242">
        <v>4428</v>
      </c>
      <c r="AO42" s="252">
        <v>5484121</v>
      </c>
      <c r="AP42" s="242">
        <v>814</v>
      </c>
      <c r="AQ42" s="252">
        <v>16428000</v>
      </c>
      <c r="AR42" s="245">
        <v>930</v>
      </c>
    </row>
    <row r="43" spans="1:44" x14ac:dyDescent="0.3">
      <c r="A43" s="221">
        <v>811</v>
      </c>
      <c r="B43" s="221" t="s">
        <v>42</v>
      </c>
      <c r="C43" s="221" t="s">
        <v>346</v>
      </c>
      <c r="D43" s="241">
        <v>14995081</v>
      </c>
      <c r="E43" s="242">
        <v>23237</v>
      </c>
      <c r="F43" s="242">
        <v>24566</v>
      </c>
      <c r="G43" s="243">
        <v>5.7193269354908205E-2</v>
      </c>
      <c r="H43" s="244">
        <v>27287</v>
      </c>
      <c r="I43" s="242">
        <v>27384</v>
      </c>
      <c r="J43" s="242">
        <v>360</v>
      </c>
      <c r="K43" s="245">
        <v>280</v>
      </c>
      <c r="L43" s="244">
        <v>24240</v>
      </c>
      <c r="M43" s="242">
        <v>24302</v>
      </c>
      <c r="N43" s="246">
        <v>2.5577557700000001E-3</v>
      </c>
      <c r="O43" s="242">
        <v>24570</v>
      </c>
      <c r="P43" s="247">
        <v>1.361386138E-2</v>
      </c>
      <c r="Q43" s="248">
        <v>95.1</v>
      </c>
      <c r="R43" s="249">
        <v>2.9</v>
      </c>
      <c r="S43" s="249">
        <v>0.1</v>
      </c>
      <c r="T43" s="250">
        <v>98.1</v>
      </c>
      <c r="U43" s="244">
        <v>30</v>
      </c>
      <c r="V43" s="242">
        <v>104</v>
      </c>
      <c r="W43" s="242">
        <v>163</v>
      </c>
      <c r="X43" s="242">
        <v>0</v>
      </c>
      <c r="Y43" s="242">
        <v>0</v>
      </c>
      <c r="Z43" s="242">
        <v>3434</v>
      </c>
      <c r="AA43" s="242">
        <v>16511</v>
      </c>
      <c r="AB43" s="242">
        <v>6394</v>
      </c>
      <c r="AC43" s="242">
        <v>0</v>
      </c>
      <c r="AD43" s="245">
        <v>0</v>
      </c>
      <c r="AE43" s="244">
        <v>0</v>
      </c>
      <c r="AF43" s="242">
        <v>245</v>
      </c>
      <c r="AG43" s="242">
        <v>52</v>
      </c>
      <c r="AH43" s="242">
        <v>0</v>
      </c>
      <c r="AI43" s="242">
        <v>2646</v>
      </c>
      <c r="AJ43" s="242">
        <v>18436</v>
      </c>
      <c r="AK43" s="242">
        <v>3073</v>
      </c>
      <c r="AL43" s="245">
        <v>2184</v>
      </c>
      <c r="AM43" s="251">
        <v>2386368</v>
      </c>
      <c r="AN43" s="242">
        <v>285</v>
      </c>
      <c r="AO43" s="252">
        <v>894483</v>
      </c>
      <c r="AP43" s="242">
        <v>240</v>
      </c>
      <c r="AQ43" s="252">
        <v>0</v>
      </c>
      <c r="AR43" s="245">
        <v>0</v>
      </c>
    </row>
    <row r="44" spans="1:44" x14ac:dyDescent="0.3">
      <c r="A44" s="221">
        <v>845</v>
      </c>
      <c r="B44" s="221" t="s">
        <v>43</v>
      </c>
      <c r="C44" s="221" t="s">
        <v>351</v>
      </c>
      <c r="D44" s="241">
        <v>70664672.909999996</v>
      </c>
      <c r="E44" s="242">
        <v>34284</v>
      </c>
      <c r="F44" s="242">
        <v>39377</v>
      </c>
      <c r="G44" s="243">
        <v>0.14855326099638311</v>
      </c>
      <c r="H44" s="244">
        <v>37878</v>
      </c>
      <c r="I44" s="242">
        <v>39638</v>
      </c>
      <c r="J44" s="242">
        <v>3258</v>
      </c>
      <c r="K44" s="245">
        <v>240</v>
      </c>
      <c r="L44" s="244">
        <v>36931</v>
      </c>
      <c r="M44" s="242">
        <v>37013</v>
      </c>
      <c r="N44" s="246">
        <v>2.2203568800000001E-3</v>
      </c>
      <c r="O44" s="242">
        <v>37343</v>
      </c>
      <c r="P44" s="247">
        <v>1.1155939449999999E-2</v>
      </c>
      <c r="Q44" s="248">
        <v>86.5</v>
      </c>
      <c r="R44" s="249">
        <v>6.8</v>
      </c>
      <c r="S44" s="249">
        <v>2</v>
      </c>
      <c r="T44" s="250">
        <v>95.4</v>
      </c>
      <c r="U44" s="244">
        <v>60</v>
      </c>
      <c r="V44" s="242">
        <v>450</v>
      </c>
      <c r="W44" s="242">
        <v>160</v>
      </c>
      <c r="X44" s="242">
        <v>0</v>
      </c>
      <c r="Y44" s="242">
        <v>0</v>
      </c>
      <c r="Z44" s="242">
        <v>2626</v>
      </c>
      <c r="AA44" s="242">
        <v>22635</v>
      </c>
      <c r="AB44" s="242">
        <v>9610</v>
      </c>
      <c r="AC44" s="242">
        <v>210</v>
      </c>
      <c r="AD44" s="245">
        <v>0</v>
      </c>
      <c r="AE44" s="244">
        <v>90</v>
      </c>
      <c r="AF44" s="242">
        <v>430</v>
      </c>
      <c r="AG44" s="242">
        <v>90</v>
      </c>
      <c r="AH44" s="242">
        <v>60</v>
      </c>
      <c r="AI44" s="242">
        <v>6330</v>
      </c>
      <c r="AJ44" s="242">
        <v>18461</v>
      </c>
      <c r="AK44" s="242">
        <v>7830</v>
      </c>
      <c r="AL44" s="245">
        <v>2460</v>
      </c>
      <c r="AM44" s="251">
        <v>4682957</v>
      </c>
      <c r="AN44" s="242">
        <v>645</v>
      </c>
      <c r="AO44" s="252">
        <v>4639055</v>
      </c>
      <c r="AP44" s="242">
        <v>1125</v>
      </c>
      <c r="AQ44" s="252">
        <v>0</v>
      </c>
      <c r="AR44" s="245">
        <v>0</v>
      </c>
    </row>
    <row r="45" spans="1:44" x14ac:dyDescent="0.3">
      <c r="A45" s="221">
        <v>308</v>
      </c>
      <c r="B45" s="221" t="s">
        <v>44</v>
      </c>
      <c r="C45" s="221" t="s">
        <v>345</v>
      </c>
      <c r="D45" s="241">
        <v>110696806.63999999</v>
      </c>
      <c r="E45" s="242">
        <v>26494</v>
      </c>
      <c r="F45" s="242">
        <v>33506</v>
      </c>
      <c r="G45" s="243">
        <v>0.26466369744092999</v>
      </c>
      <c r="H45" s="244">
        <v>26955</v>
      </c>
      <c r="I45" s="242">
        <v>34153</v>
      </c>
      <c r="J45" s="242">
        <v>1874</v>
      </c>
      <c r="K45" s="245">
        <v>420</v>
      </c>
      <c r="L45" s="244">
        <v>31167</v>
      </c>
      <c r="M45" s="242">
        <v>31654</v>
      </c>
      <c r="N45" s="246">
        <v>1.562550133E-2</v>
      </c>
      <c r="O45" s="242">
        <v>30807</v>
      </c>
      <c r="P45" s="247">
        <v>-1.1550678599999999E-2</v>
      </c>
      <c r="Q45" s="248">
        <v>85.4</v>
      </c>
      <c r="R45" s="249">
        <v>6.9</v>
      </c>
      <c r="S45" s="249">
        <v>2.5</v>
      </c>
      <c r="T45" s="250">
        <v>94.8</v>
      </c>
      <c r="U45" s="244">
        <v>50</v>
      </c>
      <c r="V45" s="242">
        <v>629</v>
      </c>
      <c r="W45" s="242">
        <v>30</v>
      </c>
      <c r="X45" s="242">
        <v>0</v>
      </c>
      <c r="Y45" s="242">
        <v>0</v>
      </c>
      <c r="Z45" s="242">
        <v>5420</v>
      </c>
      <c r="AA45" s="242">
        <v>21789</v>
      </c>
      <c r="AB45" s="242">
        <v>4380</v>
      </c>
      <c r="AC45" s="242">
        <v>0</v>
      </c>
      <c r="AD45" s="245">
        <v>0</v>
      </c>
      <c r="AE45" s="244">
        <v>359</v>
      </c>
      <c r="AF45" s="242">
        <v>320</v>
      </c>
      <c r="AG45" s="242">
        <v>0</v>
      </c>
      <c r="AH45" s="242">
        <v>30</v>
      </c>
      <c r="AI45" s="242">
        <v>11180</v>
      </c>
      <c r="AJ45" s="242">
        <v>13209</v>
      </c>
      <c r="AK45" s="242">
        <v>4260</v>
      </c>
      <c r="AL45" s="245">
        <v>2940</v>
      </c>
      <c r="AM45" s="251">
        <v>40337999</v>
      </c>
      <c r="AN45" s="242">
        <v>1740</v>
      </c>
      <c r="AO45" s="252">
        <v>10724000</v>
      </c>
      <c r="AP45" s="242">
        <v>460</v>
      </c>
      <c r="AQ45" s="252">
        <v>5698000</v>
      </c>
      <c r="AR45" s="245">
        <v>420</v>
      </c>
    </row>
    <row r="46" spans="1:44" x14ac:dyDescent="0.3">
      <c r="A46" s="221">
        <v>881</v>
      </c>
      <c r="B46" s="221" t="s">
        <v>45</v>
      </c>
      <c r="C46" s="221" t="s">
        <v>348</v>
      </c>
      <c r="D46" s="241">
        <v>215377559.16</v>
      </c>
      <c r="E46" s="242">
        <v>101600</v>
      </c>
      <c r="F46" s="242">
        <v>118054</v>
      </c>
      <c r="G46" s="243">
        <v>0.1619488188976379</v>
      </c>
      <c r="H46" s="244">
        <v>114730</v>
      </c>
      <c r="I46" s="242">
        <v>118646</v>
      </c>
      <c r="J46" s="242">
        <v>8780</v>
      </c>
      <c r="K46" s="245">
        <v>1420</v>
      </c>
      <c r="L46" s="244">
        <v>110747</v>
      </c>
      <c r="M46" s="242">
        <v>111097</v>
      </c>
      <c r="N46" s="246">
        <v>3.1603564799999998E-3</v>
      </c>
      <c r="O46" s="242">
        <v>109996</v>
      </c>
      <c r="P46" s="247">
        <v>-6.7812220599999997E-3</v>
      </c>
      <c r="Q46" s="248">
        <v>86.7</v>
      </c>
      <c r="R46" s="249">
        <v>6.3</v>
      </c>
      <c r="S46" s="249">
        <v>2.4</v>
      </c>
      <c r="T46" s="250">
        <v>95.4</v>
      </c>
      <c r="U46" s="244">
        <v>158</v>
      </c>
      <c r="V46" s="242">
        <v>1197</v>
      </c>
      <c r="W46" s="242">
        <v>195</v>
      </c>
      <c r="X46" s="242">
        <v>117</v>
      </c>
      <c r="Y46" s="242">
        <v>24</v>
      </c>
      <c r="Z46" s="242">
        <v>14631</v>
      </c>
      <c r="AA46" s="242">
        <v>75472</v>
      </c>
      <c r="AB46" s="242">
        <v>18168</v>
      </c>
      <c r="AC46" s="242">
        <v>2350</v>
      </c>
      <c r="AD46" s="245">
        <v>486</v>
      </c>
      <c r="AE46" s="244">
        <v>308</v>
      </c>
      <c r="AF46" s="242">
        <v>988</v>
      </c>
      <c r="AG46" s="242">
        <v>142</v>
      </c>
      <c r="AH46" s="242">
        <v>253</v>
      </c>
      <c r="AI46" s="242">
        <v>19653</v>
      </c>
      <c r="AJ46" s="242">
        <v>57107</v>
      </c>
      <c r="AK46" s="242">
        <v>21831</v>
      </c>
      <c r="AL46" s="245">
        <v>12516</v>
      </c>
      <c r="AM46" s="251">
        <v>22773561.333323002</v>
      </c>
      <c r="AN46" s="242">
        <v>2402</v>
      </c>
      <c r="AO46" s="252">
        <v>3344716</v>
      </c>
      <c r="AP46" s="242">
        <v>765</v>
      </c>
      <c r="AQ46" s="252">
        <v>2117442.4285639999</v>
      </c>
      <c r="AR46" s="245">
        <v>90</v>
      </c>
    </row>
    <row r="47" spans="1:44" x14ac:dyDescent="0.3">
      <c r="A47" s="221">
        <v>390</v>
      </c>
      <c r="B47" s="221" t="s">
        <v>46</v>
      </c>
      <c r="C47" s="221" t="s">
        <v>352</v>
      </c>
      <c r="D47" s="241">
        <v>20118052.379999999</v>
      </c>
      <c r="E47" s="242">
        <v>13527</v>
      </c>
      <c r="F47" s="242">
        <v>14961</v>
      </c>
      <c r="G47" s="243">
        <v>0.10601020181858511</v>
      </c>
      <c r="H47" s="244">
        <v>15695</v>
      </c>
      <c r="I47" s="242">
        <v>15911</v>
      </c>
      <c r="J47" s="242">
        <v>518</v>
      </c>
      <c r="K47" s="245">
        <v>50</v>
      </c>
      <c r="L47" s="244">
        <v>14400</v>
      </c>
      <c r="M47" s="242">
        <v>14352</v>
      </c>
      <c r="N47" s="246">
        <v>-3.3333333299999999E-3</v>
      </c>
      <c r="O47" s="242">
        <v>14280</v>
      </c>
      <c r="P47" s="247">
        <v>-8.3333333299999996E-3</v>
      </c>
      <c r="Q47" s="248">
        <v>91.9</v>
      </c>
      <c r="R47" s="249">
        <v>5</v>
      </c>
      <c r="S47" s="249">
        <v>1</v>
      </c>
      <c r="T47" s="250">
        <v>97.9</v>
      </c>
      <c r="U47" s="244">
        <v>53</v>
      </c>
      <c r="V47" s="242">
        <v>0</v>
      </c>
      <c r="W47" s="242">
        <v>0</v>
      </c>
      <c r="X47" s="242">
        <v>0</v>
      </c>
      <c r="Y47" s="242">
        <v>0</v>
      </c>
      <c r="Z47" s="242">
        <v>4714</v>
      </c>
      <c r="AA47" s="242">
        <v>9583</v>
      </c>
      <c r="AB47" s="242">
        <v>1325</v>
      </c>
      <c r="AC47" s="242">
        <v>236</v>
      </c>
      <c r="AD47" s="245">
        <v>0</v>
      </c>
      <c r="AE47" s="244">
        <v>0</v>
      </c>
      <c r="AF47" s="242">
        <v>53</v>
      </c>
      <c r="AG47" s="242">
        <v>0</v>
      </c>
      <c r="AH47" s="242">
        <v>0</v>
      </c>
      <c r="AI47" s="242">
        <v>4053</v>
      </c>
      <c r="AJ47" s="242">
        <v>8373</v>
      </c>
      <c r="AK47" s="242">
        <v>2992</v>
      </c>
      <c r="AL47" s="245">
        <v>440</v>
      </c>
      <c r="AM47" s="251">
        <v>1000000</v>
      </c>
      <c r="AN47" s="242">
        <v>42</v>
      </c>
      <c r="AO47" s="252">
        <v>0</v>
      </c>
      <c r="AP47" s="242">
        <v>0</v>
      </c>
      <c r="AQ47" s="252">
        <v>0</v>
      </c>
      <c r="AR47" s="245">
        <v>0</v>
      </c>
    </row>
    <row r="48" spans="1:44" x14ac:dyDescent="0.3">
      <c r="A48" s="221">
        <v>916</v>
      </c>
      <c r="B48" s="221" t="s">
        <v>47</v>
      </c>
      <c r="C48" s="221" t="s">
        <v>347</v>
      </c>
      <c r="D48" s="241">
        <v>72576217.320000008</v>
      </c>
      <c r="E48" s="242">
        <v>41592</v>
      </c>
      <c r="F48" s="242">
        <v>46845</v>
      </c>
      <c r="G48" s="243">
        <v>0.12629832660126938</v>
      </c>
      <c r="H48" s="244">
        <v>46562</v>
      </c>
      <c r="I48" s="242">
        <v>49099</v>
      </c>
      <c r="J48" s="242">
        <v>1128</v>
      </c>
      <c r="K48" s="245">
        <v>630</v>
      </c>
      <c r="L48" s="244">
        <v>44500</v>
      </c>
      <c r="M48" s="242">
        <v>44086</v>
      </c>
      <c r="N48" s="246">
        <v>-9.3033707800000004E-3</v>
      </c>
      <c r="O48" s="242">
        <v>44231</v>
      </c>
      <c r="P48" s="247">
        <v>-6.0449438199999999E-3</v>
      </c>
      <c r="Q48" s="248">
        <v>88.8</v>
      </c>
      <c r="R48" s="249">
        <v>5.7</v>
      </c>
      <c r="S48" s="249">
        <v>1.6</v>
      </c>
      <c r="T48" s="250">
        <v>96.1</v>
      </c>
      <c r="U48" s="244">
        <v>105</v>
      </c>
      <c r="V48" s="242">
        <v>180</v>
      </c>
      <c r="W48" s="242">
        <v>50</v>
      </c>
      <c r="X48" s="242">
        <v>0</v>
      </c>
      <c r="Y48" s="242">
        <v>0</v>
      </c>
      <c r="Z48" s="242">
        <v>9878</v>
      </c>
      <c r="AA48" s="242">
        <v>34930</v>
      </c>
      <c r="AB48" s="242">
        <v>2822</v>
      </c>
      <c r="AC48" s="242">
        <v>655</v>
      </c>
      <c r="AD48" s="245">
        <v>0</v>
      </c>
      <c r="AE48" s="244">
        <v>15</v>
      </c>
      <c r="AF48" s="242">
        <v>275</v>
      </c>
      <c r="AG48" s="242">
        <v>30</v>
      </c>
      <c r="AH48" s="242">
        <v>15</v>
      </c>
      <c r="AI48" s="242">
        <v>8805</v>
      </c>
      <c r="AJ48" s="242">
        <v>26689</v>
      </c>
      <c r="AK48" s="242">
        <v>7466</v>
      </c>
      <c r="AL48" s="245">
        <v>5325</v>
      </c>
      <c r="AM48" s="251">
        <v>13168071</v>
      </c>
      <c r="AN48" s="242">
        <v>1470</v>
      </c>
      <c r="AO48" s="252">
        <v>714646</v>
      </c>
      <c r="AP48" s="242">
        <v>110</v>
      </c>
      <c r="AQ48" s="252">
        <v>10367817</v>
      </c>
      <c r="AR48" s="245">
        <v>854</v>
      </c>
    </row>
    <row r="49" spans="1:44" x14ac:dyDescent="0.3">
      <c r="A49" s="221">
        <v>203</v>
      </c>
      <c r="B49" s="221" t="s">
        <v>48</v>
      </c>
      <c r="C49" s="221" t="s">
        <v>345</v>
      </c>
      <c r="D49" s="241">
        <v>131870396.11</v>
      </c>
      <c r="E49" s="242">
        <v>18771</v>
      </c>
      <c r="F49" s="242">
        <v>25612</v>
      </c>
      <c r="G49" s="243">
        <v>0.36444515476000205</v>
      </c>
      <c r="H49" s="244">
        <v>20631</v>
      </c>
      <c r="I49" s="242">
        <v>25194</v>
      </c>
      <c r="J49" s="242">
        <v>2359</v>
      </c>
      <c r="K49" s="245">
        <v>530</v>
      </c>
      <c r="L49" s="244">
        <v>22735</v>
      </c>
      <c r="M49" s="242">
        <v>23195</v>
      </c>
      <c r="N49" s="246">
        <v>2.0233120730000002E-2</v>
      </c>
      <c r="O49" s="242">
        <v>22673</v>
      </c>
      <c r="P49" s="247">
        <v>-2.72707279E-3</v>
      </c>
      <c r="Q49" s="248">
        <v>80.3</v>
      </c>
      <c r="R49" s="249">
        <v>8</v>
      </c>
      <c r="S49" s="249">
        <v>3.4</v>
      </c>
      <c r="T49" s="250">
        <v>91.7</v>
      </c>
      <c r="U49" s="244">
        <v>610</v>
      </c>
      <c r="V49" s="242">
        <v>540</v>
      </c>
      <c r="W49" s="242">
        <v>120</v>
      </c>
      <c r="X49" s="242">
        <v>0</v>
      </c>
      <c r="Y49" s="242">
        <v>0</v>
      </c>
      <c r="Z49" s="242">
        <v>6694</v>
      </c>
      <c r="AA49" s="242">
        <v>15228</v>
      </c>
      <c r="AB49" s="242">
        <v>1372</v>
      </c>
      <c r="AC49" s="242">
        <v>630</v>
      </c>
      <c r="AD49" s="245">
        <v>0</v>
      </c>
      <c r="AE49" s="244">
        <v>1120</v>
      </c>
      <c r="AF49" s="242">
        <v>150</v>
      </c>
      <c r="AG49" s="242">
        <v>0</v>
      </c>
      <c r="AH49" s="242">
        <v>0</v>
      </c>
      <c r="AI49" s="242">
        <v>16005</v>
      </c>
      <c r="AJ49" s="242">
        <v>7229</v>
      </c>
      <c r="AK49" s="242">
        <v>690</v>
      </c>
      <c r="AL49" s="245">
        <v>0</v>
      </c>
      <c r="AM49" s="251">
        <v>27538000</v>
      </c>
      <c r="AN49" s="242">
        <v>3045</v>
      </c>
      <c r="AO49" s="252">
        <v>5035314</v>
      </c>
      <c r="AP49" s="242">
        <v>540</v>
      </c>
      <c r="AQ49" s="252">
        <v>3839000</v>
      </c>
      <c r="AR49" s="245">
        <v>210</v>
      </c>
    </row>
    <row r="50" spans="1:44" x14ac:dyDescent="0.3">
      <c r="A50" s="221">
        <v>204</v>
      </c>
      <c r="B50" s="221" t="s">
        <v>49</v>
      </c>
      <c r="C50" s="221" t="s">
        <v>345</v>
      </c>
      <c r="D50" s="241">
        <v>47590725.32</v>
      </c>
      <c r="E50" s="242">
        <v>15866</v>
      </c>
      <c r="F50" s="242">
        <v>19523</v>
      </c>
      <c r="G50" s="243">
        <v>0.23049287785201056</v>
      </c>
      <c r="H50" s="244">
        <v>17648</v>
      </c>
      <c r="I50" s="242">
        <v>19774</v>
      </c>
      <c r="J50" s="242">
        <v>1650</v>
      </c>
      <c r="K50" s="245">
        <v>620</v>
      </c>
      <c r="L50" s="244">
        <v>18369</v>
      </c>
      <c r="M50" s="242">
        <v>18599</v>
      </c>
      <c r="N50" s="246">
        <v>1.252109532E-2</v>
      </c>
      <c r="O50" s="242">
        <v>18598</v>
      </c>
      <c r="P50" s="247">
        <v>1.246665577E-2</v>
      </c>
      <c r="Q50" s="248">
        <v>80.7</v>
      </c>
      <c r="R50" s="249">
        <v>8.6</v>
      </c>
      <c r="S50" s="249">
        <v>3.5</v>
      </c>
      <c r="T50" s="250">
        <v>92.8</v>
      </c>
      <c r="U50" s="244">
        <v>60</v>
      </c>
      <c r="V50" s="242">
        <v>265</v>
      </c>
      <c r="W50" s="242">
        <v>0</v>
      </c>
      <c r="X50" s="242">
        <v>0</v>
      </c>
      <c r="Y50" s="242">
        <v>0</v>
      </c>
      <c r="Z50" s="242">
        <v>4670</v>
      </c>
      <c r="AA50" s="242">
        <v>12158</v>
      </c>
      <c r="AB50" s="242">
        <v>1991</v>
      </c>
      <c r="AC50" s="242">
        <v>0</v>
      </c>
      <c r="AD50" s="245">
        <v>0</v>
      </c>
      <c r="AE50" s="244">
        <v>141</v>
      </c>
      <c r="AF50" s="242">
        <v>184</v>
      </c>
      <c r="AG50" s="242">
        <v>0</v>
      </c>
      <c r="AH50" s="242">
        <v>0</v>
      </c>
      <c r="AI50" s="242">
        <v>7373</v>
      </c>
      <c r="AJ50" s="242">
        <v>10479</v>
      </c>
      <c r="AK50" s="242">
        <v>840</v>
      </c>
      <c r="AL50" s="245">
        <v>127</v>
      </c>
      <c r="AM50" s="251">
        <v>11592005.49</v>
      </c>
      <c r="AN50" s="242">
        <v>1179</v>
      </c>
      <c r="AO50" s="252">
        <v>67040</v>
      </c>
      <c r="AP50" s="242">
        <v>60</v>
      </c>
      <c r="AQ50" s="252">
        <v>7508034</v>
      </c>
      <c r="AR50" s="245">
        <v>315</v>
      </c>
    </row>
    <row r="51" spans="1:44" x14ac:dyDescent="0.3">
      <c r="A51" s="221">
        <v>876</v>
      </c>
      <c r="B51" s="221" t="s">
        <v>50</v>
      </c>
      <c r="C51" s="221" t="s">
        <v>350</v>
      </c>
      <c r="D51" s="241">
        <v>5755053.1499999994</v>
      </c>
      <c r="E51" s="242">
        <v>9684</v>
      </c>
      <c r="F51" s="242">
        <v>10562</v>
      </c>
      <c r="G51" s="243">
        <v>9.0665014456835946E-2</v>
      </c>
      <c r="H51" s="244">
        <v>11165</v>
      </c>
      <c r="I51" s="242">
        <v>11445</v>
      </c>
      <c r="J51" s="242">
        <v>133</v>
      </c>
      <c r="K51" s="245">
        <v>20</v>
      </c>
      <c r="L51" s="244">
        <v>10464</v>
      </c>
      <c r="M51" s="242">
        <v>10457</v>
      </c>
      <c r="N51" s="246">
        <v>-6.6896024000000004E-4</v>
      </c>
      <c r="O51" s="242">
        <v>10376</v>
      </c>
      <c r="P51" s="247">
        <v>-8.4097859300000001E-3</v>
      </c>
      <c r="Q51" s="248">
        <v>89</v>
      </c>
      <c r="R51" s="249">
        <v>6.7</v>
      </c>
      <c r="S51" s="249">
        <v>1.6</v>
      </c>
      <c r="T51" s="250">
        <v>97.4</v>
      </c>
      <c r="U51" s="244">
        <v>55</v>
      </c>
      <c r="V51" s="242">
        <v>70</v>
      </c>
      <c r="W51" s="242">
        <v>0</v>
      </c>
      <c r="X51" s="242">
        <v>0</v>
      </c>
      <c r="Y51" s="242">
        <v>0</v>
      </c>
      <c r="Z51" s="242">
        <v>2528</v>
      </c>
      <c r="AA51" s="242">
        <v>6902</v>
      </c>
      <c r="AB51" s="242">
        <v>1540</v>
      </c>
      <c r="AC51" s="242">
        <v>0</v>
      </c>
      <c r="AD51" s="245">
        <v>0</v>
      </c>
      <c r="AE51" s="244">
        <v>35</v>
      </c>
      <c r="AF51" s="242">
        <v>90</v>
      </c>
      <c r="AG51" s="242">
        <v>0</v>
      </c>
      <c r="AH51" s="242">
        <v>0</v>
      </c>
      <c r="AI51" s="242">
        <v>1763</v>
      </c>
      <c r="AJ51" s="242">
        <v>7015</v>
      </c>
      <c r="AK51" s="242">
        <v>1967</v>
      </c>
      <c r="AL51" s="245">
        <v>225</v>
      </c>
      <c r="AM51" s="251">
        <v>2280063</v>
      </c>
      <c r="AN51" s="242">
        <v>238</v>
      </c>
      <c r="AO51" s="252">
        <v>0</v>
      </c>
      <c r="AP51" s="242">
        <v>0</v>
      </c>
      <c r="AQ51" s="252">
        <v>0</v>
      </c>
      <c r="AR51" s="245">
        <v>0</v>
      </c>
    </row>
    <row r="52" spans="1:44" x14ac:dyDescent="0.3">
      <c r="A52" s="221">
        <v>205</v>
      </c>
      <c r="B52" s="221" t="s">
        <v>51</v>
      </c>
      <c r="C52" s="221" t="s">
        <v>345</v>
      </c>
      <c r="D52" s="241">
        <v>63395297.469999999</v>
      </c>
      <c r="E52" s="242">
        <v>8781</v>
      </c>
      <c r="F52" s="242">
        <v>10338</v>
      </c>
      <c r="G52" s="243">
        <v>0.17731465664502899</v>
      </c>
      <c r="H52" s="244">
        <v>9234</v>
      </c>
      <c r="I52" s="242">
        <v>11747</v>
      </c>
      <c r="J52" s="242">
        <v>810</v>
      </c>
      <c r="K52" s="245">
        <v>20</v>
      </c>
      <c r="L52" s="244">
        <v>9564</v>
      </c>
      <c r="M52" s="242">
        <v>9952</v>
      </c>
      <c r="N52" s="246">
        <v>4.0568799660000002E-2</v>
      </c>
      <c r="O52" s="242">
        <v>10355</v>
      </c>
      <c r="P52" s="247">
        <v>8.2705980760000006E-2</v>
      </c>
      <c r="Q52" s="248">
        <v>73.900000000000006</v>
      </c>
      <c r="R52" s="249">
        <v>12.2</v>
      </c>
      <c r="S52" s="249">
        <v>4.0999999999999996</v>
      </c>
      <c r="T52" s="250">
        <v>90.2</v>
      </c>
      <c r="U52" s="244">
        <v>87</v>
      </c>
      <c r="V52" s="242">
        <v>0</v>
      </c>
      <c r="W52" s="242">
        <v>0</v>
      </c>
      <c r="X52" s="242">
        <v>0</v>
      </c>
      <c r="Y52" s="242">
        <v>0</v>
      </c>
      <c r="Z52" s="242">
        <v>3056</v>
      </c>
      <c r="AA52" s="242">
        <v>5555</v>
      </c>
      <c r="AB52" s="242">
        <v>1789</v>
      </c>
      <c r="AC52" s="242">
        <v>0</v>
      </c>
      <c r="AD52" s="245">
        <v>0</v>
      </c>
      <c r="AE52" s="244">
        <v>0</v>
      </c>
      <c r="AF52" s="242">
        <v>87</v>
      </c>
      <c r="AG52" s="242">
        <v>0</v>
      </c>
      <c r="AH52" s="242">
        <v>0</v>
      </c>
      <c r="AI52" s="242">
        <v>3870</v>
      </c>
      <c r="AJ52" s="242">
        <v>5630</v>
      </c>
      <c r="AK52" s="242">
        <v>900</v>
      </c>
      <c r="AL52" s="245">
        <v>0</v>
      </c>
      <c r="AM52" s="251">
        <v>12535000</v>
      </c>
      <c r="AN52" s="242">
        <v>525</v>
      </c>
      <c r="AO52" s="252">
        <v>1929000</v>
      </c>
      <c r="AP52" s="242">
        <v>150</v>
      </c>
      <c r="AQ52" s="252">
        <v>0</v>
      </c>
      <c r="AR52" s="245">
        <v>0</v>
      </c>
    </row>
    <row r="53" spans="1:44" x14ac:dyDescent="0.3">
      <c r="A53" s="221">
        <v>850</v>
      </c>
      <c r="B53" s="221" t="s">
        <v>52</v>
      </c>
      <c r="C53" s="221" t="s">
        <v>351</v>
      </c>
      <c r="D53" s="241">
        <v>216445292.60999998</v>
      </c>
      <c r="E53" s="242">
        <v>93928</v>
      </c>
      <c r="F53" s="242">
        <v>107751</v>
      </c>
      <c r="G53" s="243">
        <v>0.14716591431734938</v>
      </c>
      <c r="H53" s="244">
        <v>102532</v>
      </c>
      <c r="I53" s="242">
        <v>108312</v>
      </c>
      <c r="J53" s="242">
        <v>5066</v>
      </c>
      <c r="K53" s="245">
        <v>2780</v>
      </c>
      <c r="L53" s="244">
        <v>100702</v>
      </c>
      <c r="M53" s="242">
        <v>101305</v>
      </c>
      <c r="N53" s="246">
        <v>5.98796448E-3</v>
      </c>
      <c r="O53" s="242">
        <v>103178</v>
      </c>
      <c r="P53" s="247">
        <v>2.4587396470000002E-2</v>
      </c>
      <c r="Q53" s="248">
        <v>89.4</v>
      </c>
      <c r="R53" s="249">
        <v>6.1</v>
      </c>
      <c r="S53" s="249">
        <v>1.8</v>
      </c>
      <c r="T53" s="250">
        <v>97.4</v>
      </c>
      <c r="U53" s="244">
        <v>302</v>
      </c>
      <c r="V53" s="242">
        <v>2070</v>
      </c>
      <c r="W53" s="242">
        <v>349</v>
      </c>
      <c r="X53" s="242">
        <v>0</v>
      </c>
      <c r="Y53" s="242">
        <v>0</v>
      </c>
      <c r="Z53" s="242">
        <v>24006</v>
      </c>
      <c r="AA53" s="242">
        <v>63086</v>
      </c>
      <c r="AB53" s="242">
        <v>16838</v>
      </c>
      <c r="AC53" s="242">
        <v>1175</v>
      </c>
      <c r="AD53" s="245">
        <v>0</v>
      </c>
      <c r="AE53" s="244">
        <v>478</v>
      </c>
      <c r="AF53" s="242">
        <v>825</v>
      </c>
      <c r="AG53" s="242">
        <v>225</v>
      </c>
      <c r="AH53" s="242">
        <v>1193</v>
      </c>
      <c r="AI53" s="242">
        <v>10941</v>
      </c>
      <c r="AJ53" s="242">
        <v>44226</v>
      </c>
      <c r="AK53" s="242">
        <v>24639</v>
      </c>
      <c r="AL53" s="245">
        <v>25299</v>
      </c>
      <c r="AM53" s="251">
        <v>24609840</v>
      </c>
      <c r="AN53" s="242">
        <v>2328</v>
      </c>
      <c r="AO53" s="252">
        <v>3287000</v>
      </c>
      <c r="AP53" s="242">
        <v>795</v>
      </c>
      <c r="AQ53" s="252">
        <v>35876334</v>
      </c>
      <c r="AR53" s="245">
        <v>1650</v>
      </c>
    </row>
    <row r="54" spans="1:44" x14ac:dyDescent="0.3">
      <c r="A54" s="221">
        <v>309</v>
      </c>
      <c r="B54" s="221" t="s">
        <v>53</v>
      </c>
      <c r="C54" s="221" t="s">
        <v>345</v>
      </c>
      <c r="D54" s="241">
        <v>40732244.229999997</v>
      </c>
      <c r="E54" s="242">
        <v>19605</v>
      </c>
      <c r="F54" s="242">
        <v>22411</v>
      </c>
      <c r="G54" s="243">
        <v>0.14312675337923997</v>
      </c>
      <c r="H54" s="244">
        <v>20884</v>
      </c>
      <c r="I54" s="242">
        <v>23300</v>
      </c>
      <c r="J54" s="242">
        <v>450</v>
      </c>
      <c r="K54" s="245">
        <v>60</v>
      </c>
      <c r="L54" s="244">
        <v>21347</v>
      </c>
      <c r="M54" s="242">
        <v>21580</v>
      </c>
      <c r="N54" s="246">
        <v>1.0914882650000001E-2</v>
      </c>
      <c r="O54" s="242">
        <v>21986</v>
      </c>
      <c r="P54" s="247">
        <v>2.993394856E-2</v>
      </c>
      <c r="Q54" s="248">
        <v>84.3</v>
      </c>
      <c r="R54" s="249">
        <v>6.9</v>
      </c>
      <c r="S54" s="249">
        <v>2.5</v>
      </c>
      <c r="T54" s="250">
        <v>93.7</v>
      </c>
      <c r="U54" s="244">
        <v>30</v>
      </c>
      <c r="V54" s="242">
        <v>30</v>
      </c>
      <c r="W54" s="242">
        <v>0</v>
      </c>
      <c r="X54" s="242">
        <v>0</v>
      </c>
      <c r="Y54" s="242">
        <v>0</v>
      </c>
      <c r="Z54" s="242">
        <v>4020</v>
      </c>
      <c r="AA54" s="242">
        <v>15230</v>
      </c>
      <c r="AB54" s="242">
        <v>2940</v>
      </c>
      <c r="AC54" s="242">
        <v>0</v>
      </c>
      <c r="AD54" s="245">
        <v>0</v>
      </c>
      <c r="AE54" s="244">
        <v>0</v>
      </c>
      <c r="AF54" s="242">
        <v>30</v>
      </c>
      <c r="AG54" s="242">
        <v>30</v>
      </c>
      <c r="AH54" s="242">
        <v>0</v>
      </c>
      <c r="AI54" s="242">
        <v>10185</v>
      </c>
      <c r="AJ54" s="242">
        <v>8207</v>
      </c>
      <c r="AK54" s="242">
        <v>1950</v>
      </c>
      <c r="AL54" s="245">
        <v>1848</v>
      </c>
      <c r="AM54" s="251">
        <v>1359000</v>
      </c>
      <c r="AN54" s="242">
        <v>390</v>
      </c>
      <c r="AO54" s="252">
        <v>0</v>
      </c>
      <c r="AP54" s="242">
        <v>0</v>
      </c>
      <c r="AQ54" s="252">
        <v>16888000</v>
      </c>
      <c r="AR54" s="245">
        <v>630</v>
      </c>
    </row>
    <row r="55" spans="1:44" x14ac:dyDescent="0.3">
      <c r="A55" s="221">
        <v>310</v>
      </c>
      <c r="B55" s="221" t="s">
        <v>54</v>
      </c>
      <c r="C55" s="221" t="s">
        <v>345</v>
      </c>
      <c r="D55" s="241">
        <v>102397970.85000001</v>
      </c>
      <c r="E55" s="242">
        <v>16928</v>
      </c>
      <c r="F55" s="242">
        <v>23211</v>
      </c>
      <c r="G55" s="243">
        <v>0.37116020793950844</v>
      </c>
      <c r="H55" s="244">
        <v>19190</v>
      </c>
      <c r="I55" s="242">
        <v>20633</v>
      </c>
      <c r="J55" s="242">
        <v>6045</v>
      </c>
      <c r="K55" s="245">
        <v>130</v>
      </c>
      <c r="L55" s="244">
        <v>20123</v>
      </c>
      <c r="M55" s="242">
        <v>20507</v>
      </c>
      <c r="N55" s="246">
        <v>1.908264175E-2</v>
      </c>
      <c r="O55" s="242">
        <v>20020</v>
      </c>
      <c r="P55" s="247">
        <v>-5.1185210899999996E-3</v>
      </c>
      <c r="Q55" s="248">
        <v>80.2</v>
      </c>
      <c r="R55" s="249">
        <v>9.8000000000000007</v>
      </c>
      <c r="S55" s="249">
        <v>3.3</v>
      </c>
      <c r="T55" s="250">
        <v>93.3</v>
      </c>
      <c r="U55" s="244">
        <v>284</v>
      </c>
      <c r="V55" s="242">
        <v>485</v>
      </c>
      <c r="W55" s="242">
        <v>0</v>
      </c>
      <c r="X55" s="242">
        <v>0</v>
      </c>
      <c r="Y55" s="242">
        <v>0</v>
      </c>
      <c r="Z55" s="242">
        <v>8051</v>
      </c>
      <c r="AA55" s="242">
        <v>8418</v>
      </c>
      <c r="AB55" s="242">
        <v>1024</v>
      </c>
      <c r="AC55" s="242">
        <v>0</v>
      </c>
      <c r="AD55" s="245">
        <v>1321</v>
      </c>
      <c r="AE55" s="244">
        <v>290</v>
      </c>
      <c r="AF55" s="242">
        <v>383</v>
      </c>
      <c r="AG55" s="242">
        <v>66</v>
      </c>
      <c r="AH55" s="242">
        <v>30</v>
      </c>
      <c r="AI55" s="242">
        <v>7464</v>
      </c>
      <c r="AJ55" s="242">
        <v>7239</v>
      </c>
      <c r="AK55" s="242">
        <v>2289</v>
      </c>
      <c r="AL55" s="245">
        <v>1822</v>
      </c>
      <c r="AM55" s="251">
        <v>5590000</v>
      </c>
      <c r="AN55" s="242">
        <v>690</v>
      </c>
      <c r="AO55" s="252">
        <v>1150000</v>
      </c>
      <c r="AP55" s="242">
        <v>1350</v>
      </c>
      <c r="AQ55" s="252">
        <v>0</v>
      </c>
      <c r="AR55" s="245">
        <v>0</v>
      </c>
    </row>
    <row r="56" spans="1:44" x14ac:dyDescent="0.3">
      <c r="A56" s="221">
        <v>805</v>
      </c>
      <c r="B56" s="221" t="s">
        <v>55</v>
      </c>
      <c r="C56" s="221" t="s">
        <v>352</v>
      </c>
      <c r="D56" s="241">
        <v>8197138.4000000004</v>
      </c>
      <c r="E56" s="242">
        <v>7427</v>
      </c>
      <c r="F56" s="242">
        <v>7972</v>
      </c>
      <c r="G56" s="243">
        <v>7.3380907499663417E-2</v>
      </c>
      <c r="H56" s="244">
        <v>8172</v>
      </c>
      <c r="I56" s="242">
        <v>8895</v>
      </c>
      <c r="J56" s="242">
        <v>0</v>
      </c>
      <c r="K56" s="245">
        <v>10</v>
      </c>
      <c r="L56" s="244">
        <v>7888</v>
      </c>
      <c r="M56" s="242">
        <v>7980</v>
      </c>
      <c r="N56" s="246">
        <v>1.1663286E-2</v>
      </c>
      <c r="O56" s="242">
        <v>7814</v>
      </c>
      <c r="P56" s="247">
        <v>-9.38133874E-3</v>
      </c>
      <c r="Q56" s="248">
        <v>91.3</v>
      </c>
      <c r="R56" s="249">
        <v>3.8</v>
      </c>
      <c r="S56" s="249">
        <v>1.2</v>
      </c>
      <c r="T56" s="250">
        <v>96.2</v>
      </c>
      <c r="U56" s="244">
        <v>0</v>
      </c>
      <c r="V56" s="242">
        <v>38</v>
      </c>
      <c r="W56" s="242">
        <v>0</v>
      </c>
      <c r="X56" s="242">
        <v>0</v>
      </c>
      <c r="Y56" s="242">
        <v>0</v>
      </c>
      <c r="Z56" s="242">
        <v>1843</v>
      </c>
      <c r="AA56" s="242">
        <v>5919</v>
      </c>
      <c r="AB56" s="242">
        <v>1095</v>
      </c>
      <c r="AC56" s="242">
        <v>0</v>
      </c>
      <c r="AD56" s="245">
        <v>0</v>
      </c>
      <c r="AE56" s="244">
        <v>0</v>
      </c>
      <c r="AF56" s="242">
        <v>38</v>
      </c>
      <c r="AG56" s="242">
        <v>0</v>
      </c>
      <c r="AH56" s="242">
        <v>0</v>
      </c>
      <c r="AI56" s="242">
        <v>2996</v>
      </c>
      <c r="AJ56" s="242">
        <v>4814</v>
      </c>
      <c r="AK56" s="242">
        <v>1047</v>
      </c>
      <c r="AL56" s="245">
        <v>0</v>
      </c>
      <c r="AM56" s="251">
        <v>0</v>
      </c>
      <c r="AN56" s="242">
        <v>0</v>
      </c>
      <c r="AO56" s="252">
        <v>0</v>
      </c>
      <c r="AP56" s="242">
        <v>0</v>
      </c>
      <c r="AQ56" s="252">
        <v>0</v>
      </c>
      <c r="AR56" s="245">
        <v>0</v>
      </c>
    </row>
    <row r="57" spans="1:44" x14ac:dyDescent="0.3">
      <c r="A57" s="221">
        <v>311</v>
      </c>
      <c r="B57" s="221" t="s">
        <v>56</v>
      </c>
      <c r="C57" s="221" t="s">
        <v>345</v>
      </c>
      <c r="D57" s="241">
        <v>81052318.24000001</v>
      </c>
      <c r="E57" s="242">
        <v>18378</v>
      </c>
      <c r="F57" s="242">
        <v>23059</v>
      </c>
      <c r="G57" s="243">
        <v>0.25470671455000549</v>
      </c>
      <c r="H57" s="244">
        <v>19243</v>
      </c>
      <c r="I57" s="242">
        <v>21826</v>
      </c>
      <c r="J57" s="242">
        <v>3451</v>
      </c>
      <c r="K57" s="245">
        <v>280</v>
      </c>
      <c r="L57" s="244">
        <v>20444</v>
      </c>
      <c r="M57" s="242">
        <v>20592</v>
      </c>
      <c r="N57" s="246">
        <v>7.2392878099999999E-3</v>
      </c>
      <c r="O57" s="242">
        <v>20450</v>
      </c>
      <c r="P57" s="247">
        <v>2.9348463999999999E-4</v>
      </c>
      <c r="Q57" s="248">
        <v>86.5</v>
      </c>
      <c r="R57" s="249">
        <v>6.8</v>
      </c>
      <c r="S57" s="249">
        <v>2.1</v>
      </c>
      <c r="T57" s="250">
        <v>95.4</v>
      </c>
      <c r="U57" s="244">
        <v>165</v>
      </c>
      <c r="V57" s="242">
        <v>604</v>
      </c>
      <c r="W57" s="242">
        <v>415</v>
      </c>
      <c r="X57" s="242">
        <v>0</v>
      </c>
      <c r="Y57" s="242">
        <v>0</v>
      </c>
      <c r="Z57" s="242">
        <v>2281</v>
      </c>
      <c r="AA57" s="242">
        <v>12748</v>
      </c>
      <c r="AB57" s="242">
        <v>4710</v>
      </c>
      <c r="AC57" s="242">
        <v>0</v>
      </c>
      <c r="AD57" s="245">
        <v>0</v>
      </c>
      <c r="AE57" s="244">
        <v>377</v>
      </c>
      <c r="AF57" s="242">
        <v>522</v>
      </c>
      <c r="AG57" s="242">
        <v>255</v>
      </c>
      <c r="AH57" s="242">
        <v>30</v>
      </c>
      <c r="AI57" s="242">
        <v>4284</v>
      </c>
      <c r="AJ57" s="242">
        <v>8545</v>
      </c>
      <c r="AK57" s="242">
        <v>3916</v>
      </c>
      <c r="AL57" s="245">
        <v>2994</v>
      </c>
      <c r="AM57" s="251">
        <v>15896192.142857</v>
      </c>
      <c r="AN57" s="242">
        <v>2295</v>
      </c>
      <c r="AO57" s="252">
        <v>1952656</v>
      </c>
      <c r="AP57" s="242">
        <v>697</v>
      </c>
      <c r="AQ57" s="252">
        <v>0</v>
      </c>
      <c r="AR57" s="245">
        <v>0</v>
      </c>
    </row>
    <row r="58" spans="1:44" x14ac:dyDescent="0.3">
      <c r="A58" s="221">
        <v>884</v>
      </c>
      <c r="B58" s="221" t="s">
        <v>57</v>
      </c>
      <c r="C58" s="221" t="s">
        <v>349</v>
      </c>
      <c r="D58" s="241">
        <v>6174627.8999999994</v>
      </c>
      <c r="E58" s="242">
        <v>12006</v>
      </c>
      <c r="F58" s="242">
        <v>13165</v>
      </c>
      <c r="G58" s="243">
        <v>9.653506580043314E-2</v>
      </c>
      <c r="H58" s="244">
        <v>14728</v>
      </c>
      <c r="I58" s="242">
        <v>14417</v>
      </c>
      <c r="J58" s="242">
        <v>58</v>
      </c>
      <c r="K58" s="245">
        <v>130</v>
      </c>
      <c r="L58" s="244">
        <v>12785</v>
      </c>
      <c r="M58" s="242">
        <v>12838</v>
      </c>
      <c r="N58" s="246">
        <v>4.1454829800000002E-3</v>
      </c>
      <c r="O58" s="242">
        <v>12721</v>
      </c>
      <c r="P58" s="247">
        <v>-5.0058662400000002E-3</v>
      </c>
      <c r="Q58" s="248">
        <v>94.8</v>
      </c>
      <c r="R58" s="249">
        <v>3.4</v>
      </c>
      <c r="S58" s="249">
        <v>0.3</v>
      </c>
      <c r="T58" s="250">
        <v>98.5</v>
      </c>
      <c r="U58" s="244">
        <v>30</v>
      </c>
      <c r="V58" s="242">
        <v>0</v>
      </c>
      <c r="W58" s="242">
        <v>0</v>
      </c>
      <c r="X58" s="242">
        <v>0</v>
      </c>
      <c r="Y58" s="242">
        <v>0</v>
      </c>
      <c r="Z58" s="242">
        <v>2072</v>
      </c>
      <c r="AA58" s="242">
        <v>9576</v>
      </c>
      <c r="AB58" s="242">
        <v>1813</v>
      </c>
      <c r="AC58" s="242">
        <v>0</v>
      </c>
      <c r="AD58" s="245">
        <v>630</v>
      </c>
      <c r="AE58" s="244">
        <v>30</v>
      </c>
      <c r="AF58" s="242">
        <v>0</v>
      </c>
      <c r="AG58" s="242">
        <v>0</v>
      </c>
      <c r="AH58" s="242">
        <v>0</v>
      </c>
      <c r="AI58" s="242">
        <v>2828</v>
      </c>
      <c r="AJ58" s="242">
        <v>8659</v>
      </c>
      <c r="AK58" s="242">
        <v>1666</v>
      </c>
      <c r="AL58" s="245">
        <v>938</v>
      </c>
      <c r="AM58" s="251">
        <v>204660</v>
      </c>
      <c r="AN58" s="242">
        <v>28</v>
      </c>
      <c r="AO58" s="252">
        <v>0</v>
      </c>
      <c r="AP58" s="242">
        <v>0</v>
      </c>
      <c r="AQ58" s="252">
        <v>0</v>
      </c>
      <c r="AR58" s="245">
        <v>0</v>
      </c>
    </row>
    <row r="59" spans="1:44" x14ac:dyDescent="0.3">
      <c r="A59" s="221">
        <v>919</v>
      </c>
      <c r="B59" s="221" t="s">
        <v>58</v>
      </c>
      <c r="C59" s="221" t="s">
        <v>348</v>
      </c>
      <c r="D59" s="241">
        <v>236189991.71000001</v>
      </c>
      <c r="E59" s="242">
        <v>85040</v>
      </c>
      <c r="F59" s="242">
        <v>102246</v>
      </c>
      <c r="G59" s="243">
        <v>0.20232831608654744</v>
      </c>
      <c r="H59" s="244">
        <v>93476</v>
      </c>
      <c r="I59" s="242">
        <v>106404</v>
      </c>
      <c r="J59" s="242">
        <v>2579</v>
      </c>
      <c r="K59" s="245">
        <v>2310</v>
      </c>
      <c r="L59" s="244">
        <v>95120</v>
      </c>
      <c r="M59" s="242">
        <v>96113</v>
      </c>
      <c r="N59" s="246">
        <v>1.043944491E-2</v>
      </c>
      <c r="O59" s="242">
        <v>95703</v>
      </c>
      <c r="P59" s="247">
        <v>6.1291000799999999E-3</v>
      </c>
      <c r="Q59" s="248">
        <v>81.900000000000006</v>
      </c>
      <c r="R59" s="249">
        <v>7.7</v>
      </c>
      <c r="S59" s="249">
        <v>3.4</v>
      </c>
      <c r="T59" s="250">
        <v>93</v>
      </c>
      <c r="U59" s="244">
        <v>287</v>
      </c>
      <c r="V59" s="242">
        <v>2117</v>
      </c>
      <c r="W59" s="242">
        <v>462</v>
      </c>
      <c r="X59" s="242">
        <v>0</v>
      </c>
      <c r="Y59" s="242">
        <v>0</v>
      </c>
      <c r="Z59" s="242">
        <v>20560</v>
      </c>
      <c r="AA59" s="242">
        <v>63743</v>
      </c>
      <c r="AB59" s="242">
        <v>15603</v>
      </c>
      <c r="AC59" s="242">
        <v>182</v>
      </c>
      <c r="AD59" s="245">
        <v>630</v>
      </c>
      <c r="AE59" s="244">
        <v>220</v>
      </c>
      <c r="AF59" s="242">
        <v>1882</v>
      </c>
      <c r="AG59" s="242">
        <v>390</v>
      </c>
      <c r="AH59" s="242">
        <v>374</v>
      </c>
      <c r="AI59" s="242">
        <v>14059</v>
      </c>
      <c r="AJ59" s="242">
        <v>52636</v>
      </c>
      <c r="AK59" s="242">
        <v>22740</v>
      </c>
      <c r="AL59" s="245">
        <v>11283</v>
      </c>
      <c r="AM59" s="251">
        <v>85363037.714285001</v>
      </c>
      <c r="AN59" s="242">
        <v>6928</v>
      </c>
      <c r="AO59" s="252">
        <v>10742198</v>
      </c>
      <c r="AP59" s="242">
        <v>1998</v>
      </c>
      <c r="AQ59" s="252">
        <v>30721094</v>
      </c>
      <c r="AR59" s="245">
        <v>1268</v>
      </c>
    </row>
    <row r="60" spans="1:44" x14ac:dyDescent="0.3">
      <c r="A60" s="221">
        <v>312</v>
      </c>
      <c r="B60" s="221" t="s">
        <v>59</v>
      </c>
      <c r="C60" s="221" t="s">
        <v>345</v>
      </c>
      <c r="D60" s="241">
        <v>97651638.86999999</v>
      </c>
      <c r="E60" s="242">
        <v>22130</v>
      </c>
      <c r="F60" s="242">
        <v>29014</v>
      </c>
      <c r="G60" s="243">
        <v>0.31107094441934025</v>
      </c>
      <c r="H60" s="244">
        <v>24225</v>
      </c>
      <c r="I60" s="242">
        <v>31895</v>
      </c>
      <c r="J60" s="242">
        <v>630</v>
      </c>
      <c r="K60" s="245">
        <v>350</v>
      </c>
      <c r="L60" s="244">
        <v>26339</v>
      </c>
      <c r="M60" s="242">
        <v>26390</v>
      </c>
      <c r="N60" s="246">
        <v>1.9362921899999999E-3</v>
      </c>
      <c r="O60" s="242">
        <v>26904</v>
      </c>
      <c r="P60" s="247">
        <v>2.1451080139999999E-2</v>
      </c>
      <c r="Q60" s="248">
        <v>87.8</v>
      </c>
      <c r="R60" s="249">
        <v>7.3</v>
      </c>
      <c r="S60" s="249">
        <v>3.3</v>
      </c>
      <c r="T60" s="250">
        <v>98.3</v>
      </c>
      <c r="U60" s="244">
        <v>148</v>
      </c>
      <c r="V60" s="242">
        <v>1262</v>
      </c>
      <c r="W60" s="242">
        <v>308</v>
      </c>
      <c r="X60" s="242">
        <v>0</v>
      </c>
      <c r="Y60" s="242">
        <v>0</v>
      </c>
      <c r="Z60" s="242">
        <v>3814</v>
      </c>
      <c r="AA60" s="242">
        <v>16247</v>
      </c>
      <c r="AB60" s="242">
        <v>6096</v>
      </c>
      <c r="AC60" s="242">
        <v>0</v>
      </c>
      <c r="AD60" s="245">
        <v>0</v>
      </c>
      <c r="AE60" s="244">
        <v>674</v>
      </c>
      <c r="AF60" s="242">
        <v>1044</v>
      </c>
      <c r="AG60" s="242">
        <v>0</v>
      </c>
      <c r="AH60" s="242">
        <v>0</v>
      </c>
      <c r="AI60" s="242">
        <v>7870</v>
      </c>
      <c r="AJ60" s="242">
        <v>13287</v>
      </c>
      <c r="AK60" s="242">
        <v>1449</v>
      </c>
      <c r="AL60" s="245">
        <v>3551</v>
      </c>
      <c r="AM60" s="251">
        <v>71401394</v>
      </c>
      <c r="AN60" s="242">
        <v>4545</v>
      </c>
      <c r="AO60" s="252">
        <v>2004304</v>
      </c>
      <c r="AP60" s="242">
        <v>150</v>
      </c>
      <c r="AQ60" s="252">
        <v>18385238</v>
      </c>
      <c r="AR60" s="245">
        <v>1260</v>
      </c>
    </row>
    <row r="61" spans="1:44" x14ac:dyDescent="0.3">
      <c r="A61" s="221">
        <v>313</v>
      </c>
      <c r="B61" s="221" t="s">
        <v>60</v>
      </c>
      <c r="C61" s="221" t="s">
        <v>345</v>
      </c>
      <c r="D61" s="241">
        <v>126013533.61000001</v>
      </c>
      <c r="E61" s="242">
        <v>17351</v>
      </c>
      <c r="F61" s="242">
        <v>23947</v>
      </c>
      <c r="G61" s="243">
        <v>0.38015099994236645</v>
      </c>
      <c r="H61" s="244">
        <v>18197</v>
      </c>
      <c r="I61" s="242">
        <v>24420</v>
      </c>
      <c r="J61" s="242">
        <v>2070</v>
      </c>
      <c r="K61" s="245">
        <v>190</v>
      </c>
      <c r="L61" s="244">
        <v>21505</v>
      </c>
      <c r="M61" s="242">
        <v>21753</v>
      </c>
      <c r="N61" s="246">
        <v>1.153220181E-2</v>
      </c>
      <c r="O61" s="242">
        <v>22458</v>
      </c>
      <c r="P61" s="247">
        <v>4.4315275510000002E-2</v>
      </c>
      <c r="Q61" s="248">
        <v>78.5</v>
      </c>
      <c r="R61" s="249">
        <v>10.8</v>
      </c>
      <c r="S61" s="249">
        <v>4.2</v>
      </c>
      <c r="T61" s="250">
        <v>93.6</v>
      </c>
      <c r="U61" s="244">
        <v>654</v>
      </c>
      <c r="V61" s="242">
        <v>571</v>
      </c>
      <c r="W61" s="242">
        <v>354</v>
      </c>
      <c r="X61" s="242">
        <v>0</v>
      </c>
      <c r="Y61" s="242">
        <v>0</v>
      </c>
      <c r="Z61" s="242">
        <v>4266</v>
      </c>
      <c r="AA61" s="242">
        <v>13309</v>
      </c>
      <c r="AB61" s="242">
        <v>2856</v>
      </c>
      <c r="AC61" s="242">
        <v>0</v>
      </c>
      <c r="AD61" s="245">
        <v>870</v>
      </c>
      <c r="AE61" s="244">
        <v>742</v>
      </c>
      <c r="AF61" s="242">
        <v>690</v>
      </c>
      <c r="AG61" s="242">
        <v>16</v>
      </c>
      <c r="AH61" s="242">
        <v>131</v>
      </c>
      <c r="AI61" s="242">
        <v>9998</v>
      </c>
      <c r="AJ61" s="242">
        <v>8150</v>
      </c>
      <c r="AK61" s="242">
        <v>344</v>
      </c>
      <c r="AL61" s="245">
        <v>2809</v>
      </c>
      <c r="AM61" s="251">
        <v>74497075.925183997</v>
      </c>
      <c r="AN61" s="242">
        <v>4078</v>
      </c>
      <c r="AO61" s="252">
        <v>4734935</v>
      </c>
      <c r="AP61" s="242">
        <v>1380</v>
      </c>
      <c r="AQ61" s="252">
        <v>0</v>
      </c>
      <c r="AR61" s="245">
        <v>0</v>
      </c>
    </row>
    <row r="62" spans="1:44" x14ac:dyDescent="0.3">
      <c r="A62" s="221">
        <v>921</v>
      </c>
      <c r="B62" s="221" t="s">
        <v>61</v>
      </c>
      <c r="C62" s="221" t="s">
        <v>351</v>
      </c>
      <c r="D62" s="241">
        <v>13425011.620000001</v>
      </c>
      <c r="E62" s="242">
        <v>8944</v>
      </c>
      <c r="F62" s="242">
        <v>8573</v>
      </c>
      <c r="G62" s="243">
        <v>-4.1480322003577763E-2</v>
      </c>
      <c r="H62" s="244">
        <v>10816</v>
      </c>
      <c r="I62" s="242">
        <v>10995</v>
      </c>
      <c r="J62" s="242">
        <v>65</v>
      </c>
      <c r="K62" s="245">
        <v>550</v>
      </c>
      <c r="L62" s="244">
        <v>9131</v>
      </c>
      <c r="M62" s="242">
        <v>9245</v>
      </c>
      <c r="N62" s="246">
        <v>1.24849414E-2</v>
      </c>
      <c r="O62" s="242">
        <v>9172</v>
      </c>
      <c r="P62" s="247">
        <v>4.4901982199999999E-3</v>
      </c>
      <c r="Q62" s="248">
        <v>97.1</v>
      </c>
      <c r="R62" s="249">
        <v>2.1</v>
      </c>
      <c r="S62" s="249">
        <v>0.1</v>
      </c>
      <c r="T62" s="250">
        <v>99.3</v>
      </c>
      <c r="U62" s="244">
        <v>0</v>
      </c>
      <c r="V62" s="242">
        <v>0</v>
      </c>
      <c r="W62" s="242">
        <v>0</v>
      </c>
      <c r="X62" s="242">
        <v>0</v>
      </c>
      <c r="Y62" s="242">
        <v>0</v>
      </c>
      <c r="Z62" s="242">
        <v>210</v>
      </c>
      <c r="AA62" s="242">
        <v>6933</v>
      </c>
      <c r="AB62" s="242">
        <v>3116</v>
      </c>
      <c r="AC62" s="242">
        <v>736</v>
      </c>
      <c r="AD62" s="245">
        <v>0</v>
      </c>
      <c r="AE62" s="244">
        <v>0</v>
      </c>
      <c r="AF62" s="242">
        <v>0</v>
      </c>
      <c r="AG62" s="242">
        <v>0</v>
      </c>
      <c r="AH62" s="242">
        <v>0</v>
      </c>
      <c r="AI62" s="242">
        <v>0</v>
      </c>
      <c r="AJ62" s="242">
        <v>4193</v>
      </c>
      <c r="AK62" s="242">
        <v>6802</v>
      </c>
      <c r="AL62" s="245">
        <v>0</v>
      </c>
      <c r="AM62" s="251">
        <v>2222000</v>
      </c>
      <c r="AN62" s="242">
        <v>670</v>
      </c>
      <c r="AO62" s="252">
        <v>330000</v>
      </c>
      <c r="AP62" s="242">
        <v>60</v>
      </c>
      <c r="AQ62" s="252">
        <v>2028572</v>
      </c>
      <c r="AR62" s="245">
        <v>120</v>
      </c>
    </row>
    <row r="63" spans="1:44" x14ac:dyDescent="0.3">
      <c r="A63" s="221">
        <v>420</v>
      </c>
      <c r="B63" s="221" t="s">
        <v>62</v>
      </c>
      <c r="C63" s="221" t="s">
        <v>347</v>
      </c>
      <c r="D63" s="241">
        <v>621890.89</v>
      </c>
      <c r="E63" s="242">
        <v>146</v>
      </c>
      <c r="F63" s="242">
        <v>154</v>
      </c>
      <c r="G63" s="243">
        <v>5.4794520547945202E-2</v>
      </c>
      <c r="H63" s="244">
        <v>158</v>
      </c>
      <c r="I63" s="242">
        <v>166</v>
      </c>
      <c r="J63" s="242">
        <v>0</v>
      </c>
      <c r="K63" s="245">
        <v>10</v>
      </c>
      <c r="L63" s="244">
        <v>152</v>
      </c>
      <c r="M63" s="242">
        <v>152</v>
      </c>
      <c r="N63" s="246">
        <v>0</v>
      </c>
      <c r="O63" s="242">
        <v>149</v>
      </c>
      <c r="P63" s="247">
        <v>-1.9736842099999999E-2</v>
      </c>
      <c r="Q63" s="248" t="s">
        <v>157</v>
      </c>
      <c r="R63" s="249" t="s">
        <v>157</v>
      </c>
      <c r="S63" s="249" t="s">
        <v>157</v>
      </c>
      <c r="T63" s="250" t="s">
        <v>157</v>
      </c>
      <c r="U63" s="244">
        <v>0</v>
      </c>
      <c r="V63" s="242">
        <v>0</v>
      </c>
      <c r="W63" s="242">
        <v>0</v>
      </c>
      <c r="X63" s="242">
        <v>0</v>
      </c>
      <c r="Y63" s="242">
        <v>0</v>
      </c>
      <c r="Z63" s="242">
        <v>0</v>
      </c>
      <c r="AA63" s="242">
        <v>0</v>
      </c>
      <c r="AB63" s="242">
        <v>166</v>
      </c>
      <c r="AC63" s="242">
        <v>0</v>
      </c>
      <c r="AD63" s="245">
        <v>0</v>
      </c>
      <c r="AE63" s="244">
        <v>0</v>
      </c>
      <c r="AF63" s="242">
        <v>0</v>
      </c>
      <c r="AG63" s="242">
        <v>0</v>
      </c>
      <c r="AH63" s="242">
        <v>0</v>
      </c>
      <c r="AI63" s="242">
        <v>0</v>
      </c>
      <c r="AJ63" s="242">
        <v>0</v>
      </c>
      <c r="AK63" s="242">
        <v>166</v>
      </c>
      <c r="AL63" s="245">
        <v>0</v>
      </c>
      <c r="AM63" s="251">
        <v>0</v>
      </c>
      <c r="AN63" s="242">
        <v>0</v>
      </c>
      <c r="AO63" s="252">
        <v>0</v>
      </c>
      <c r="AP63" s="242">
        <v>0</v>
      </c>
      <c r="AQ63" s="252">
        <v>0</v>
      </c>
      <c r="AR63" s="245">
        <v>0</v>
      </c>
    </row>
    <row r="64" spans="1:44" x14ac:dyDescent="0.3">
      <c r="A64" s="221">
        <v>206</v>
      </c>
      <c r="B64" s="221" t="s">
        <v>63</v>
      </c>
      <c r="C64" s="221" t="s">
        <v>345</v>
      </c>
      <c r="D64" s="241">
        <v>24255096.18</v>
      </c>
      <c r="E64" s="242">
        <v>12258</v>
      </c>
      <c r="F64" s="242">
        <v>14633</v>
      </c>
      <c r="G64" s="243">
        <v>0.19375101974220921</v>
      </c>
      <c r="H64" s="244">
        <v>14280</v>
      </c>
      <c r="I64" s="242">
        <v>15204</v>
      </c>
      <c r="J64" s="242">
        <v>470</v>
      </c>
      <c r="K64" s="245">
        <v>260</v>
      </c>
      <c r="L64" s="244">
        <v>13414</v>
      </c>
      <c r="M64" s="242">
        <v>13654</v>
      </c>
      <c r="N64" s="246">
        <v>1.7891754879999999E-2</v>
      </c>
      <c r="O64" s="242">
        <v>13404</v>
      </c>
      <c r="P64" s="247">
        <v>-7.4548978000000003E-4</v>
      </c>
      <c r="Q64" s="248">
        <v>76.400000000000006</v>
      </c>
      <c r="R64" s="249">
        <v>10.199999999999999</v>
      </c>
      <c r="S64" s="249">
        <v>4</v>
      </c>
      <c r="T64" s="250">
        <v>90.7</v>
      </c>
      <c r="U64" s="244">
        <v>0</v>
      </c>
      <c r="V64" s="242">
        <v>60</v>
      </c>
      <c r="W64" s="242">
        <v>30</v>
      </c>
      <c r="X64" s="242">
        <v>0</v>
      </c>
      <c r="Y64" s="242">
        <v>0</v>
      </c>
      <c r="Z64" s="242">
        <v>2130</v>
      </c>
      <c r="AA64" s="242">
        <v>10149</v>
      </c>
      <c r="AB64" s="242">
        <v>2415</v>
      </c>
      <c r="AC64" s="242">
        <v>0</v>
      </c>
      <c r="AD64" s="245">
        <v>0</v>
      </c>
      <c r="AE64" s="244">
        <v>0</v>
      </c>
      <c r="AF64" s="242">
        <v>90</v>
      </c>
      <c r="AG64" s="242">
        <v>0</v>
      </c>
      <c r="AH64" s="242">
        <v>0</v>
      </c>
      <c r="AI64" s="242">
        <v>6763</v>
      </c>
      <c r="AJ64" s="242">
        <v>7541</v>
      </c>
      <c r="AK64" s="242">
        <v>390</v>
      </c>
      <c r="AL64" s="245">
        <v>0</v>
      </c>
      <c r="AM64" s="251">
        <v>725143.39910000004</v>
      </c>
      <c r="AN64" s="242">
        <v>170</v>
      </c>
      <c r="AO64" s="252">
        <v>320130</v>
      </c>
      <c r="AP64" s="242">
        <v>135</v>
      </c>
      <c r="AQ64" s="252">
        <v>206007.19620199999</v>
      </c>
      <c r="AR64" s="245">
        <v>88</v>
      </c>
    </row>
    <row r="65" spans="1:44" x14ac:dyDescent="0.3">
      <c r="A65" s="221">
        <v>207</v>
      </c>
      <c r="B65" s="221" t="s">
        <v>64</v>
      </c>
      <c r="C65" s="221" t="s">
        <v>345</v>
      </c>
      <c r="D65" s="241">
        <v>4728215.59</v>
      </c>
      <c r="E65" s="242">
        <v>6380</v>
      </c>
      <c r="F65" s="242">
        <v>6873</v>
      </c>
      <c r="G65" s="243">
        <v>7.7272727272727382E-2</v>
      </c>
      <c r="H65" s="244">
        <v>6898</v>
      </c>
      <c r="I65" s="242">
        <v>7380</v>
      </c>
      <c r="J65" s="242">
        <v>510</v>
      </c>
      <c r="K65" s="245">
        <v>0</v>
      </c>
      <c r="L65" s="244">
        <v>6814</v>
      </c>
      <c r="M65" s="242">
        <v>6801</v>
      </c>
      <c r="N65" s="246">
        <v>-1.9078368E-3</v>
      </c>
      <c r="O65" s="242">
        <v>6898</v>
      </c>
      <c r="P65" s="247">
        <v>1.2327560899999999E-2</v>
      </c>
      <c r="Q65" s="248">
        <v>59</v>
      </c>
      <c r="R65" s="249">
        <v>11.8</v>
      </c>
      <c r="S65" s="249">
        <v>5.2</v>
      </c>
      <c r="T65" s="250">
        <v>75.900000000000006</v>
      </c>
      <c r="U65" s="244">
        <v>0</v>
      </c>
      <c r="V65" s="242">
        <v>0</v>
      </c>
      <c r="W65" s="242">
        <v>0</v>
      </c>
      <c r="X65" s="242">
        <v>0</v>
      </c>
      <c r="Y65" s="242">
        <v>0</v>
      </c>
      <c r="Z65" s="242">
        <v>3578</v>
      </c>
      <c r="AA65" s="242">
        <v>2775</v>
      </c>
      <c r="AB65" s="242">
        <v>607</v>
      </c>
      <c r="AC65" s="242">
        <v>0</v>
      </c>
      <c r="AD65" s="245">
        <v>0</v>
      </c>
      <c r="AE65" s="244">
        <v>0</v>
      </c>
      <c r="AF65" s="242">
        <v>0</v>
      </c>
      <c r="AG65" s="242">
        <v>0</v>
      </c>
      <c r="AH65" s="242">
        <v>0</v>
      </c>
      <c r="AI65" s="242">
        <v>4692</v>
      </c>
      <c r="AJ65" s="242">
        <v>1638</v>
      </c>
      <c r="AK65" s="242">
        <v>630</v>
      </c>
      <c r="AL65" s="245">
        <v>0</v>
      </c>
      <c r="AM65" s="251">
        <v>2985000</v>
      </c>
      <c r="AN65" s="242">
        <v>105</v>
      </c>
      <c r="AO65" s="252">
        <v>0</v>
      </c>
      <c r="AP65" s="242">
        <v>0</v>
      </c>
      <c r="AQ65" s="252">
        <v>0</v>
      </c>
      <c r="AR65" s="245">
        <v>0</v>
      </c>
    </row>
    <row r="66" spans="1:44" x14ac:dyDescent="0.3">
      <c r="A66" s="221">
        <v>886</v>
      </c>
      <c r="B66" s="221" t="s">
        <v>65</v>
      </c>
      <c r="C66" s="221" t="s">
        <v>351</v>
      </c>
      <c r="D66" s="241">
        <v>259429637.66</v>
      </c>
      <c r="E66" s="242">
        <v>105705</v>
      </c>
      <c r="F66" s="242">
        <v>123441</v>
      </c>
      <c r="G66" s="243">
        <v>0.16778771108273016</v>
      </c>
      <c r="H66" s="244">
        <v>117350</v>
      </c>
      <c r="I66" s="242">
        <v>126514</v>
      </c>
      <c r="J66" s="242">
        <v>11211</v>
      </c>
      <c r="K66" s="245">
        <v>1950</v>
      </c>
      <c r="L66" s="244">
        <v>117068</v>
      </c>
      <c r="M66" s="242">
        <v>117806</v>
      </c>
      <c r="N66" s="246">
        <v>6.3040284199999998E-3</v>
      </c>
      <c r="O66" s="242">
        <v>116000</v>
      </c>
      <c r="P66" s="247">
        <v>-9.1229029200000002E-3</v>
      </c>
      <c r="Q66" s="248">
        <v>85.8</v>
      </c>
      <c r="R66" s="249">
        <v>7.3</v>
      </c>
      <c r="S66" s="249">
        <v>2.7</v>
      </c>
      <c r="T66" s="250">
        <v>95.8</v>
      </c>
      <c r="U66" s="244">
        <v>532</v>
      </c>
      <c r="V66" s="242">
        <v>2128</v>
      </c>
      <c r="W66" s="242">
        <v>299</v>
      </c>
      <c r="X66" s="242">
        <v>60</v>
      </c>
      <c r="Y66" s="242">
        <v>0</v>
      </c>
      <c r="Z66" s="242">
        <v>14919</v>
      </c>
      <c r="AA66" s="242">
        <v>76790</v>
      </c>
      <c r="AB66" s="242">
        <v>19657</v>
      </c>
      <c r="AC66" s="242">
        <v>3376</v>
      </c>
      <c r="AD66" s="245">
        <v>1890</v>
      </c>
      <c r="AE66" s="244">
        <v>862</v>
      </c>
      <c r="AF66" s="242">
        <v>1802</v>
      </c>
      <c r="AG66" s="242">
        <v>250</v>
      </c>
      <c r="AH66" s="242">
        <v>105</v>
      </c>
      <c r="AI66" s="242">
        <v>24222</v>
      </c>
      <c r="AJ66" s="242">
        <v>61500</v>
      </c>
      <c r="AK66" s="242">
        <v>23063</v>
      </c>
      <c r="AL66" s="245">
        <v>7847</v>
      </c>
      <c r="AM66" s="251">
        <v>34597209</v>
      </c>
      <c r="AN66" s="242">
        <v>4857</v>
      </c>
      <c r="AO66" s="252">
        <v>4669447</v>
      </c>
      <c r="AP66" s="242">
        <v>1370</v>
      </c>
      <c r="AQ66" s="252">
        <v>14744334</v>
      </c>
      <c r="AR66" s="245">
        <v>855</v>
      </c>
    </row>
    <row r="67" spans="1:44" x14ac:dyDescent="0.3">
      <c r="A67" s="221">
        <v>810</v>
      </c>
      <c r="B67" s="221" t="s">
        <v>66</v>
      </c>
      <c r="C67" s="221" t="s">
        <v>346</v>
      </c>
      <c r="D67" s="241">
        <v>31202346.220000003</v>
      </c>
      <c r="E67" s="242">
        <v>18498</v>
      </c>
      <c r="F67" s="242">
        <v>23249</v>
      </c>
      <c r="G67" s="243">
        <v>0.25683857714347491</v>
      </c>
      <c r="H67" s="244">
        <v>20776</v>
      </c>
      <c r="I67" s="242">
        <v>22626</v>
      </c>
      <c r="J67" s="242">
        <v>1085</v>
      </c>
      <c r="K67" s="245">
        <v>270</v>
      </c>
      <c r="L67" s="244">
        <v>21597</v>
      </c>
      <c r="M67" s="242">
        <v>21483</v>
      </c>
      <c r="N67" s="246">
        <v>-5.2785109E-3</v>
      </c>
      <c r="O67" s="242">
        <v>20598</v>
      </c>
      <c r="P67" s="247">
        <v>-4.6256424499999997E-2</v>
      </c>
      <c r="Q67" s="248">
        <v>92</v>
      </c>
      <c r="R67" s="249">
        <v>4.8</v>
      </c>
      <c r="S67" s="249">
        <v>0.9</v>
      </c>
      <c r="T67" s="250">
        <v>97.6</v>
      </c>
      <c r="U67" s="244">
        <v>0</v>
      </c>
      <c r="V67" s="242">
        <v>219</v>
      </c>
      <c r="W67" s="242">
        <v>122</v>
      </c>
      <c r="X67" s="242">
        <v>42</v>
      </c>
      <c r="Y67" s="242">
        <v>0</v>
      </c>
      <c r="Z67" s="242">
        <v>3917</v>
      </c>
      <c r="AA67" s="242">
        <v>12661</v>
      </c>
      <c r="AB67" s="242">
        <v>2662</v>
      </c>
      <c r="AC67" s="242">
        <v>837</v>
      </c>
      <c r="AD67" s="245">
        <v>0</v>
      </c>
      <c r="AE67" s="244">
        <v>70</v>
      </c>
      <c r="AF67" s="242">
        <v>283</v>
      </c>
      <c r="AG67" s="242">
        <v>30</v>
      </c>
      <c r="AH67" s="242">
        <v>0</v>
      </c>
      <c r="AI67" s="242">
        <v>6157</v>
      </c>
      <c r="AJ67" s="242">
        <v>11271</v>
      </c>
      <c r="AK67" s="242">
        <v>2649</v>
      </c>
      <c r="AL67" s="245">
        <v>0</v>
      </c>
      <c r="AM67" s="251">
        <v>1110217.4364120001</v>
      </c>
      <c r="AN67" s="242">
        <v>917</v>
      </c>
      <c r="AO67" s="252">
        <v>428200</v>
      </c>
      <c r="AP67" s="242">
        <v>175</v>
      </c>
      <c r="AQ67" s="252">
        <v>6325000</v>
      </c>
      <c r="AR67" s="245">
        <v>420</v>
      </c>
    </row>
    <row r="68" spans="1:44" x14ac:dyDescent="0.3">
      <c r="A68" s="221">
        <v>314</v>
      </c>
      <c r="B68" s="221" t="s">
        <v>67</v>
      </c>
      <c r="C68" s="221" t="s">
        <v>345</v>
      </c>
      <c r="D68" s="241">
        <v>48500660.579999998</v>
      </c>
      <c r="E68" s="242">
        <v>11009</v>
      </c>
      <c r="F68" s="242">
        <v>13591</v>
      </c>
      <c r="G68" s="243">
        <v>0.23453538014351905</v>
      </c>
      <c r="H68" s="244">
        <v>11112</v>
      </c>
      <c r="I68" s="242">
        <v>14102</v>
      </c>
      <c r="J68" s="242">
        <v>960</v>
      </c>
      <c r="K68" s="245">
        <v>200</v>
      </c>
      <c r="L68" s="244">
        <v>12826</v>
      </c>
      <c r="M68" s="242">
        <v>13203</v>
      </c>
      <c r="N68" s="246">
        <v>2.9393419609999999E-2</v>
      </c>
      <c r="O68" s="242">
        <v>13151</v>
      </c>
      <c r="P68" s="247">
        <v>2.5339154839999999E-2</v>
      </c>
      <c r="Q68" s="248">
        <v>82</v>
      </c>
      <c r="R68" s="249">
        <v>7.7</v>
      </c>
      <c r="S68" s="249">
        <v>2.5</v>
      </c>
      <c r="T68" s="250">
        <v>92.2</v>
      </c>
      <c r="U68" s="244">
        <v>106</v>
      </c>
      <c r="V68" s="242">
        <v>237</v>
      </c>
      <c r="W68" s="242">
        <v>0</v>
      </c>
      <c r="X68" s="242">
        <v>0</v>
      </c>
      <c r="Y68" s="242">
        <v>0</v>
      </c>
      <c r="Z68" s="242">
        <v>4030</v>
      </c>
      <c r="AA68" s="242">
        <v>9013</v>
      </c>
      <c r="AB68" s="242">
        <v>476</v>
      </c>
      <c r="AC68" s="242">
        <v>0</v>
      </c>
      <c r="AD68" s="245">
        <v>0</v>
      </c>
      <c r="AE68" s="244">
        <v>106</v>
      </c>
      <c r="AF68" s="242">
        <v>222</v>
      </c>
      <c r="AG68" s="242">
        <v>0</v>
      </c>
      <c r="AH68" s="242">
        <v>15</v>
      </c>
      <c r="AI68" s="242">
        <v>1990</v>
      </c>
      <c r="AJ68" s="242">
        <v>8426</v>
      </c>
      <c r="AK68" s="242">
        <v>1139</v>
      </c>
      <c r="AL68" s="245">
        <v>1964</v>
      </c>
      <c r="AM68" s="251">
        <v>22424138</v>
      </c>
      <c r="AN68" s="242">
        <v>1335</v>
      </c>
      <c r="AO68" s="252">
        <v>3936986</v>
      </c>
      <c r="AP68" s="242">
        <v>525</v>
      </c>
      <c r="AQ68" s="252">
        <v>17579658</v>
      </c>
      <c r="AR68" s="245">
        <v>834</v>
      </c>
    </row>
    <row r="69" spans="1:44" x14ac:dyDescent="0.3">
      <c r="A69" s="221">
        <v>382</v>
      </c>
      <c r="B69" s="221" t="s">
        <v>68</v>
      </c>
      <c r="C69" s="221" t="s">
        <v>346</v>
      </c>
      <c r="D69" s="241">
        <v>49605845.68</v>
      </c>
      <c r="E69" s="242">
        <v>33671</v>
      </c>
      <c r="F69" s="242">
        <v>38470</v>
      </c>
      <c r="G69" s="243">
        <v>0.14252620949778749</v>
      </c>
      <c r="H69" s="244">
        <v>37532</v>
      </c>
      <c r="I69" s="242">
        <v>40129</v>
      </c>
      <c r="J69" s="242">
        <v>732</v>
      </c>
      <c r="K69" s="245">
        <v>580</v>
      </c>
      <c r="L69" s="244">
        <v>37275</v>
      </c>
      <c r="M69" s="242">
        <v>37247</v>
      </c>
      <c r="N69" s="246">
        <v>-7.5117369999999997E-4</v>
      </c>
      <c r="O69" s="242">
        <v>37497</v>
      </c>
      <c r="P69" s="247">
        <v>5.9557344E-3</v>
      </c>
      <c r="Q69" s="248">
        <v>90.6</v>
      </c>
      <c r="R69" s="249">
        <v>4.7</v>
      </c>
      <c r="S69" s="249">
        <v>1.8</v>
      </c>
      <c r="T69" s="250">
        <v>97.1</v>
      </c>
      <c r="U69" s="244">
        <v>216</v>
      </c>
      <c r="V69" s="242">
        <v>239</v>
      </c>
      <c r="W69" s="242">
        <v>500</v>
      </c>
      <c r="X69" s="242">
        <v>0</v>
      </c>
      <c r="Y69" s="242">
        <v>440</v>
      </c>
      <c r="Z69" s="242">
        <v>5780</v>
      </c>
      <c r="AA69" s="242">
        <v>24974</v>
      </c>
      <c r="AB69" s="242">
        <v>5661</v>
      </c>
      <c r="AC69" s="242">
        <v>364</v>
      </c>
      <c r="AD69" s="245">
        <v>626</v>
      </c>
      <c r="AE69" s="244">
        <v>35</v>
      </c>
      <c r="AF69" s="242">
        <v>149</v>
      </c>
      <c r="AG69" s="242">
        <v>721</v>
      </c>
      <c r="AH69" s="242">
        <v>490</v>
      </c>
      <c r="AI69" s="242">
        <v>2950</v>
      </c>
      <c r="AJ69" s="242">
        <v>16098</v>
      </c>
      <c r="AK69" s="242">
        <v>11568</v>
      </c>
      <c r="AL69" s="245">
        <v>6789</v>
      </c>
      <c r="AM69" s="251">
        <v>8964504.2856619991</v>
      </c>
      <c r="AN69" s="242">
        <v>1882</v>
      </c>
      <c r="AO69" s="252">
        <v>688000</v>
      </c>
      <c r="AP69" s="242">
        <v>250</v>
      </c>
      <c r="AQ69" s="252">
        <v>0</v>
      </c>
      <c r="AR69" s="245">
        <v>0</v>
      </c>
    </row>
    <row r="70" spans="1:44" x14ac:dyDescent="0.3">
      <c r="A70" s="221">
        <v>340</v>
      </c>
      <c r="B70" s="221" t="s">
        <v>69</v>
      </c>
      <c r="C70" s="221" t="s">
        <v>350</v>
      </c>
      <c r="D70" s="241">
        <v>2412898.8600000003</v>
      </c>
      <c r="E70" s="242">
        <v>12113</v>
      </c>
      <c r="F70" s="242">
        <v>12612</v>
      </c>
      <c r="G70" s="243">
        <v>4.1195409890200541E-2</v>
      </c>
      <c r="H70" s="244">
        <v>15542</v>
      </c>
      <c r="I70" s="242">
        <v>14004</v>
      </c>
      <c r="J70" s="242">
        <v>0</v>
      </c>
      <c r="K70" s="245">
        <v>0</v>
      </c>
      <c r="L70" s="244">
        <v>12402</v>
      </c>
      <c r="M70" s="242">
        <v>12370</v>
      </c>
      <c r="N70" s="246">
        <v>-2.5802289899999999E-3</v>
      </c>
      <c r="O70" s="242">
        <v>12390</v>
      </c>
      <c r="P70" s="247">
        <v>-9.6758586999999997E-4</v>
      </c>
      <c r="Q70" s="248">
        <v>89.8</v>
      </c>
      <c r="R70" s="249">
        <v>4.5</v>
      </c>
      <c r="S70" s="249">
        <v>1.8</v>
      </c>
      <c r="T70" s="250">
        <v>96</v>
      </c>
      <c r="U70" s="244">
        <v>0</v>
      </c>
      <c r="V70" s="242">
        <v>0</v>
      </c>
      <c r="W70" s="242">
        <v>0</v>
      </c>
      <c r="X70" s="242">
        <v>0</v>
      </c>
      <c r="Y70" s="242">
        <v>0</v>
      </c>
      <c r="Z70" s="242">
        <v>1684</v>
      </c>
      <c r="AA70" s="242">
        <v>10820</v>
      </c>
      <c r="AB70" s="242">
        <v>1185</v>
      </c>
      <c r="AC70" s="242">
        <v>0</v>
      </c>
      <c r="AD70" s="245">
        <v>0</v>
      </c>
      <c r="AE70" s="244">
        <v>0</v>
      </c>
      <c r="AF70" s="242">
        <v>0</v>
      </c>
      <c r="AG70" s="242">
        <v>0</v>
      </c>
      <c r="AH70" s="242">
        <v>0</v>
      </c>
      <c r="AI70" s="242">
        <v>4337</v>
      </c>
      <c r="AJ70" s="242">
        <v>7083</v>
      </c>
      <c r="AK70" s="242">
        <v>1909</v>
      </c>
      <c r="AL70" s="245">
        <v>360</v>
      </c>
      <c r="AM70" s="251">
        <v>588300</v>
      </c>
      <c r="AN70" s="242">
        <v>120</v>
      </c>
      <c r="AO70" s="252">
        <v>0</v>
      </c>
      <c r="AP70" s="242">
        <v>0</v>
      </c>
      <c r="AQ70" s="252">
        <v>0</v>
      </c>
      <c r="AR70" s="245">
        <v>0</v>
      </c>
    </row>
    <row r="71" spans="1:44" x14ac:dyDescent="0.3">
      <c r="A71" s="221">
        <v>208</v>
      </c>
      <c r="B71" s="221" t="s">
        <v>70</v>
      </c>
      <c r="C71" s="221" t="s">
        <v>345</v>
      </c>
      <c r="D71" s="241">
        <v>114848438.39</v>
      </c>
      <c r="E71" s="242">
        <v>18589</v>
      </c>
      <c r="F71" s="242">
        <v>24091</v>
      </c>
      <c r="G71" s="243">
        <v>0.29598149443219102</v>
      </c>
      <c r="H71" s="244">
        <v>19570</v>
      </c>
      <c r="I71" s="242">
        <v>24221</v>
      </c>
      <c r="J71" s="242">
        <v>2240</v>
      </c>
      <c r="K71" s="245">
        <v>1020</v>
      </c>
      <c r="L71" s="244">
        <v>21208</v>
      </c>
      <c r="M71" s="242">
        <v>21369</v>
      </c>
      <c r="N71" s="246">
        <v>7.5914749099999998E-3</v>
      </c>
      <c r="O71" s="242">
        <v>21929</v>
      </c>
      <c r="P71" s="247">
        <v>3.3996605050000003E-2</v>
      </c>
      <c r="Q71" s="248">
        <v>82.2</v>
      </c>
      <c r="R71" s="249">
        <v>9.1</v>
      </c>
      <c r="S71" s="249">
        <v>3.4</v>
      </c>
      <c r="T71" s="250">
        <v>94.8</v>
      </c>
      <c r="U71" s="244">
        <v>210</v>
      </c>
      <c r="V71" s="242">
        <v>888</v>
      </c>
      <c r="W71" s="242">
        <v>0</v>
      </c>
      <c r="X71" s="242">
        <v>0</v>
      </c>
      <c r="Y71" s="242">
        <v>0</v>
      </c>
      <c r="Z71" s="242">
        <v>8529</v>
      </c>
      <c r="AA71" s="242">
        <v>12208</v>
      </c>
      <c r="AB71" s="242">
        <v>2386</v>
      </c>
      <c r="AC71" s="242">
        <v>0</v>
      </c>
      <c r="AD71" s="245">
        <v>0</v>
      </c>
      <c r="AE71" s="244">
        <v>917</v>
      </c>
      <c r="AF71" s="242">
        <v>181</v>
      </c>
      <c r="AG71" s="242">
        <v>0</v>
      </c>
      <c r="AH71" s="242">
        <v>0</v>
      </c>
      <c r="AI71" s="242">
        <v>12592</v>
      </c>
      <c r="AJ71" s="242">
        <v>9721</v>
      </c>
      <c r="AK71" s="242">
        <v>210</v>
      </c>
      <c r="AL71" s="245">
        <v>600</v>
      </c>
      <c r="AM71" s="251">
        <v>51219665.999913998</v>
      </c>
      <c r="AN71" s="242">
        <v>3095</v>
      </c>
      <c r="AO71" s="252">
        <v>3235000</v>
      </c>
      <c r="AP71" s="242">
        <v>480</v>
      </c>
      <c r="AQ71" s="252">
        <v>5333333</v>
      </c>
      <c r="AR71" s="245">
        <v>390</v>
      </c>
    </row>
    <row r="72" spans="1:44" x14ac:dyDescent="0.3">
      <c r="A72" s="221">
        <v>888</v>
      </c>
      <c r="B72" s="221" t="s">
        <v>71</v>
      </c>
      <c r="C72" s="221" t="s">
        <v>350</v>
      </c>
      <c r="D72" s="241">
        <v>114337036.04999998</v>
      </c>
      <c r="E72" s="242">
        <v>86905</v>
      </c>
      <c r="F72" s="242">
        <v>98708</v>
      </c>
      <c r="G72" s="243">
        <v>0.13581497036994428</v>
      </c>
      <c r="H72" s="244">
        <v>100778</v>
      </c>
      <c r="I72" s="242">
        <v>103911</v>
      </c>
      <c r="J72" s="242">
        <v>748</v>
      </c>
      <c r="K72" s="245">
        <v>1420</v>
      </c>
      <c r="L72" s="244">
        <v>93878</v>
      </c>
      <c r="M72" s="242">
        <v>94541</v>
      </c>
      <c r="N72" s="246">
        <v>7.0623575199999997E-3</v>
      </c>
      <c r="O72" s="242">
        <v>95062</v>
      </c>
      <c r="P72" s="247">
        <v>1.261211359E-2</v>
      </c>
      <c r="Q72" s="248">
        <v>88.4</v>
      </c>
      <c r="R72" s="249">
        <v>6.1</v>
      </c>
      <c r="S72" s="249">
        <v>2.1</v>
      </c>
      <c r="T72" s="250">
        <v>96.7</v>
      </c>
      <c r="U72" s="244">
        <v>326</v>
      </c>
      <c r="V72" s="242">
        <v>824</v>
      </c>
      <c r="W72" s="242">
        <v>285</v>
      </c>
      <c r="X72" s="242">
        <v>0</v>
      </c>
      <c r="Y72" s="242">
        <v>21</v>
      </c>
      <c r="Z72" s="242">
        <v>21336</v>
      </c>
      <c r="AA72" s="242">
        <v>68314</v>
      </c>
      <c r="AB72" s="242">
        <v>11374</v>
      </c>
      <c r="AC72" s="242">
        <v>720</v>
      </c>
      <c r="AD72" s="245">
        <v>606</v>
      </c>
      <c r="AE72" s="244">
        <v>558</v>
      </c>
      <c r="AF72" s="242">
        <v>555</v>
      </c>
      <c r="AG72" s="242">
        <v>282</v>
      </c>
      <c r="AH72" s="242">
        <v>61</v>
      </c>
      <c r="AI72" s="242">
        <v>21230</v>
      </c>
      <c r="AJ72" s="242">
        <v>64464</v>
      </c>
      <c r="AK72" s="242">
        <v>13712</v>
      </c>
      <c r="AL72" s="245">
        <v>2944</v>
      </c>
      <c r="AM72" s="251">
        <v>22761003</v>
      </c>
      <c r="AN72" s="242">
        <v>1347</v>
      </c>
      <c r="AO72" s="252">
        <v>0</v>
      </c>
      <c r="AP72" s="242">
        <v>0</v>
      </c>
      <c r="AQ72" s="252">
        <v>16585418</v>
      </c>
      <c r="AR72" s="245">
        <v>916</v>
      </c>
    </row>
    <row r="73" spans="1:44" x14ac:dyDescent="0.3">
      <c r="A73" s="221">
        <v>383</v>
      </c>
      <c r="B73" s="221" t="s">
        <v>72</v>
      </c>
      <c r="C73" s="221" t="s">
        <v>346</v>
      </c>
      <c r="D73" s="241">
        <v>193194606.51999998</v>
      </c>
      <c r="E73" s="242">
        <v>54584</v>
      </c>
      <c r="F73" s="242">
        <v>69907</v>
      </c>
      <c r="G73" s="243">
        <v>0.28072328887586107</v>
      </c>
      <c r="H73" s="244">
        <v>59574</v>
      </c>
      <c r="I73" s="242">
        <v>69709</v>
      </c>
      <c r="J73" s="242">
        <v>2036</v>
      </c>
      <c r="K73" s="245">
        <v>2130</v>
      </c>
      <c r="L73" s="244">
        <v>63192</v>
      </c>
      <c r="M73" s="242">
        <v>63169</v>
      </c>
      <c r="N73" s="246">
        <v>-3.6397011999999998E-4</v>
      </c>
      <c r="O73" s="242">
        <v>64826</v>
      </c>
      <c r="P73" s="247">
        <v>2.5857703499999999E-2</v>
      </c>
      <c r="Q73" s="248">
        <v>85.1</v>
      </c>
      <c r="R73" s="249">
        <v>6</v>
      </c>
      <c r="S73" s="249">
        <v>2</v>
      </c>
      <c r="T73" s="250">
        <v>93.2</v>
      </c>
      <c r="U73" s="244">
        <v>371</v>
      </c>
      <c r="V73" s="242">
        <v>2369</v>
      </c>
      <c r="W73" s="242">
        <v>101</v>
      </c>
      <c r="X73" s="242">
        <v>0</v>
      </c>
      <c r="Y73" s="242">
        <v>0</v>
      </c>
      <c r="Z73" s="242">
        <v>12030</v>
      </c>
      <c r="AA73" s="242">
        <v>45894</v>
      </c>
      <c r="AB73" s="242">
        <v>6574</v>
      </c>
      <c r="AC73" s="242">
        <v>262</v>
      </c>
      <c r="AD73" s="245">
        <v>420</v>
      </c>
      <c r="AE73" s="244">
        <v>618</v>
      </c>
      <c r="AF73" s="242">
        <v>1848</v>
      </c>
      <c r="AG73" s="242">
        <v>340</v>
      </c>
      <c r="AH73" s="242">
        <v>35</v>
      </c>
      <c r="AI73" s="242">
        <v>17752</v>
      </c>
      <c r="AJ73" s="242">
        <v>35802</v>
      </c>
      <c r="AK73" s="242">
        <v>9786</v>
      </c>
      <c r="AL73" s="245">
        <v>1840</v>
      </c>
      <c r="AM73" s="251">
        <v>38397764.705874003</v>
      </c>
      <c r="AN73" s="242">
        <v>4835</v>
      </c>
      <c r="AO73" s="252">
        <v>5207600</v>
      </c>
      <c r="AP73" s="242">
        <v>736</v>
      </c>
      <c r="AQ73" s="252">
        <v>27916866.666644</v>
      </c>
      <c r="AR73" s="245">
        <v>1680</v>
      </c>
    </row>
    <row r="74" spans="1:44" x14ac:dyDescent="0.3">
      <c r="A74" s="221">
        <v>856</v>
      </c>
      <c r="B74" s="221" t="s">
        <v>73</v>
      </c>
      <c r="C74" s="221" t="s">
        <v>353</v>
      </c>
      <c r="D74" s="241">
        <v>137399398.83000001</v>
      </c>
      <c r="E74" s="242">
        <v>25246</v>
      </c>
      <c r="F74" s="242">
        <v>32971</v>
      </c>
      <c r="G74" s="243">
        <v>0.30598906757506139</v>
      </c>
      <c r="H74" s="244">
        <v>27793</v>
      </c>
      <c r="I74" s="242">
        <v>31695</v>
      </c>
      <c r="J74" s="242">
        <v>1855</v>
      </c>
      <c r="K74" s="245">
        <v>640</v>
      </c>
      <c r="L74" s="244">
        <v>30162</v>
      </c>
      <c r="M74" s="242">
        <v>29804</v>
      </c>
      <c r="N74" s="246">
        <v>-1.186923944E-2</v>
      </c>
      <c r="O74" s="242">
        <v>30218</v>
      </c>
      <c r="P74" s="247">
        <v>1.8566408E-3</v>
      </c>
      <c r="Q74" s="248">
        <v>88</v>
      </c>
      <c r="R74" s="249">
        <v>6.2</v>
      </c>
      <c r="S74" s="249">
        <v>2.1</v>
      </c>
      <c r="T74" s="250">
        <v>96.3</v>
      </c>
      <c r="U74" s="244">
        <v>90</v>
      </c>
      <c r="V74" s="242">
        <v>770</v>
      </c>
      <c r="W74" s="242">
        <v>241</v>
      </c>
      <c r="X74" s="242">
        <v>49</v>
      </c>
      <c r="Y74" s="242">
        <v>0</v>
      </c>
      <c r="Z74" s="242">
        <v>4491</v>
      </c>
      <c r="AA74" s="242">
        <v>16088</v>
      </c>
      <c r="AB74" s="242">
        <v>7492</v>
      </c>
      <c r="AC74" s="242">
        <v>1214</v>
      </c>
      <c r="AD74" s="245">
        <v>0</v>
      </c>
      <c r="AE74" s="244">
        <v>155</v>
      </c>
      <c r="AF74" s="242">
        <v>684</v>
      </c>
      <c r="AG74" s="242">
        <v>251</v>
      </c>
      <c r="AH74" s="242">
        <v>60</v>
      </c>
      <c r="AI74" s="242">
        <v>5529</v>
      </c>
      <c r="AJ74" s="242">
        <v>15501</v>
      </c>
      <c r="AK74" s="242">
        <v>5609</v>
      </c>
      <c r="AL74" s="245">
        <v>2646</v>
      </c>
      <c r="AM74" s="251">
        <v>13035748</v>
      </c>
      <c r="AN74" s="242">
        <v>1915</v>
      </c>
      <c r="AO74" s="252">
        <v>165000</v>
      </c>
      <c r="AP74" s="242">
        <v>135</v>
      </c>
      <c r="AQ74" s="252">
        <v>0</v>
      </c>
      <c r="AR74" s="245">
        <v>0</v>
      </c>
    </row>
    <row r="75" spans="1:44" x14ac:dyDescent="0.3">
      <c r="A75" s="221">
        <v>855</v>
      </c>
      <c r="B75" s="221" t="s">
        <v>74</v>
      </c>
      <c r="C75" s="221" t="s">
        <v>353</v>
      </c>
      <c r="D75" s="241">
        <v>96809967.63000001</v>
      </c>
      <c r="E75" s="242">
        <v>48310</v>
      </c>
      <c r="F75" s="242">
        <v>54532</v>
      </c>
      <c r="G75" s="243">
        <v>0.12879321051542125</v>
      </c>
      <c r="H75" s="244">
        <v>54381</v>
      </c>
      <c r="I75" s="242">
        <v>54599</v>
      </c>
      <c r="J75" s="242">
        <v>2633</v>
      </c>
      <c r="K75" s="245">
        <v>1090</v>
      </c>
      <c r="L75" s="244">
        <v>51520</v>
      </c>
      <c r="M75" s="242">
        <v>51198</v>
      </c>
      <c r="N75" s="246">
        <v>-6.2500000000000003E-3</v>
      </c>
      <c r="O75" s="242">
        <v>51339</v>
      </c>
      <c r="P75" s="247">
        <v>-3.51319875E-3</v>
      </c>
      <c r="Q75" s="248">
        <v>89</v>
      </c>
      <c r="R75" s="249">
        <v>5.0999999999999996</v>
      </c>
      <c r="S75" s="249">
        <v>1.5</v>
      </c>
      <c r="T75" s="250">
        <v>95.5</v>
      </c>
      <c r="U75" s="244">
        <v>0</v>
      </c>
      <c r="V75" s="242">
        <v>405</v>
      </c>
      <c r="W75" s="242">
        <v>0</v>
      </c>
      <c r="X75" s="242">
        <v>0</v>
      </c>
      <c r="Y75" s="242">
        <v>0</v>
      </c>
      <c r="Z75" s="242">
        <v>9131</v>
      </c>
      <c r="AA75" s="242">
        <v>35858</v>
      </c>
      <c r="AB75" s="242">
        <v>7742</v>
      </c>
      <c r="AC75" s="242">
        <v>240</v>
      </c>
      <c r="AD75" s="245">
        <v>0</v>
      </c>
      <c r="AE75" s="244">
        <v>53</v>
      </c>
      <c r="AF75" s="242">
        <v>117</v>
      </c>
      <c r="AG75" s="242">
        <v>235</v>
      </c>
      <c r="AH75" s="242">
        <v>0</v>
      </c>
      <c r="AI75" s="242">
        <v>3761</v>
      </c>
      <c r="AJ75" s="242">
        <v>24819</v>
      </c>
      <c r="AK75" s="242">
        <v>16613</v>
      </c>
      <c r="AL75" s="245">
        <v>7778</v>
      </c>
      <c r="AM75" s="251">
        <v>8783293.4801519997</v>
      </c>
      <c r="AN75" s="242">
        <v>1238</v>
      </c>
      <c r="AO75" s="252">
        <v>1418017</v>
      </c>
      <c r="AP75" s="242">
        <v>268</v>
      </c>
      <c r="AQ75" s="252">
        <v>0</v>
      </c>
      <c r="AR75" s="245">
        <v>0</v>
      </c>
    </row>
    <row r="76" spans="1:44" x14ac:dyDescent="0.3">
      <c r="A76" s="221">
        <v>209</v>
      </c>
      <c r="B76" s="221" t="s">
        <v>75</v>
      </c>
      <c r="C76" s="221" t="s">
        <v>345</v>
      </c>
      <c r="D76" s="241">
        <v>121040296.91999999</v>
      </c>
      <c r="E76" s="242">
        <v>19637</v>
      </c>
      <c r="F76" s="242">
        <v>26370</v>
      </c>
      <c r="G76" s="243">
        <v>0.34287314762947507</v>
      </c>
      <c r="H76" s="244">
        <v>21786</v>
      </c>
      <c r="I76" s="242">
        <v>27257</v>
      </c>
      <c r="J76" s="242">
        <v>1173</v>
      </c>
      <c r="K76" s="245">
        <v>190</v>
      </c>
      <c r="L76" s="244">
        <v>24409</v>
      </c>
      <c r="M76" s="242">
        <v>24821</v>
      </c>
      <c r="N76" s="246">
        <v>1.6879020030000001E-2</v>
      </c>
      <c r="O76" s="242">
        <v>24724</v>
      </c>
      <c r="P76" s="247">
        <v>1.2905075990000001E-2</v>
      </c>
      <c r="Q76" s="248">
        <v>75.2</v>
      </c>
      <c r="R76" s="249">
        <v>9.5</v>
      </c>
      <c r="S76" s="249">
        <v>4.0999999999999996</v>
      </c>
      <c r="T76" s="250">
        <v>88.7</v>
      </c>
      <c r="U76" s="244">
        <v>153</v>
      </c>
      <c r="V76" s="242">
        <v>421</v>
      </c>
      <c r="W76" s="242">
        <v>500</v>
      </c>
      <c r="X76" s="242">
        <v>0</v>
      </c>
      <c r="Y76" s="242">
        <v>0</v>
      </c>
      <c r="Z76" s="242">
        <v>7528</v>
      </c>
      <c r="AA76" s="242">
        <v>16195</v>
      </c>
      <c r="AB76" s="242">
        <v>2040</v>
      </c>
      <c r="AC76" s="242">
        <v>0</v>
      </c>
      <c r="AD76" s="245">
        <v>0</v>
      </c>
      <c r="AE76" s="244">
        <v>262</v>
      </c>
      <c r="AF76" s="242">
        <v>239</v>
      </c>
      <c r="AG76" s="242">
        <v>120</v>
      </c>
      <c r="AH76" s="242">
        <v>453</v>
      </c>
      <c r="AI76" s="242">
        <v>12828</v>
      </c>
      <c r="AJ76" s="242">
        <v>9258</v>
      </c>
      <c r="AK76" s="242">
        <v>2287</v>
      </c>
      <c r="AL76" s="245">
        <v>1390</v>
      </c>
      <c r="AM76" s="251">
        <v>59654731</v>
      </c>
      <c r="AN76" s="242">
        <v>4033</v>
      </c>
      <c r="AO76" s="252">
        <v>14360299</v>
      </c>
      <c r="AP76" s="242">
        <v>1335</v>
      </c>
      <c r="AQ76" s="252">
        <v>0</v>
      </c>
      <c r="AR76" s="245">
        <v>0</v>
      </c>
    </row>
    <row r="77" spans="1:44" x14ac:dyDescent="0.3">
      <c r="A77" s="221">
        <v>925</v>
      </c>
      <c r="B77" s="221" t="s">
        <v>76</v>
      </c>
      <c r="C77" s="221" t="s">
        <v>353</v>
      </c>
      <c r="D77" s="241">
        <v>79516645.819999993</v>
      </c>
      <c r="E77" s="242">
        <v>48997</v>
      </c>
      <c r="F77" s="242">
        <v>55799</v>
      </c>
      <c r="G77" s="243">
        <v>0.13882482600975576</v>
      </c>
      <c r="H77" s="244">
        <v>56445</v>
      </c>
      <c r="I77" s="242">
        <v>60205</v>
      </c>
      <c r="J77" s="242">
        <v>2938</v>
      </c>
      <c r="K77" s="245">
        <v>710</v>
      </c>
      <c r="L77" s="244">
        <v>53134</v>
      </c>
      <c r="M77" s="242">
        <v>52597</v>
      </c>
      <c r="N77" s="246">
        <v>-1.010652313E-2</v>
      </c>
      <c r="O77" s="242">
        <v>54028</v>
      </c>
      <c r="P77" s="247">
        <v>1.6825384870000001E-2</v>
      </c>
      <c r="Q77" s="248">
        <v>92.8</v>
      </c>
      <c r="R77" s="249">
        <v>4.3</v>
      </c>
      <c r="S77" s="249">
        <v>1.1000000000000001</v>
      </c>
      <c r="T77" s="250">
        <v>98.2</v>
      </c>
      <c r="U77" s="244">
        <v>150</v>
      </c>
      <c r="V77" s="242">
        <v>436</v>
      </c>
      <c r="W77" s="242">
        <v>99</v>
      </c>
      <c r="X77" s="242">
        <v>0</v>
      </c>
      <c r="Y77" s="242">
        <v>0</v>
      </c>
      <c r="Z77" s="242">
        <v>9649</v>
      </c>
      <c r="AA77" s="242">
        <v>38939</v>
      </c>
      <c r="AB77" s="242">
        <v>8331</v>
      </c>
      <c r="AC77" s="242">
        <v>250</v>
      </c>
      <c r="AD77" s="245">
        <v>0</v>
      </c>
      <c r="AE77" s="244">
        <v>184</v>
      </c>
      <c r="AF77" s="242">
        <v>331</v>
      </c>
      <c r="AG77" s="242">
        <v>90</v>
      </c>
      <c r="AH77" s="242">
        <v>80</v>
      </c>
      <c r="AI77" s="242">
        <v>8342</v>
      </c>
      <c r="AJ77" s="242">
        <v>30229</v>
      </c>
      <c r="AK77" s="242">
        <v>14483</v>
      </c>
      <c r="AL77" s="245">
        <v>4115</v>
      </c>
      <c r="AM77" s="251">
        <v>14633171</v>
      </c>
      <c r="AN77" s="242">
        <v>1930</v>
      </c>
      <c r="AO77" s="252">
        <v>916112</v>
      </c>
      <c r="AP77" s="242">
        <v>335</v>
      </c>
      <c r="AQ77" s="252">
        <v>13279792</v>
      </c>
      <c r="AR77" s="245">
        <v>880</v>
      </c>
    </row>
    <row r="78" spans="1:44" x14ac:dyDescent="0.3">
      <c r="A78" s="221">
        <v>341</v>
      </c>
      <c r="B78" s="221" t="s">
        <v>77</v>
      </c>
      <c r="C78" s="221" t="s">
        <v>350</v>
      </c>
      <c r="D78" s="241">
        <v>39843475.810000002</v>
      </c>
      <c r="E78" s="242">
        <v>31716</v>
      </c>
      <c r="F78" s="242">
        <v>36735</v>
      </c>
      <c r="G78" s="243">
        <v>0.15824820279984864</v>
      </c>
      <c r="H78" s="244">
        <v>35792</v>
      </c>
      <c r="I78" s="242">
        <v>37338</v>
      </c>
      <c r="J78" s="242">
        <v>1480</v>
      </c>
      <c r="K78" s="245">
        <v>860</v>
      </c>
      <c r="L78" s="244">
        <v>34070</v>
      </c>
      <c r="M78" s="242">
        <v>34199</v>
      </c>
      <c r="N78" s="246">
        <v>3.7863222700000002E-3</v>
      </c>
      <c r="O78" s="242">
        <v>34183</v>
      </c>
      <c r="P78" s="247">
        <v>3.3167009E-3</v>
      </c>
      <c r="Q78" s="248">
        <v>88.1</v>
      </c>
      <c r="R78" s="249">
        <v>6.1</v>
      </c>
      <c r="S78" s="249">
        <v>2.2000000000000002</v>
      </c>
      <c r="T78" s="250">
        <v>96.4</v>
      </c>
      <c r="U78" s="244">
        <v>0</v>
      </c>
      <c r="V78" s="242">
        <v>0</v>
      </c>
      <c r="W78" s="242">
        <v>0</v>
      </c>
      <c r="X78" s="242">
        <v>0</v>
      </c>
      <c r="Y78" s="242">
        <v>0</v>
      </c>
      <c r="Z78" s="242">
        <v>6362</v>
      </c>
      <c r="AA78" s="242">
        <v>23421</v>
      </c>
      <c r="AB78" s="242">
        <v>5374</v>
      </c>
      <c r="AC78" s="242">
        <v>413</v>
      </c>
      <c r="AD78" s="245">
        <v>1404</v>
      </c>
      <c r="AE78" s="244">
        <v>0</v>
      </c>
      <c r="AF78" s="242">
        <v>0</v>
      </c>
      <c r="AG78" s="242">
        <v>0</v>
      </c>
      <c r="AH78" s="242">
        <v>0</v>
      </c>
      <c r="AI78" s="242">
        <v>11545</v>
      </c>
      <c r="AJ78" s="242">
        <v>16758</v>
      </c>
      <c r="AK78" s="242">
        <v>5621</v>
      </c>
      <c r="AL78" s="245">
        <v>3050</v>
      </c>
      <c r="AM78" s="251">
        <v>742000</v>
      </c>
      <c r="AN78" s="242">
        <v>70</v>
      </c>
      <c r="AO78" s="252">
        <v>0</v>
      </c>
      <c r="AP78" s="242">
        <v>0</v>
      </c>
      <c r="AQ78" s="252">
        <v>0</v>
      </c>
      <c r="AR78" s="245">
        <v>0</v>
      </c>
    </row>
    <row r="79" spans="1:44" x14ac:dyDescent="0.3">
      <c r="A79" s="221">
        <v>821</v>
      </c>
      <c r="B79" s="221" t="s">
        <v>78</v>
      </c>
      <c r="C79" s="221" t="s">
        <v>348</v>
      </c>
      <c r="D79" s="241">
        <v>61198551.910000004</v>
      </c>
      <c r="E79" s="242">
        <v>18611</v>
      </c>
      <c r="F79" s="242">
        <v>23214</v>
      </c>
      <c r="G79" s="243">
        <v>0.2473268497125356</v>
      </c>
      <c r="H79" s="244">
        <v>19928</v>
      </c>
      <c r="I79" s="242">
        <v>24136</v>
      </c>
      <c r="J79" s="242">
        <v>510</v>
      </c>
      <c r="K79" s="245">
        <v>100</v>
      </c>
      <c r="L79" s="244">
        <v>21710</v>
      </c>
      <c r="M79" s="242">
        <v>21474</v>
      </c>
      <c r="N79" s="246">
        <v>-1.087056655E-2</v>
      </c>
      <c r="O79" s="242">
        <v>21956</v>
      </c>
      <c r="P79" s="247">
        <v>1.133118378E-2</v>
      </c>
      <c r="Q79" s="248">
        <v>92</v>
      </c>
      <c r="R79" s="249">
        <v>5.3</v>
      </c>
      <c r="S79" s="249">
        <v>1.1000000000000001</v>
      </c>
      <c r="T79" s="250">
        <v>98.4</v>
      </c>
      <c r="U79" s="244">
        <v>60</v>
      </c>
      <c r="V79" s="242">
        <v>120</v>
      </c>
      <c r="W79" s="242">
        <v>0</v>
      </c>
      <c r="X79" s="242">
        <v>0</v>
      </c>
      <c r="Y79" s="242">
        <v>0</v>
      </c>
      <c r="Z79" s="242">
        <v>1890</v>
      </c>
      <c r="AA79" s="242">
        <v>15208</v>
      </c>
      <c r="AB79" s="242">
        <v>4440</v>
      </c>
      <c r="AC79" s="242">
        <v>360</v>
      </c>
      <c r="AD79" s="245">
        <v>840</v>
      </c>
      <c r="AE79" s="244">
        <v>60</v>
      </c>
      <c r="AF79" s="242">
        <v>120</v>
      </c>
      <c r="AG79" s="242">
        <v>0</v>
      </c>
      <c r="AH79" s="242">
        <v>0</v>
      </c>
      <c r="AI79" s="242">
        <v>1440</v>
      </c>
      <c r="AJ79" s="242">
        <v>11280</v>
      </c>
      <c r="AK79" s="242">
        <v>7410</v>
      </c>
      <c r="AL79" s="245">
        <v>2608</v>
      </c>
      <c r="AM79" s="251">
        <v>22714868</v>
      </c>
      <c r="AN79" s="242">
        <v>2715</v>
      </c>
      <c r="AO79" s="252">
        <v>129500</v>
      </c>
      <c r="AP79" s="242">
        <v>30</v>
      </c>
      <c r="AQ79" s="252">
        <v>8400000</v>
      </c>
      <c r="AR79" s="245">
        <v>840</v>
      </c>
    </row>
    <row r="80" spans="1:44" x14ac:dyDescent="0.3">
      <c r="A80" s="221">
        <v>352</v>
      </c>
      <c r="B80" s="221" t="s">
        <v>79</v>
      </c>
      <c r="C80" s="221" t="s">
        <v>350</v>
      </c>
      <c r="D80" s="241">
        <v>285196775.75</v>
      </c>
      <c r="E80" s="242">
        <v>35792</v>
      </c>
      <c r="F80" s="242">
        <v>51130</v>
      </c>
      <c r="G80" s="243">
        <v>0.42853151542244072</v>
      </c>
      <c r="H80" s="244">
        <v>39361</v>
      </c>
      <c r="I80" s="242">
        <v>48764</v>
      </c>
      <c r="J80" s="242">
        <v>1385</v>
      </c>
      <c r="K80" s="245">
        <v>2370</v>
      </c>
      <c r="L80" s="244">
        <v>44935</v>
      </c>
      <c r="M80" s="242">
        <v>45602</v>
      </c>
      <c r="N80" s="246">
        <v>1.484366306E-2</v>
      </c>
      <c r="O80" s="242">
        <v>47378</v>
      </c>
      <c r="P80" s="247">
        <v>5.4367419600000001E-2</v>
      </c>
      <c r="Q80" s="248">
        <v>87.5</v>
      </c>
      <c r="R80" s="249">
        <v>6.2</v>
      </c>
      <c r="S80" s="249">
        <v>2</v>
      </c>
      <c r="T80" s="250">
        <v>95.7</v>
      </c>
      <c r="U80" s="244">
        <v>100</v>
      </c>
      <c r="V80" s="242">
        <v>160</v>
      </c>
      <c r="W80" s="242">
        <v>0</v>
      </c>
      <c r="X80" s="242">
        <v>0</v>
      </c>
      <c r="Y80" s="242">
        <v>0</v>
      </c>
      <c r="Z80" s="242">
        <v>9968</v>
      </c>
      <c r="AA80" s="242">
        <v>31786</v>
      </c>
      <c r="AB80" s="242">
        <v>4095</v>
      </c>
      <c r="AC80" s="242">
        <v>735</v>
      </c>
      <c r="AD80" s="245">
        <v>0</v>
      </c>
      <c r="AE80" s="244">
        <v>175</v>
      </c>
      <c r="AF80" s="242">
        <v>55</v>
      </c>
      <c r="AG80" s="242">
        <v>30</v>
      </c>
      <c r="AH80" s="242">
        <v>0</v>
      </c>
      <c r="AI80" s="242">
        <v>21668</v>
      </c>
      <c r="AJ80" s="242">
        <v>20255</v>
      </c>
      <c r="AK80" s="242">
        <v>4241</v>
      </c>
      <c r="AL80" s="245">
        <v>420</v>
      </c>
      <c r="AM80" s="251">
        <v>80236503</v>
      </c>
      <c r="AN80" s="242">
        <v>6790</v>
      </c>
      <c r="AO80" s="252">
        <v>4303455</v>
      </c>
      <c r="AP80" s="242">
        <v>465</v>
      </c>
      <c r="AQ80" s="252">
        <v>23965955.5</v>
      </c>
      <c r="AR80" s="245">
        <v>1100</v>
      </c>
    </row>
    <row r="81" spans="1:44" x14ac:dyDescent="0.3">
      <c r="A81" s="221">
        <v>887</v>
      </c>
      <c r="B81" s="221" t="s">
        <v>80</v>
      </c>
      <c r="C81" s="221" t="s">
        <v>351</v>
      </c>
      <c r="D81" s="241">
        <v>38672259.590000004</v>
      </c>
      <c r="E81" s="242">
        <v>20859</v>
      </c>
      <c r="F81" s="242">
        <v>24930</v>
      </c>
      <c r="G81" s="243">
        <v>0.19516755357399673</v>
      </c>
      <c r="H81" s="244">
        <v>24011</v>
      </c>
      <c r="I81" s="242">
        <v>25353</v>
      </c>
      <c r="J81" s="242">
        <v>630</v>
      </c>
      <c r="K81" s="245">
        <v>230</v>
      </c>
      <c r="L81" s="244">
        <v>22936</v>
      </c>
      <c r="M81" s="242">
        <v>22901</v>
      </c>
      <c r="N81" s="246">
        <v>-1.52598535E-3</v>
      </c>
      <c r="O81" s="242">
        <v>23100</v>
      </c>
      <c r="P81" s="247">
        <v>7.1503313499999997E-3</v>
      </c>
      <c r="Q81" s="248">
        <v>87.1</v>
      </c>
      <c r="R81" s="249">
        <v>7.3</v>
      </c>
      <c r="S81" s="249">
        <v>1.5</v>
      </c>
      <c r="T81" s="250">
        <v>95.9</v>
      </c>
      <c r="U81" s="244">
        <v>0</v>
      </c>
      <c r="V81" s="242">
        <v>194</v>
      </c>
      <c r="W81" s="242">
        <v>125</v>
      </c>
      <c r="X81" s="242">
        <v>0</v>
      </c>
      <c r="Y81" s="242">
        <v>0</v>
      </c>
      <c r="Z81" s="242">
        <v>1297</v>
      </c>
      <c r="AA81" s="242">
        <v>12220</v>
      </c>
      <c r="AB81" s="242">
        <v>6718</v>
      </c>
      <c r="AC81" s="242">
        <v>1695</v>
      </c>
      <c r="AD81" s="245">
        <v>0</v>
      </c>
      <c r="AE81" s="244">
        <v>28</v>
      </c>
      <c r="AF81" s="242">
        <v>138</v>
      </c>
      <c r="AG81" s="242">
        <v>123</v>
      </c>
      <c r="AH81" s="242">
        <v>30</v>
      </c>
      <c r="AI81" s="242">
        <v>2801</v>
      </c>
      <c r="AJ81" s="242">
        <v>8545</v>
      </c>
      <c r="AK81" s="242">
        <v>7304</v>
      </c>
      <c r="AL81" s="245">
        <v>3280</v>
      </c>
      <c r="AM81" s="251">
        <v>13988893</v>
      </c>
      <c r="AN81" s="242">
        <v>940</v>
      </c>
      <c r="AO81" s="252">
        <v>800000</v>
      </c>
      <c r="AP81" s="242">
        <v>90</v>
      </c>
      <c r="AQ81" s="252">
        <v>6200000</v>
      </c>
      <c r="AR81" s="245">
        <v>630</v>
      </c>
    </row>
    <row r="82" spans="1:44" x14ac:dyDescent="0.3">
      <c r="A82" s="221">
        <v>315</v>
      </c>
      <c r="B82" s="221" t="s">
        <v>81</v>
      </c>
      <c r="C82" s="221" t="s">
        <v>345</v>
      </c>
      <c r="D82" s="241">
        <v>78585936.960000008</v>
      </c>
      <c r="E82" s="242">
        <v>13488</v>
      </c>
      <c r="F82" s="242">
        <v>18255</v>
      </c>
      <c r="G82" s="243">
        <v>0.35342526690391463</v>
      </c>
      <c r="H82" s="244">
        <v>14846</v>
      </c>
      <c r="I82" s="242">
        <v>18640</v>
      </c>
      <c r="J82" s="242">
        <v>1680</v>
      </c>
      <c r="K82" s="245">
        <v>130</v>
      </c>
      <c r="L82" s="244">
        <v>16512</v>
      </c>
      <c r="M82" s="242">
        <v>16781</v>
      </c>
      <c r="N82" s="246">
        <v>1.6291182170000001E-2</v>
      </c>
      <c r="O82" s="242">
        <v>17305</v>
      </c>
      <c r="P82" s="247">
        <v>4.8025678289999998E-2</v>
      </c>
      <c r="Q82" s="248">
        <v>81.400000000000006</v>
      </c>
      <c r="R82" s="249">
        <v>7</v>
      </c>
      <c r="S82" s="249">
        <v>3</v>
      </c>
      <c r="T82" s="250">
        <v>91.4</v>
      </c>
      <c r="U82" s="244">
        <v>212</v>
      </c>
      <c r="V82" s="242">
        <v>198</v>
      </c>
      <c r="W82" s="242">
        <v>0</v>
      </c>
      <c r="X82" s="242">
        <v>0</v>
      </c>
      <c r="Y82" s="242">
        <v>0</v>
      </c>
      <c r="Z82" s="242">
        <v>2943</v>
      </c>
      <c r="AA82" s="242">
        <v>10702</v>
      </c>
      <c r="AB82" s="242">
        <v>3325</v>
      </c>
      <c r="AC82" s="242">
        <v>0</v>
      </c>
      <c r="AD82" s="245">
        <v>0</v>
      </c>
      <c r="AE82" s="244">
        <v>242</v>
      </c>
      <c r="AF82" s="242">
        <v>168</v>
      </c>
      <c r="AG82" s="242">
        <v>0</v>
      </c>
      <c r="AH82" s="242">
        <v>0</v>
      </c>
      <c r="AI82" s="242">
        <v>9241</v>
      </c>
      <c r="AJ82" s="242">
        <v>6589</v>
      </c>
      <c r="AK82" s="242">
        <v>1140</v>
      </c>
      <c r="AL82" s="245">
        <v>0</v>
      </c>
      <c r="AM82" s="251">
        <v>31873967</v>
      </c>
      <c r="AN82" s="242">
        <v>2520</v>
      </c>
      <c r="AO82" s="252">
        <v>2169243</v>
      </c>
      <c r="AP82" s="242">
        <v>390</v>
      </c>
      <c r="AQ82" s="252">
        <v>0</v>
      </c>
      <c r="AR82" s="245">
        <v>0</v>
      </c>
    </row>
    <row r="83" spans="1:44" x14ac:dyDescent="0.3">
      <c r="A83" s="221">
        <v>806</v>
      </c>
      <c r="B83" s="221" t="s">
        <v>82</v>
      </c>
      <c r="C83" s="221" t="s">
        <v>352</v>
      </c>
      <c r="D83" s="241">
        <v>4784809.5999999996</v>
      </c>
      <c r="E83" s="242">
        <v>11459</v>
      </c>
      <c r="F83" s="242">
        <v>13043</v>
      </c>
      <c r="G83" s="243">
        <v>0.13823195741338679</v>
      </c>
      <c r="H83" s="244">
        <v>13790</v>
      </c>
      <c r="I83" s="242">
        <v>13975</v>
      </c>
      <c r="J83" s="242">
        <v>161</v>
      </c>
      <c r="K83" s="245">
        <v>0</v>
      </c>
      <c r="L83" s="244">
        <v>12615</v>
      </c>
      <c r="M83" s="242">
        <v>12586</v>
      </c>
      <c r="N83" s="246">
        <v>-2.2988505700000002E-3</v>
      </c>
      <c r="O83" s="242">
        <v>12624</v>
      </c>
      <c r="P83" s="247">
        <v>7.1343638000000002E-4</v>
      </c>
      <c r="Q83" s="248">
        <v>92.7</v>
      </c>
      <c r="R83" s="249">
        <v>3.6</v>
      </c>
      <c r="S83" s="249">
        <v>0.8</v>
      </c>
      <c r="T83" s="250">
        <v>97.1</v>
      </c>
      <c r="U83" s="244">
        <v>0</v>
      </c>
      <c r="V83" s="242">
        <v>205</v>
      </c>
      <c r="W83" s="242">
        <v>61</v>
      </c>
      <c r="X83" s="242">
        <v>0</v>
      </c>
      <c r="Y83" s="242">
        <v>0</v>
      </c>
      <c r="Z83" s="242">
        <v>2236</v>
      </c>
      <c r="AA83" s="242">
        <v>8940</v>
      </c>
      <c r="AB83" s="242">
        <v>2533</v>
      </c>
      <c r="AC83" s="242">
        <v>0</v>
      </c>
      <c r="AD83" s="245">
        <v>0</v>
      </c>
      <c r="AE83" s="244">
        <v>100</v>
      </c>
      <c r="AF83" s="242">
        <v>166</v>
      </c>
      <c r="AG83" s="242">
        <v>0</v>
      </c>
      <c r="AH83" s="242">
        <v>0</v>
      </c>
      <c r="AI83" s="242">
        <v>5076</v>
      </c>
      <c r="AJ83" s="242">
        <v>6578</v>
      </c>
      <c r="AK83" s="242">
        <v>2055</v>
      </c>
      <c r="AL83" s="245">
        <v>0</v>
      </c>
      <c r="AM83" s="251">
        <v>2228067</v>
      </c>
      <c r="AN83" s="242">
        <v>341</v>
      </c>
      <c r="AO83" s="252">
        <v>0</v>
      </c>
      <c r="AP83" s="242">
        <v>0</v>
      </c>
      <c r="AQ83" s="252">
        <v>0</v>
      </c>
      <c r="AR83" s="245">
        <v>0</v>
      </c>
    </row>
    <row r="84" spans="1:44" x14ac:dyDescent="0.3">
      <c r="A84" s="221">
        <v>826</v>
      </c>
      <c r="B84" s="221" t="s">
        <v>83</v>
      </c>
      <c r="C84" s="221" t="s">
        <v>351</v>
      </c>
      <c r="D84" s="241">
        <v>147999455.30000001</v>
      </c>
      <c r="E84" s="242">
        <v>20845</v>
      </c>
      <c r="F84" s="242">
        <v>27532</v>
      </c>
      <c r="G84" s="243">
        <v>0.32079635404173668</v>
      </c>
      <c r="H84" s="244">
        <v>23270</v>
      </c>
      <c r="I84" s="242">
        <v>26090</v>
      </c>
      <c r="J84" s="242">
        <v>3605</v>
      </c>
      <c r="K84" s="245">
        <v>710</v>
      </c>
      <c r="L84" s="244">
        <v>24498</v>
      </c>
      <c r="M84" s="242">
        <v>24378</v>
      </c>
      <c r="N84" s="246">
        <v>-4.8983590400000004E-3</v>
      </c>
      <c r="O84" s="242">
        <v>24453</v>
      </c>
      <c r="P84" s="247">
        <v>-1.83688464E-3</v>
      </c>
      <c r="Q84" s="248">
        <v>88.1</v>
      </c>
      <c r="R84" s="249">
        <v>6.2</v>
      </c>
      <c r="S84" s="249">
        <v>2.5</v>
      </c>
      <c r="T84" s="250">
        <v>96.8</v>
      </c>
      <c r="U84" s="244">
        <v>339</v>
      </c>
      <c r="V84" s="242">
        <v>84</v>
      </c>
      <c r="W84" s="242">
        <v>0</v>
      </c>
      <c r="X84" s="242">
        <v>0</v>
      </c>
      <c r="Y84" s="242">
        <v>0</v>
      </c>
      <c r="Z84" s="242">
        <v>4642</v>
      </c>
      <c r="AA84" s="242">
        <v>15967</v>
      </c>
      <c r="AB84" s="242">
        <v>5058</v>
      </c>
      <c r="AC84" s="242">
        <v>0</v>
      </c>
      <c r="AD84" s="245">
        <v>0</v>
      </c>
      <c r="AE84" s="244">
        <v>210</v>
      </c>
      <c r="AF84" s="242">
        <v>0</v>
      </c>
      <c r="AG84" s="242">
        <v>0</v>
      </c>
      <c r="AH84" s="242">
        <v>213</v>
      </c>
      <c r="AI84" s="242">
        <v>5674</v>
      </c>
      <c r="AJ84" s="242">
        <v>10918</v>
      </c>
      <c r="AK84" s="242">
        <v>4977</v>
      </c>
      <c r="AL84" s="245">
        <v>4098</v>
      </c>
      <c r="AM84" s="251">
        <v>16085671</v>
      </c>
      <c r="AN84" s="242">
        <v>1515</v>
      </c>
      <c r="AO84" s="252">
        <v>0</v>
      </c>
      <c r="AP84" s="242">
        <v>0</v>
      </c>
      <c r="AQ84" s="252">
        <v>8162343</v>
      </c>
      <c r="AR84" s="245">
        <v>420</v>
      </c>
    </row>
    <row r="85" spans="1:44" x14ac:dyDescent="0.3">
      <c r="A85" s="221">
        <v>391</v>
      </c>
      <c r="B85" s="221" t="s">
        <v>84</v>
      </c>
      <c r="C85" s="221" t="s">
        <v>352</v>
      </c>
      <c r="D85" s="241">
        <v>36262990.589999996</v>
      </c>
      <c r="E85" s="242">
        <v>18055</v>
      </c>
      <c r="F85" s="242">
        <v>21939</v>
      </c>
      <c r="G85" s="243">
        <v>0.21512046524508444</v>
      </c>
      <c r="H85" s="244">
        <v>21236</v>
      </c>
      <c r="I85" s="242">
        <v>22692</v>
      </c>
      <c r="J85" s="242">
        <v>915</v>
      </c>
      <c r="K85" s="245">
        <v>60</v>
      </c>
      <c r="L85" s="244">
        <v>20126</v>
      </c>
      <c r="M85" s="242">
        <v>20161</v>
      </c>
      <c r="N85" s="246">
        <v>1.7390440200000001E-3</v>
      </c>
      <c r="O85" s="242">
        <v>19795</v>
      </c>
      <c r="P85" s="247">
        <v>-1.6446387749999999E-2</v>
      </c>
      <c r="Q85" s="248">
        <v>84.5</v>
      </c>
      <c r="R85" s="249">
        <v>6.7</v>
      </c>
      <c r="S85" s="249">
        <v>2.6</v>
      </c>
      <c r="T85" s="250">
        <v>93.7</v>
      </c>
      <c r="U85" s="244">
        <v>125</v>
      </c>
      <c r="V85" s="242">
        <v>21</v>
      </c>
      <c r="W85" s="242">
        <v>0</v>
      </c>
      <c r="X85" s="242">
        <v>0</v>
      </c>
      <c r="Y85" s="242">
        <v>0</v>
      </c>
      <c r="Z85" s="242">
        <v>4887</v>
      </c>
      <c r="AA85" s="242">
        <v>16494</v>
      </c>
      <c r="AB85" s="242">
        <v>969</v>
      </c>
      <c r="AC85" s="242">
        <v>0</v>
      </c>
      <c r="AD85" s="245">
        <v>0</v>
      </c>
      <c r="AE85" s="244">
        <v>105</v>
      </c>
      <c r="AF85" s="242">
        <v>41</v>
      </c>
      <c r="AG85" s="242">
        <v>0</v>
      </c>
      <c r="AH85" s="242">
        <v>0</v>
      </c>
      <c r="AI85" s="242">
        <v>5791</v>
      </c>
      <c r="AJ85" s="242">
        <v>12257</v>
      </c>
      <c r="AK85" s="242">
        <v>2062</v>
      </c>
      <c r="AL85" s="245">
        <v>2240</v>
      </c>
      <c r="AM85" s="251">
        <v>4501000</v>
      </c>
      <c r="AN85" s="242">
        <v>763</v>
      </c>
      <c r="AO85" s="252">
        <v>780000</v>
      </c>
      <c r="AP85" s="242">
        <v>79</v>
      </c>
      <c r="AQ85" s="252">
        <v>0</v>
      </c>
      <c r="AR85" s="245">
        <v>0</v>
      </c>
    </row>
    <row r="86" spans="1:44" x14ac:dyDescent="0.3">
      <c r="A86" s="221">
        <v>316</v>
      </c>
      <c r="B86" s="221" t="s">
        <v>85</v>
      </c>
      <c r="C86" s="221" t="s">
        <v>345</v>
      </c>
      <c r="D86" s="241">
        <v>207533274.39000002</v>
      </c>
      <c r="E86" s="242">
        <v>27877</v>
      </c>
      <c r="F86" s="242">
        <v>38553</v>
      </c>
      <c r="G86" s="243">
        <v>0.382968038167665</v>
      </c>
      <c r="H86" s="244">
        <v>29093</v>
      </c>
      <c r="I86" s="242">
        <v>36900</v>
      </c>
      <c r="J86" s="242">
        <v>2837</v>
      </c>
      <c r="K86" s="245">
        <v>960</v>
      </c>
      <c r="L86" s="244">
        <v>32932</v>
      </c>
      <c r="M86" s="242">
        <v>34690</v>
      </c>
      <c r="N86" s="246">
        <v>5.3382728040000001E-2</v>
      </c>
      <c r="O86" s="242">
        <v>35116</v>
      </c>
      <c r="P86" s="247">
        <v>6.6318474429999996E-2</v>
      </c>
      <c r="Q86" s="248">
        <v>86.9</v>
      </c>
      <c r="R86" s="249">
        <v>6.7</v>
      </c>
      <c r="S86" s="249">
        <v>2.4</v>
      </c>
      <c r="T86" s="250">
        <v>96.1</v>
      </c>
      <c r="U86" s="244">
        <v>780</v>
      </c>
      <c r="V86" s="242">
        <v>903</v>
      </c>
      <c r="W86" s="242">
        <v>394</v>
      </c>
      <c r="X86" s="242">
        <v>150</v>
      </c>
      <c r="Y86" s="242">
        <v>0</v>
      </c>
      <c r="Z86" s="242">
        <v>8685</v>
      </c>
      <c r="AA86" s="242">
        <v>19032</v>
      </c>
      <c r="AB86" s="242">
        <v>5111</v>
      </c>
      <c r="AC86" s="242">
        <v>690</v>
      </c>
      <c r="AD86" s="245">
        <v>0</v>
      </c>
      <c r="AE86" s="244">
        <v>1113</v>
      </c>
      <c r="AF86" s="242">
        <v>1024</v>
      </c>
      <c r="AG86" s="242">
        <v>30</v>
      </c>
      <c r="AH86" s="242">
        <v>60</v>
      </c>
      <c r="AI86" s="242">
        <v>16467</v>
      </c>
      <c r="AJ86" s="242">
        <v>14291</v>
      </c>
      <c r="AK86" s="242">
        <v>1200</v>
      </c>
      <c r="AL86" s="245">
        <v>1560</v>
      </c>
      <c r="AM86" s="251">
        <v>59599571</v>
      </c>
      <c r="AN86" s="242">
        <v>6150</v>
      </c>
      <c r="AO86" s="252">
        <v>1006000</v>
      </c>
      <c r="AP86" s="242">
        <v>480</v>
      </c>
      <c r="AQ86" s="252">
        <v>0</v>
      </c>
      <c r="AR86" s="245">
        <v>0</v>
      </c>
    </row>
    <row r="87" spans="1:44" x14ac:dyDescent="0.3">
      <c r="A87" s="221">
        <v>926</v>
      </c>
      <c r="B87" s="221" t="s">
        <v>86</v>
      </c>
      <c r="C87" s="221" t="s">
        <v>348</v>
      </c>
      <c r="D87" s="241">
        <v>111887953.41</v>
      </c>
      <c r="E87" s="242">
        <v>55894</v>
      </c>
      <c r="F87" s="242">
        <v>64373</v>
      </c>
      <c r="G87" s="243">
        <v>0.151697856657244</v>
      </c>
      <c r="H87" s="244">
        <v>64769</v>
      </c>
      <c r="I87" s="242">
        <v>68020</v>
      </c>
      <c r="J87" s="242">
        <v>2574</v>
      </c>
      <c r="K87" s="245">
        <v>800</v>
      </c>
      <c r="L87" s="244">
        <v>60815</v>
      </c>
      <c r="M87" s="242">
        <v>61629</v>
      </c>
      <c r="N87" s="246">
        <v>1.33848557E-2</v>
      </c>
      <c r="O87" s="242">
        <v>63840</v>
      </c>
      <c r="P87" s="247">
        <v>4.9741017839999999E-2</v>
      </c>
      <c r="Q87" s="248">
        <v>91.4</v>
      </c>
      <c r="R87" s="249">
        <v>4.2</v>
      </c>
      <c r="S87" s="249">
        <v>0.9</v>
      </c>
      <c r="T87" s="250">
        <v>96.5</v>
      </c>
      <c r="U87" s="244">
        <v>149</v>
      </c>
      <c r="V87" s="242">
        <v>624</v>
      </c>
      <c r="W87" s="242">
        <v>192</v>
      </c>
      <c r="X87" s="242">
        <v>0</v>
      </c>
      <c r="Y87" s="242">
        <v>0</v>
      </c>
      <c r="Z87" s="242">
        <v>6309</v>
      </c>
      <c r="AA87" s="242">
        <v>41273</v>
      </c>
      <c r="AB87" s="242">
        <v>12596</v>
      </c>
      <c r="AC87" s="242">
        <v>937</v>
      </c>
      <c r="AD87" s="245">
        <v>0</v>
      </c>
      <c r="AE87" s="244">
        <v>210</v>
      </c>
      <c r="AF87" s="242">
        <v>335</v>
      </c>
      <c r="AG87" s="242">
        <v>316</v>
      </c>
      <c r="AH87" s="242">
        <v>104</v>
      </c>
      <c r="AI87" s="242">
        <v>5531</v>
      </c>
      <c r="AJ87" s="242">
        <v>26878</v>
      </c>
      <c r="AK87" s="242">
        <v>15647</v>
      </c>
      <c r="AL87" s="245">
        <v>13059</v>
      </c>
      <c r="AM87" s="251">
        <v>7008894</v>
      </c>
      <c r="AN87" s="242">
        <v>975</v>
      </c>
      <c r="AO87" s="252">
        <v>3459480</v>
      </c>
      <c r="AP87" s="242">
        <v>660</v>
      </c>
      <c r="AQ87" s="252">
        <v>13384349.999973999</v>
      </c>
      <c r="AR87" s="245">
        <v>675</v>
      </c>
    </row>
    <row r="88" spans="1:44" x14ac:dyDescent="0.3">
      <c r="A88" s="221">
        <v>812</v>
      </c>
      <c r="B88" s="221" t="s">
        <v>87</v>
      </c>
      <c r="C88" s="221" t="s">
        <v>346</v>
      </c>
      <c r="D88" s="241">
        <v>10987108.530000001</v>
      </c>
      <c r="E88" s="242">
        <v>12125</v>
      </c>
      <c r="F88" s="242">
        <v>13715</v>
      </c>
      <c r="G88" s="243">
        <v>0.13113402061855672</v>
      </c>
      <c r="H88" s="244">
        <v>13602</v>
      </c>
      <c r="I88" s="242">
        <v>15046</v>
      </c>
      <c r="J88" s="242">
        <v>0</v>
      </c>
      <c r="K88" s="245">
        <v>100</v>
      </c>
      <c r="L88" s="244">
        <v>12999</v>
      </c>
      <c r="M88" s="242">
        <v>13267</v>
      </c>
      <c r="N88" s="246">
        <v>2.0616970530000001E-2</v>
      </c>
      <c r="O88" s="242">
        <v>13446</v>
      </c>
      <c r="P88" s="247">
        <v>3.438726055E-2</v>
      </c>
      <c r="Q88" s="248">
        <v>95.6</v>
      </c>
      <c r="R88" s="249">
        <v>3</v>
      </c>
      <c r="S88" s="249">
        <v>0.3</v>
      </c>
      <c r="T88" s="250">
        <v>98.9</v>
      </c>
      <c r="U88" s="244">
        <v>0</v>
      </c>
      <c r="V88" s="242">
        <v>350</v>
      </c>
      <c r="W88" s="242">
        <v>0</v>
      </c>
      <c r="X88" s="242">
        <v>0</v>
      </c>
      <c r="Y88" s="242">
        <v>0</v>
      </c>
      <c r="Z88" s="242">
        <v>464</v>
      </c>
      <c r="AA88" s="242">
        <v>9447</v>
      </c>
      <c r="AB88" s="242">
        <v>4365</v>
      </c>
      <c r="AC88" s="242">
        <v>210</v>
      </c>
      <c r="AD88" s="245">
        <v>0</v>
      </c>
      <c r="AE88" s="244">
        <v>0</v>
      </c>
      <c r="AF88" s="242">
        <v>350</v>
      </c>
      <c r="AG88" s="242">
        <v>0</v>
      </c>
      <c r="AH88" s="242">
        <v>0</v>
      </c>
      <c r="AI88" s="242">
        <v>1890</v>
      </c>
      <c r="AJ88" s="242">
        <v>10057</v>
      </c>
      <c r="AK88" s="242">
        <v>1815</v>
      </c>
      <c r="AL88" s="245">
        <v>724</v>
      </c>
      <c r="AM88" s="251">
        <v>8035187.4848410003</v>
      </c>
      <c r="AN88" s="242">
        <v>1338</v>
      </c>
      <c r="AO88" s="252">
        <v>0</v>
      </c>
      <c r="AP88" s="242">
        <v>0</v>
      </c>
      <c r="AQ88" s="252">
        <v>0</v>
      </c>
      <c r="AR88" s="245">
        <v>0</v>
      </c>
    </row>
    <row r="89" spans="1:44" x14ac:dyDescent="0.3">
      <c r="A89" s="221">
        <v>813</v>
      </c>
      <c r="B89" s="221" t="s">
        <v>88</v>
      </c>
      <c r="C89" s="221" t="s">
        <v>346</v>
      </c>
      <c r="D89" s="241">
        <v>7017041.29</v>
      </c>
      <c r="E89" s="242">
        <v>12357</v>
      </c>
      <c r="F89" s="242">
        <v>13611</v>
      </c>
      <c r="G89" s="243">
        <v>0.10148094197620772</v>
      </c>
      <c r="H89" s="244">
        <v>14057</v>
      </c>
      <c r="I89" s="242">
        <v>14618</v>
      </c>
      <c r="J89" s="242">
        <v>460</v>
      </c>
      <c r="K89" s="245">
        <v>60</v>
      </c>
      <c r="L89" s="244">
        <v>13393</v>
      </c>
      <c r="M89" s="242">
        <v>13322</v>
      </c>
      <c r="N89" s="246">
        <v>-5.3012767800000001E-3</v>
      </c>
      <c r="O89" s="242">
        <v>13241</v>
      </c>
      <c r="P89" s="247">
        <v>-1.1349212270000001E-2</v>
      </c>
      <c r="Q89" s="248">
        <v>94</v>
      </c>
      <c r="R89" s="249">
        <v>2.4</v>
      </c>
      <c r="S89" s="249">
        <v>0.6</v>
      </c>
      <c r="T89" s="250">
        <v>97</v>
      </c>
      <c r="U89" s="244">
        <v>30</v>
      </c>
      <c r="V89" s="242">
        <v>21</v>
      </c>
      <c r="W89" s="242">
        <v>0</v>
      </c>
      <c r="X89" s="242">
        <v>0</v>
      </c>
      <c r="Y89" s="242">
        <v>0</v>
      </c>
      <c r="Z89" s="242">
        <v>1425</v>
      </c>
      <c r="AA89" s="242">
        <v>8598</v>
      </c>
      <c r="AB89" s="242">
        <v>3169</v>
      </c>
      <c r="AC89" s="242">
        <v>0</v>
      </c>
      <c r="AD89" s="245">
        <v>840</v>
      </c>
      <c r="AE89" s="244">
        <v>0</v>
      </c>
      <c r="AF89" s="242">
        <v>30</v>
      </c>
      <c r="AG89" s="242">
        <v>0</v>
      </c>
      <c r="AH89" s="242">
        <v>21</v>
      </c>
      <c r="AI89" s="242">
        <v>2165</v>
      </c>
      <c r="AJ89" s="242">
        <v>7013</v>
      </c>
      <c r="AK89" s="242">
        <v>3452</v>
      </c>
      <c r="AL89" s="245">
        <v>1402</v>
      </c>
      <c r="AM89" s="251">
        <v>1554601</v>
      </c>
      <c r="AN89" s="242">
        <v>282</v>
      </c>
      <c r="AO89" s="252">
        <v>0</v>
      </c>
      <c r="AP89" s="242">
        <v>0</v>
      </c>
      <c r="AQ89" s="252">
        <v>4302883</v>
      </c>
      <c r="AR89" s="245">
        <v>245</v>
      </c>
    </row>
    <row r="90" spans="1:44" x14ac:dyDescent="0.3">
      <c r="A90" s="221">
        <v>802</v>
      </c>
      <c r="B90" s="221" t="s">
        <v>89</v>
      </c>
      <c r="C90" s="221" t="s">
        <v>347</v>
      </c>
      <c r="D90" s="241">
        <v>41998666.730000004</v>
      </c>
      <c r="E90" s="242">
        <v>14813</v>
      </c>
      <c r="F90" s="242">
        <v>17220</v>
      </c>
      <c r="G90" s="243">
        <v>0.1624924053196517</v>
      </c>
      <c r="H90" s="244">
        <v>15430</v>
      </c>
      <c r="I90" s="242">
        <v>17645</v>
      </c>
      <c r="J90" s="242">
        <v>651</v>
      </c>
      <c r="K90" s="245">
        <v>190</v>
      </c>
      <c r="L90" s="244">
        <v>16040</v>
      </c>
      <c r="M90" s="242">
        <v>16017</v>
      </c>
      <c r="N90" s="246">
        <v>-1.43391521E-3</v>
      </c>
      <c r="O90" s="242">
        <v>16199</v>
      </c>
      <c r="P90" s="247">
        <v>9.9127182000000001E-3</v>
      </c>
      <c r="Q90" s="248">
        <v>85.8</v>
      </c>
      <c r="R90" s="249">
        <v>6.8</v>
      </c>
      <c r="S90" s="249">
        <v>2.8</v>
      </c>
      <c r="T90" s="250">
        <v>95.5</v>
      </c>
      <c r="U90" s="244">
        <v>0</v>
      </c>
      <c r="V90" s="242">
        <v>420</v>
      </c>
      <c r="W90" s="242">
        <v>0</v>
      </c>
      <c r="X90" s="242">
        <v>0</v>
      </c>
      <c r="Y90" s="242">
        <v>0</v>
      </c>
      <c r="Z90" s="242">
        <v>2435</v>
      </c>
      <c r="AA90" s="242">
        <v>12030</v>
      </c>
      <c r="AB90" s="242">
        <v>2235</v>
      </c>
      <c r="AC90" s="242">
        <v>0</v>
      </c>
      <c r="AD90" s="245">
        <v>0</v>
      </c>
      <c r="AE90" s="244">
        <v>0</v>
      </c>
      <c r="AF90" s="242">
        <v>210</v>
      </c>
      <c r="AG90" s="242">
        <v>210</v>
      </c>
      <c r="AH90" s="242">
        <v>0</v>
      </c>
      <c r="AI90" s="242">
        <v>1995</v>
      </c>
      <c r="AJ90" s="242">
        <v>10160</v>
      </c>
      <c r="AK90" s="242">
        <v>3000</v>
      </c>
      <c r="AL90" s="245">
        <v>1545</v>
      </c>
      <c r="AM90" s="251">
        <v>4138230.3333149999</v>
      </c>
      <c r="AN90" s="242">
        <v>600</v>
      </c>
      <c r="AO90" s="252">
        <v>1074976</v>
      </c>
      <c r="AP90" s="242">
        <v>155</v>
      </c>
      <c r="AQ90" s="252">
        <v>11369065</v>
      </c>
      <c r="AR90" s="245">
        <v>1035</v>
      </c>
    </row>
    <row r="91" spans="1:44" x14ac:dyDescent="0.3">
      <c r="A91" s="221">
        <v>392</v>
      </c>
      <c r="B91" s="221" t="s">
        <v>90</v>
      </c>
      <c r="C91" s="221" t="s">
        <v>352</v>
      </c>
      <c r="D91" s="241">
        <v>8305262.4100000001</v>
      </c>
      <c r="E91" s="242">
        <v>14412</v>
      </c>
      <c r="F91" s="242">
        <v>16360</v>
      </c>
      <c r="G91" s="243">
        <v>0.13516514016097703</v>
      </c>
      <c r="H91" s="244">
        <v>17434</v>
      </c>
      <c r="I91" s="242">
        <v>17692</v>
      </c>
      <c r="J91" s="242">
        <v>135</v>
      </c>
      <c r="K91" s="245">
        <v>80</v>
      </c>
      <c r="L91" s="244">
        <v>15741</v>
      </c>
      <c r="M91" s="242">
        <v>16062</v>
      </c>
      <c r="N91" s="246">
        <v>2.0392605290000001E-2</v>
      </c>
      <c r="O91" s="242">
        <v>16091</v>
      </c>
      <c r="P91" s="247">
        <v>2.2234927889999999E-2</v>
      </c>
      <c r="Q91" s="248">
        <v>91.3</v>
      </c>
      <c r="R91" s="249">
        <v>4.5999999999999996</v>
      </c>
      <c r="S91" s="249">
        <v>1.2</v>
      </c>
      <c r="T91" s="250">
        <v>97.1</v>
      </c>
      <c r="U91" s="244">
        <v>28</v>
      </c>
      <c r="V91" s="242">
        <v>0</v>
      </c>
      <c r="W91" s="242">
        <v>0</v>
      </c>
      <c r="X91" s="242">
        <v>0</v>
      </c>
      <c r="Y91" s="242">
        <v>0</v>
      </c>
      <c r="Z91" s="242">
        <v>5994</v>
      </c>
      <c r="AA91" s="242">
        <v>11024</v>
      </c>
      <c r="AB91" s="242">
        <v>492</v>
      </c>
      <c r="AC91" s="242">
        <v>154</v>
      </c>
      <c r="AD91" s="245">
        <v>0</v>
      </c>
      <c r="AE91" s="244">
        <v>0</v>
      </c>
      <c r="AF91" s="242">
        <v>0</v>
      </c>
      <c r="AG91" s="242">
        <v>0</v>
      </c>
      <c r="AH91" s="242">
        <v>28</v>
      </c>
      <c r="AI91" s="242">
        <v>5775</v>
      </c>
      <c r="AJ91" s="242">
        <v>7610</v>
      </c>
      <c r="AK91" s="242">
        <v>2160</v>
      </c>
      <c r="AL91" s="245">
        <v>2119</v>
      </c>
      <c r="AM91" s="251">
        <v>122700</v>
      </c>
      <c r="AN91" s="242">
        <v>28</v>
      </c>
      <c r="AO91" s="252">
        <v>0</v>
      </c>
      <c r="AP91" s="242">
        <v>0</v>
      </c>
      <c r="AQ91" s="252">
        <v>0</v>
      </c>
      <c r="AR91" s="245">
        <v>0</v>
      </c>
    </row>
    <row r="92" spans="1:44" x14ac:dyDescent="0.3">
      <c r="A92" s="221">
        <v>815</v>
      </c>
      <c r="B92" s="221" t="s">
        <v>91</v>
      </c>
      <c r="C92" s="221" t="s">
        <v>346</v>
      </c>
      <c r="D92" s="241">
        <v>52166185.799999997</v>
      </c>
      <c r="E92" s="242">
        <v>40526</v>
      </c>
      <c r="F92" s="242">
        <v>45409</v>
      </c>
      <c r="G92" s="243">
        <v>0.12049054927700742</v>
      </c>
      <c r="H92" s="244">
        <v>48805</v>
      </c>
      <c r="I92" s="242">
        <v>49409</v>
      </c>
      <c r="J92" s="242">
        <v>1725</v>
      </c>
      <c r="K92" s="245">
        <v>530</v>
      </c>
      <c r="L92" s="244">
        <v>41921</v>
      </c>
      <c r="M92" s="242">
        <v>42770</v>
      </c>
      <c r="N92" s="246">
        <v>2.0252379470000002E-2</v>
      </c>
      <c r="O92" s="242">
        <v>43454</v>
      </c>
      <c r="P92" s="247">
        <v>3.6568784139999998E-2</v>
      </c>
      <c r="Q92" s="248">
        <v>94.2</v>
      </c>
      <c r="R92" s="249">
        <v>2.8</v>
      </c>
      <c r="S92" s="249">
        <v>0.7</v>
      </c>
      <c r="T92" s="250">
        <v>97.8</v>
      </c>
      <c r="U92" s="244">
        <v>171</v>
      </c>
      <c r="V92" s="242">
        <v>1041</v>
      </c>
      <c r="W92" s="242">
        <v>165</v>
      </c>
      <c r="X92" s="242">
        <v>0</v>
      </c>
      <c r="Y92" s="242">
        <v>22</v>
      </c>
      <c r="Z92" s="242">
        <v>6143</v>
      </c>
      <c r="AA92" s="242">
        <v>31872</v>
      </c>
      <c r="AB92" s="242">
        <v>7618</v>
      </c>
      <c r="AC92" s="242">
        <v>595</v>
      </c>
      <c r="AD92" s="245">
        <v>1782</v>
      </c>
      <c r="AE92" s="244">
        <v>100</v>
      </c>
      <c r="AF92" s="242">
        <v>778</v>
      </c>
      <c r="AG92" s="242">
        <v>482</v>
      </c>
      <c r="AH92" s="242">
        <v>39</v>
      </c>
      <c r="AI92" s="242">
        <v>2645</v>
      </c>
      <c r="AJ92" s="242">
        <v>29442</v>
      </c>
      <c r="AK92" s="242">
        <v>11320</v>
      </c>
      <c r="AL92" s="245">
        <v>4603</v>
      </c>
      <c r="AM92" s="251">
        <v>10625045.471814999</v>
      </c>
      <c r="AN92" s="242">
        <v>1199</v>
      </c>
      <c r="AO92" s="252">
        <v>0</v>
      </c>
      <c r="AP92" s="242">
        <v>0</v>
      </c>
      <c r="AQ92" s="252">
        <v>0</v>
      </c>
      <c r="AR92" s="245">
        <v>0</v>
      </c>
    </row>
    <row r="93" spans="1:44" x14ac:dyDescent="0.3">
      <c r="A93" s="221">
        <v>928</v>
      </c>
      <c r="B93" s="221" t="s">
        <v>92</v>
      </c>
      <c r="C93" s="221" t="s">
        <v>353</v>
      </c>
      <c r="D93" s="241">
        <v>84185321.579999998</v>
      </c>
      <c r="E93" s="242">
        <v>54334</v>
      </c>
      <c r="F93" s="242">
        <v>66433</v>
      </c>
      <c r="G93" s="243">
        <v>0.22267824934663372</v>
      </c>
      <c r="H93" s="244">
        <v>62196</v>
      </c>
      <c r="I93" s="242">
        <v>68994</v>
      </c>
      <c r="J93" s="242">
        <v>3088</v>
      </c>
      <c r="K93" s="245">
        <v>650</v>
      </c>
      <c r="L93" s="244">
        <v>61743</v>
      </c>
      <c r="M93" s="242">
        <v>61345</v>
      </c>
      <c r="N93" s="246">
        <v>-6.4460748499999996E-3</v>
      </c>
      <c r="O93" s="242">
        <v>61892</v>
      </c>
      <c r="P93" s="247">
        <v>2.4132290300000001E-3</v>
      </c>
      <c r="Q93" s="248">
        <v>89.5</v>
      </c>
      <c r="R93" s="249">
        <v>5.8</v>
      </c>
      <c r="S93" s="249">
        <v>1.8</v>
      </c>
      <c r="T93" s="250">
        <v>97.1</v>
      </c>
      <c r="U93" s="244">
        <v>0</v>
      </c>
      <c r="V93" s="242">
        <v>1254</v>
      </c>
      <c r="W93" s="242">
        <v>602</v>
      </c>
      <c r="X93" s="242">
        <v>0</v>
      </c>
      <c r="Y93" s="242">
        <v>0</v>
      </c>
      <c r="Z93" s="242">
        <v>5302</v>
      </c>
      <c r="AA93" s="242">
        <v>40192</v>
      </c>
      <c r="AB93" s="242">
        <v>15004</v>
      </c>
      <c r="AC93" s="242">
        <v>2413</v>
      </c>
      <c r="AD93" s="245">
        <v>420</v>
      </c>
      <c r="AE93" s="244">
        <v>60</v>
      </c>
      <c r="AF93" s="242">
        <v>1164</v>
      </c>
      <c r="AG93" s="242">
        <v>604</v>
      </c>
      <c r="AH93" s="242">
        <v>28</v>
      </c>
      <c r="AI93" s="242">
        <v>5505</v>
      </c>
      <c r="AJ93" s="242">
        <v>29634</v>
      </c>
      <c r="AK93" s="242">
        <v>20641</v>
      </c>
      <c r="AL93" s="245">
        <v>7551</v>
      </c>
      <c r="AM93" s="251">
        <v>52055479.732072003</v>
      </c>
      <c r="AN93" s="242">
        <v>4576</v>
      </c>
      <c r="AO93" s="252">
        <v>1309000</v>
      </c>
      <c r="AP93" s="242">
        <v>1062</v>
      </c>
      <c r="AQ93" s="252">
        <v>11275000</v>
      </c>
      <c r="AR93" s="245">
        <v>630</v>
      </c>
    </row>
    <row r="94" spans="1:44" x14ac:dyDescent="0.3">
      <c r="A94" s="221">
        <v>929</v>
      </c>
      <c r="B94" s="221" t="s">
        <v>93</v>
      </c>
      <c r="C94" s="221" t="s">
        <v>352</v>
      </c>
      <c r="D94" s="241">
        <v>14118046.849999998</v>
      </c>
      <c r="E94" s="242">
        <v>20752</v>
      </c>
      <c r="F94" s="242">
        <v>23362</v>
      </c>
      <c r="G94" s="243">
        <v>0.1257710100231304</v>
      </c>
      <c r="H94" s="244">
        <v>25947</v>
      </c>
      <c r="I94" s="242">
        <v>27080</v>
      </c>
      <c r="J94" s="242">
        <v>503</v>
      </c>
      <c r="K94" s="245">
        <v>170</v>
      </c>
      <c r="L94" s="244">
        <v>23014</v>
      </c>
      <c r="M94" s="242">
        <v>22995</v>
      </c>
      <c r="N94" s="246">
        <v>-8.2558442000000003E-4</v>
      </c>
      <c r="O94" s="242">
        <v>23022</v>
      </c>
      <c r="P94" s="247">
        <v>3.4761448999999999E-4</v>
      </c>
      <c r="Q94" s="248">
        <v>96</v>
      </c>
      <c r="R94" s="249">
        <v>1.8</v>
      </c>
      <c r="S94" s="249">
        <v>0.5</v>
      </c>
      <c r="T94" s="250">
        <v>98.2</v>
      </c>
      <c r="U94" s="244">
        <v>39</v>
      </c>
      <c r="V94" s="242">
        <v>141</v>
      </c>
      <c r="W94" s="242">
        <v>99</v>
      </c>
      <c r="X94" s="242">
        <v>0</v>
      </c>
      <c r="Y94" s="242">
        <v>0</v>
      </c>
      <c r="Z94" s="242">
        <v>3592</v>
      </c>
      <c r="AA94" s="242">
        <v>18011</v>
      </c>
      <c r="AB94" s="242">
        <v>4615</v>
      </c>
      <c r="AC94" s="242">
        <v>373</v>
      </c>
      <c r="AD94" s="245">
        <v>0</v>
      </c>
      <c r="AE94" s="244">
        <v>0</v>
      </c>
      <c r="AF94" s="242">
        <v>27</v>
      </c>
      <c r="AG94" s="242">
        <v>99</v>
      </c>
      <c r="AH94" s="242">
        <v>153</v>
      </c>
      <c r="AI94" s="242">
        <v>1219</v>
      </c>
      <c r="AJ94" s="242">
        <v>7315</v>
      </c>
      <c r="AK94" s="242">
        <v>5077</v>
      </c>
      <c r="AL94" s="245">
        <v>12980</v>
      </c>
      <c r="AM94" s="251">
        <v>1101156</v>
      </c>
      <c r="AN94" s="242">
        <v>124</v>
      </c>
      <c r="AO94" s="252">
        <v>0</v>
      </c>
      <c r="AP94" s="242">
        <v>0</v>
      </c>
      <c r="AQ94" s="252">
        <v>0</v>
      </c>
      <c r="AR94" s="245">
        <v>0</v>
      </c>
    </row>
    <row r="95" spans="1:44" x14ac:dyDescent="0.3">
      <c r="A95" s="221">
        <v>892</v>
      </c>
      <c r="B95" s="221" t="s">
        <v>94</v>
      </c>
      <c r="C95" s="221" t="s">
        <v>353</v>
      </c>
      <c r="D95" s="241">
        <v>47460874.220000006</v>
      </c>
      <c r="E95" s="242">
        <v>19920</v>
      </c>
      <c r="F95" s="242">
        <v>26589</v>
      </c>
      <c r="G95" s="243">
        <v>0.33478915662650599</v>
      </c>
      <c r="H95" s="244">
        <v>23542</v>
      </c>
      <c r="I95" s="242">
        <v>26968</v>
      </c>
      <c r="J95" s="242">
        <v>2375</v>
      </c>
      <c r="K95" s="245">
        <v>270</v>
      </c>
      <c r="L95" s="244">
        <v>24139</v>
      </c>
      <c r="M95" s="242">
        <v>24332</v>
      </c>
      <c r="N95" s="246">
        <v>7.9953601999999992E-3</v>
      </c>
      <c r="O95" s="242">
        <v>23881</v>
      </c>
      <c r="P95" s="247">
        <v>-1.0688098090000001E-2</v>
      </c>
      <c r="Q95" s="248">
        <v>84.8</v>
      </c>
      <c r="R95" s="249">
        <v>5.9</v>
      </c>
      <c r="S95" s="249">
        <v>2.5</v>
      </c>
      <c r="T95" s="250">
        <v>93.2</v>
      </c>
      <c r="U95" s="244">
        <v>30</v>
      </c>
      <c r="V95" s="242">
        <v>1593</v>
      </c>
      <c r="W95" s="242">
        <v>73</v>
      </c>
      <c r="X95" s="242">
        <v>0</v>
      </c>
      <c r="Y95" s="242">
        <v>0</v>
      </c>
      <c r="Z95" s="242">
        <v>4021</v>
      </c>
      <c r="AA95" s="242">
        <v>12936</v>
      </c>
      <c r="AB95" s="242">
        <v>5157</v>
      </c>
      <c r="AC95" s="242">
        <v>210</v>
      </c>
      <c r="AD95" s="245">
        <v>0</v>
      </c>
      <c r="AE95" s="244">
        <v>315</v>
      </c>
      <c r="AF95" s="242">
        <v>775</v>
      </c>
      <c r="AG95" s="242">
        <v>186</v>
      </c>
      <c r="AH95" s="242">
        <v>420</v>
      </c>
      <c r="AI95" s="242">
        <v>6195</v>
      </c>
      <c r="AJ95" s="242">
        <v>11593</v>
      </c>
      <c r="AK95" s="242">
        <v>4176</v>
      </c>
      <c r="AL95" s="245">
        <v>360</v>
      </c>
      <c r="AM95" s="251">
        <v>14611000</v>
      </c>
      <c r="AN95" s="242">
        <v>2000</v>
      </c>
      <c r="AO95" s="252">
        <v>450000</v>
      </c>
      <c r="AP95" s="242">
        <v>120</v>
      </c>
      <c r="AQ95" s="252">
        <v>0</v>
      </c>
      <c r="AR95" s="245">
        <v>0</v>
      </c>
    </row>
    <row r="96" spans="1:44" x14ac:dyDescent="0.3">
      <c r="A96" s="221">
        <v>891</v>
      </c>
      <c r="B96" s="221" t="s">
        <v>95</v>
      </c>
      <c r="C96" s="221" t="s">
        <v>353</v>
      </c>
      <c r="D96" s="241">
        <v>77333466.439999998</v>
      </c>
      <c r="E96" s="242">
        <v>56907</v>
      </c>
      <c r="F96" s="242">
        <v>66303</v>
      </c>
      <c r="G96" s="243">
        <v>0.16511149770678468</v>
      </c>
      <c r="H96" s="244">
        <v>63583</v>
      </c>
      <c r="I96" s="242">
        <v>67610</v>
      </c>
      <c r="J96" s="242">
        <v>1207</v>
      </c>
      <c r="K96" s="245">
        <v>1690</v>
      </c>
      <c r="L96" s="244">
        <v>62278</v>
      </c>
      <c r="M96" s="242">
        <v>61970</v>
      </c>
      <c r="N96" s="246">
        <v>-4.9455666500000002E-3</v>
      </c>
      <c r="O96" s="242">
        <v>60356</v>
      </c>
      <c r="P96" s="247">
        <v>-3.086162047E-2</v>
      </c>
      <c r="Q96" s="248">
        <v>89.8</v>
      </c>
      <c r="R96" s="249">
        <v>4.9000000000000004</v>
      </c>
      <c r="S96" s="249">
        <v>1.6</v>
      </c>
      <c r="T96" s="250">
        <v>96.3</v>
      </c>
      <c r="U96" s="244">
        <v>115</v>
      </c>
      <c r="V96" s="242">
        <v>883</v>
      </c>
      <c r="W96" s="242">
        <v>200</v>
      </c>
      <c r="X96" s="242">
        <v>0</v>
      </c>
      <c r="Y96" s="242">
        <v>0</v>
      </c>
      <c r="Z96" s="242">
        <v>10088</v>
      </c>
      <c r="AA96" s="242">
        <v>43376</v>
      </c>
      <c r="AB96" s="242">
        <v>10486</v>
      </c>
      <c r="AC96" s="242">
        <v>629</v>
      </c>
      <c r="AD96" s="245">
        <v>180</v>
      </c>
      <c r="AE96" s="244">
        <v>375</v>
      </c>
      <c r="AF96" s="242">
        <v>571</v>
      </c>
      <c r="AG96" s="242">
        <v>237</v>
      </c>
      <c r="AH96" s="242">
        <v>15</v>
      </c>
      <c r="AI96" s="242">
        <v>7408</v>
      </c>
      <c r="AJ96" s="242">
        <v>35599</v>
      </c>
      <c r="AK96" s="242">
        <v>15283</v>
      </c>
      <c r="AL96" s="245">
        <v>6469</v>
      </c>
      <c r="AM96" s="251">
        <v>14174929.4</v>
      </c>
      <c r="AN96" s="242">
        <v>1744</v>
      </c>
      <c r="AO96" s="252">
        <v>2651113</v>
      </c>
      <c r="AP96" s="242">
        <v>305</v>
      </c>
      <c r="AQ96" s="252">
        <v>11160264</v>
      </c>
      <c r="AR96" s="245">
        <v>465</v>
      </c>
    </row>
    <row r="97" spans="1:44" x14ac:dyDescent="0.3">
      <c r="A97" s="221">
        <v>353</v>
      </c>
      <c r="B97" s="221" t="s">
        <v>96</v>
      </c>
      <c r="C97" s="221" t="s">
        <v>350</v>
      </c>
      <c r="D97" s="241">
        <v>64117525.819999993</v>
      </c>
      <c r="E97" s="242">
        <v>21180</v>
      </c>
      <c r="F97" s="242">
        <v>25202</v>
      </c>
      <c r="G97" s="243">
        <v>0.18989612842304071</v>
      </c>
      <c r="H97" s="244">
        <v>22927</v>
      </c>
      <c r="I97" s="242">
        <v>24329</v>
      </c>
      <c r="J97" s="242">
        <v>1540</v>
      </c>
      <c r="K97" s="245">
        <v>320</v>
      </c>
      <c r="L97" s="244">
        <v>23266</v>
      </c>
      <c r="M97" s="242">
        <v>23149</v>
      </c>
      <c r="N97" s="246">
        <v>-5.02879738E-3</v>
      </c>
      <c r="O97" s="242">
        <v>22469</v>
      </c>
      <c r="P97" s="247">
        <v>-3.425599587E-2</v>
      </c>
      <c r="Q97" s="248">
        <v>90.4</v>
      </c>
      <c r="R97" s="249">
        <v>4.5</v>
      </c>
      <c r="S97" s="249">
        <v>1.2</v>
      </c>
      <c r="T97" s="250">
        <v>96.1</v>
      </c>
      <c r="U97" s="244">
        <v>360</v>
      </c>
      <c r="V97" s="242">
        <v>565</v>
      </c>
      <c r="W97" s="242">
        <v>0</v>
      </c>
      <c r="X97" s="242">
        <v>0</v>
      </c>
      <c r="Y97" s="242">
        <v>0</v>
      </c>
      <c r="Z97" s="242">
        <v>4363</v>
      </c>
      <c r="AA97" s="242">
        <v>14508</v>
      </c>
      <c r="AB97" s="242">
        <v>2820</v>
      </c>
      <c r="AC97" s="242">
        <v>420</v>
      </c>
      <c r="AD97" s="245">
        <v>280</v>
      </c>
      <c r="AE97" s="244">
        <v>540</v>
      </c>
      <c r="AF97" s="242">
        <v>70</v>
      </c>
      <c r="AG97" s="242">
        <v>315</v>
      </c>
      <c r="AH97" s="242">
        <v>0</v>
      </c>
      <c r="AI97" s="242">
        <v>8066</v>
      </c>
      <c r="AJ97" s="242">
        <v>9605</v>
      </c>
      <c r="AK97" s="242">
        <v>4184</v>
      </c>
      <c r="AL97" s="245">
        <v>536</v>
      </c>
      <c r="AM97" s="251">
        <v>11574875.140000001</v>
      </c>
      <c r="AN97" s="242">
        <v>1120</v>
      </c>
      <c r="AO97" s="252">
        <v>0</v>
      </c>
      <c r="AP97" s="242">
        <v>0</v>
      </c>
      <c r="AQ97" s="252">
        <v>0</v>
      </c>
      <c r="AR97" s="245">
        <v>0</v>
      </c>
    </row>
    <row r="98" spans="1:44" x14ac:dyDescent="0.3">
      <c r="A98" s="221">
        <v>931</v>
      </c>
      <c r="B98" s="221" t="s">
        <v>97</v>
      </c>
      <c r="C98" s="221" t="s">
        <v>351</v>
      </c>
      <c r="D98" s="241">
        <v>71629206.950000003</v>
      </c>
      <c r="E98" s="242">
        <v>45197</v>
      </c>
      <c r="F98" s="242">
        <v>52378</v>
      </c>
      <c r="G98" s="243">
        <v>0.15888222669646224</v>
      </c>
      <c r="H98" s="244">
        <v>49549</v>
      </c>
      <c r="I98" s="242">
        <v>57095</v>
      </c>
      <c r="J98" s="242">
        <v>3314</v>
      </c>
      <c r="K98" s="245">
        <v>160</v>
      </c>
      <c r="L98" s="244">
        <v>49415</v>
      </c>
      <c r="M98" s="242">
        <v>50356</v>
      </c>
      <c r="N98" s="246">
        <v>1.9042800759999999E-2</v>
      </c>
      <c r="O98" s="242">
        <v>51839</v>
      </c>
      <c r="P98" s="247">
        <v>4.9053930990000001E-2</v>
      </c>
      <c r="Q98" s="248">
        <v>88</v>
      </c>
      <c r="R98" s="249">
        <v>5.8</v>
      </c>
      <c r="S98" s="249">
        <v>2.1</v>
      </c>
      <c r="T98" s="250">
        <v>96</v>
      </c>
      <c r="U98" s="244">
        <v>30</v>
      </c>
      <c r="V98" s="242">
        <v>850</v>
      </c>
      <c r="W98" s="242">
        <v>360</v>
      </c>
      <c r="X98" s="242">
        <v>0</v>
      </c>
      <c r="Y98" s="242">
        <v>0</v>
      </c>
      <c r="Z98" s="242">
        <v>4999</v>
      </c>
      <c r="AA98" s="242">
        <v>39443</v>
      </c>
      <c r="AB98" s="242">
        <v>6786</v>
      </c>
      <c r="AC98" s="242">
        <v>1295</v>
      </c>
      <c r="AD98" s="245">
        <v>0</v>
      </c>
      <c r="AE98" s="244">
        <v>0</v>
      </c>
      <c r="AF98" s="242">
        <v>734</v>
      </c>
      <c r="AG98" s="242">
        <v>116</v>
      </c>
      <c r="AH98" s="242">
        <v>390</v>
      </c>
      <c r="AI98" s="242">
        <v>9466</v>
      </c>
      <c r="AJ98" s="242">
        <v>35666</v>
      </c>
      <c r="AK98" s="242">
        <v>6354</v>
      </c>
      <c r="AL98" s="245">
        <v>1037</v>
      </c>
      <c r="AM98" s="251">
        <v>25731632</v>
      </c>
      <c r="AN98" s="242">
        <v>2913</v>
      </c>
      <c r="AO98" s="252">
        <v>1414212</v>
      </c>
      <c r="AP98" s="242">
        <v>376</v>
      </c>
      <c r="AQ98" s="252">
        <v>2766705.5083670001</v>
      </c>
      <c r="AR98" s="245">
        <v>105</v>
      </c>
    </row>
    <row r="99" spans="1:44" x14ac:dyDescent="0.3">
      <c r="A99" s="221">
        <v>874</v>
      </c>
      <c r="B99" s="221" t="s">
        <v>98</v>
      </c>
      <c r="C99" s="221" t="s">
        <v>348</v>
      </c>
      <c r="D99" s="241">
        <v>51953817.450000003</v>
      </c>
      <c r="E99" s="242">
        <v>15578</v>
      </c>
      <c r="F99" s="242">
        <v>21928</v>
      </c>
      <c r="G99" s="243">
        <v>0.40762613942739767</v>
      </c>
      <c r="H99" s="244">
        <v>17191</v>
      </c>
      <c r="I99" s="242">
        <v>21994</v>
      </c>
      <c r="J99" s="242">
        <v>1716</v>
      </c>
      <c r="K99" s="245">
        <v>170</v>
      </c>
      <c r="L99" s="244">
        <v>19302</v>
      </c>
      <c r="M99" s="242">
        <v>19389</v>
      </c>
      <c r="N99" s="246">
        <v>4.5073049399999999E-3</v>
      </c>
      <c r="O99" s="242">
        <v>20469</v>
      </c>
      <c r="P99" s="247">
        <v>6.0460055950000001E-2</v>
      </c>
      <c r="Q99" s="248">
        <v>90.9</v>
      </c>
      <c r="R99" s="249">
        <v>5.5</v>
      </c>
      <c r="S99" s="249">
        <v>1.5</v>
      </c>
      <c r="T99" s="250">
        <v>97.9</v>
      </c>
      <c r="U99" s="244">
        <v>259</v>
      </c>
      <c r="V99" s="242">
        <v>1098</v>
      </c>
      <c r="W99" s="242">
        <v>180</v>
      </c>
      <c r="X99" s="242">
        <v>0</v>
      </c>
      <c r="Y99" s="242">
        <v>0</v>
      </c>
      <c r="Z99" s="242">
        <v>2201</v>
      </c>
      <c r="AA99" s="242">
        <v>13801</v>
      </c>
      <c r="AB99" s="242">
        <v>2295</v>
      </c>
      <c r="AC99" s="242">
        <v>660</v>
      </c>
      <c r="AD99" s="245">
        <v>0</v>
      </c>
      <c r="AE99" s="244">
        <v>180</v>
      </c>
      <c r="AF99" s="242">
        <v>544</v>
      </c>
      <c r="AG99" s="242">
        <v>423</v>
      </c>
      <c r="AH99" s="242">
        <v>390</v>
      </c>
      <c r="AI99" s="242">
        <v>2655</v>
      </c>
      <c r="AJ99" s="242">
        <v>9653</v>
      </c>
      <c r="AK99" s="242">
        <v>5299</v>
      </c>
      <c r="AL99" s="245">
        <v>1350</v>
      </c>
      <c r="AM99" s="251">
        <v>42066803</v>
      </c>
      <c r="AN99" s="242">
        <v>3571</v>
      </c>
      <c r="AO99" s="252">
        <v>180000</v>
      </c>
      <c r="AP99" s="242">
        <v>90</v>
      </c>
      <c r="AQ99" s="252">
        <v>10251786</v>
      </c>
      <c r="AR99" s="245">
        <v>600</v>
      </c>
    </row>
    <row r="100" spans="1:44" x14ac:dyDescent="0.3">
      <c r="A100" s="221">
        <v>879</v>
      </c>
      <c r="B100" s="221" t="s">
        <v>99</v>
      </c>
      <c r="C100" s="221" t="s">
        <v>347</v>
      </c>
      <c r="D100" s="241">
        <v>29103483.209999997</v>
      </c>
      <c r="E100" s="242">
        <v>17743</v>
      </c>
      <c r="F100" s="242">
        <v>20460</v>
      </c>
      <c r="G100" s="243">
        <v>0.15313081215127089</v>
      </c>
      <c r="H100" s="244">
        <v>18931</v>
      </c>
      <c r="I100" s="242">
        <v>22084</v>
      </c>
      <c r="J100" s="242">
        <v>1050</v>
      </c>
      <c r="K100" s="245">
        <v>0</v>
      </c>
      <c r="L100" s="244">
        <v>19726</v>
      </c>
      <c r="M100" s="242">
        <v>19610</v>
      </c>
      <c r="N100" s="246">
        <v>-5.8805637199999998E-3</v>
      </c>
      <c r="O100" s="242">
        <v>19954</v>
      </c>
      <c r="P100" s="247">
        <v>1.1558349379999999E-2</v>
      </c>
      <c r="Q100" s="248">
        <v>88</v>
      </c>
      <c r="R100" s="249">
        <v>6.2</v>
      </c>
      <c r="S100" s="249">
        <v>2.2000000000000002</v>
      </c>
      <c r="T100" s="250">
        <v>96.4</v>
      </c>
      <c r="U100" s="244">
        <v>57</v>
      </c>
      <c r="V100" s="242">
        <v>131</v>
      </c>
      <c r="W100" s="242">
        <v>15</v>
      </c>
      <c r="X100" s="242">
        <v>16</v>
      </c>
      <c r="Y100" s="242">
        <v>0</v>
      </c>
      <c r="Z100" s="242">
        <v>2485</v>
      </c>
      <c r="AA100" s="242">
        <v>12599</v>
      </c>
      <c r="AB100" s="242">
        <v>4261</v>
      </c>
      <c r="AC100" s="242">
        <v>660</v>
      </c>
      <c r="AD100" s="245">
        <v>0</v>
      </c>
      <c r="AE100" s="244">
        <v>44</v>
      </c>
      <c r="AF100" s="242">
        <v>159</v>
      </c>
      <c r="AG100" s="242">
        <v>16</v>
      </c>
      <c r="AH100" s="242">
        <v>0</v>
      </c>
      <c r="AI100" s="242">
        <v>4896</v>
      </c>
      <c r="AJ100" s="242">
        <v>9230</v>
      </c>
      <c r="AK100" s="242">
        <v>5230</v>
      </c>
      <c r="AL100" s="245">
        <v>649</v>
      </c>
      <c r="AM100" s="251">
        <v>15267231</v>
      </c>
      <c r="AN100" s="242">
        <v>1771</v>
      </c>
      <c r="AO100" s="252">
        <v>200000</v>
      </c>
      <c r="AP100" s="242">
        <v>35</v>
      </c>
      <c r="AQ100" s="252">
        <v>0</v>
      </c>
      <c r="AR100" s="245">
        <v>0</v>
      </c>
    </row>
    <row r="101" spans="1:44" x14ac:dyDescent="0.3">
      <c r="A101" s="221">
        <v>836</v>
      </c>
      <c r="B101" s="221" t="s">
        <v>100</v>
      </c>
      <c r="C101" s="221" t="s">
        <v>347</v>
      </c>
      <c r="D101" s="241">
        <v>25130205.629999999</v>
      </c>
      <c r="E101" s="242">
        <v>9248</v>
      </c>
      <c r="F101" s="242">
        <v>10868</v>
      </c>
      <c r="G101" s="243">
        <v>0.17517301038062283</v>
      </c>
      <c r="H101" s="244">
        <v>9809</v>
      </c>
      <c r="I101" s="242">
        <v>11976</v>
      </c>
      <c r="J101" s="242">
        <v>120</v>
      </c>
      <c r="K101" s="245">
        <v>0</v>
      </c>
      <c r="L101" s="244">
        <v>10242</v>
      </c>
      <c r="M101" s="242">
        <v>10302</v>
      </c>
      <c r="N101" s="246">
        <v>5.8582308100000001E-3</v>
      </c>
      <c r="O101" s="242">
        <v>10491</v>
      </c>
      <c r="P101" s="247">
        <v>2.431165787E-2</v>
      </c>
      <c r="Q101" s="248">
        <v>86.1</v>
      </c>
      <c r="R101" s="249">
        <v>6.8</v>
      </c>
      <c r="S101" s="249">
        <v>2.6</v>
      </c>
      <c r="T101" s="250">
        <v>95.5</v>
      </c>
      <c r="U101" s="244">
        <v>0</v>
      </c>
      <c r="V101" s="242">
        <v>295</v>
      </c>
      <c r="W101" s="242">
        <v>161</v>
      </c>
      <c r="X101" s="242">
        <v>0</v>
      </c>
      <c r="Y101" s="242">
        <v>0</v>
      </c>
      <c r="Z101" s="242">
        <v>2040</v>
      </c>
      <c r="AA101" s="242">
        <v>7245</v>
      </c>
      <c r="AB101" s="242">
        <v>1489</v>
      </c>
      <c r="AC101" s="242">
        <v>0</v>
      </c>
      <c r="AD101" s="245">
        <v>0</v>
      </c>
      <c r="AE101" s="244">
        <v>36</v>
      </c>
      <c r="AF101" s="242">
        <v>42</v>
      </c>
      <c r="AG101" s="242">
        <v>221</v>
      </c>
      <c r="AH101" s="242">
        <v>157</v>
      </c>
      <c r="AI101" s="242">
        <v>954</v>
      </c>
      <c r="AJ101" s="242">
        <v>1308</v>
      </c>
      <c r="AK101" s="242">
        <v>4369</v>
      </c>
      <c r="AL101" s="245">
        <v>4143</v>
      </c>
      <c r="AM101" s="251">
        <v>7199260.6094890004</v>
      </c>
      <c r="AN101" s="242">
        <v>1720</v>
      </c>
      <c r="AO101" s="252">
        <v>317311</v>
      </c>
      <c r="AP101" s="242">
        <v>60</v>
      </c>
      <c r="AQ101" s="252">
        <v>0</v>
      </c>
      <c r="AR101" s="245">
        <v>0</v>
      </c>
    </row>
    <row r="102" spans="1:44" x14ac:dyDescent="0.3">
      <c r="A102" s="221">
        <v>851</v>
      </c>
      <c r="B102" s="221" t="s">
        <v>101</v>
      </c>
      <c r="C102" s="221" t="s">
        <v>351</v>
      </c>
      <c r="D102" s="241">
        <v>20782258.300000001</v>
      </c>
      <c r="E102" s="242">
        <v>13407</v>
      </c>
      <c r="F102" s="242">
        <v>16206</v>
      </c>
      <c r="G102" s="243">
        <v>0.20877153725665698</v>
      </c>
      <c r="H102" s="244">
        <v>15398</v>
      </c>
      <c r="I102" s="242">
        <v>16773</v>
      </c>
      <c r="J102" s="242">
        <v>360</v>
      </c>
      <c r="K102" s="245">
        <v>50</v>
      </c>
      <c r="L102" s="244">
        <v>15212</v>
      </c>
      <c r="M102" s="242">
        <v>15299</v>
      </c>
      <c r="N102" s="246">
        <v>5.7191690700000002E-3</v>
      </c>
      <c r="O102" s="242">
        <v>15089</v>
      </c>
      <c r="P102" s="247">
        <v>-8.08572179E-3</v>
      </c>
      <c r="Q102" s="248">
        <v>87.2</v>
      </c>
      <c r="R102" s="249">
        <v>7.4</v>
      </c>
      <c r="S102" s="249">
        <v>1.4</v>
      </c>
      <c r="T102" s="250">
        <v>96</v>
      </c>
      <c r="U102" s="244">
        <v>0</v>
      </c>
      <c r="V102" s="242">
        <v>0</v>
      </c>
      <c r="W102" s="242">
        <v>420</v>
      </c>
      <c r="X102" s="242">
        <v>0</v>
      </c>
      <c r="Y102" s="242">
        <v>0</v>
      </c>
      <c r="Z102" s="242">
        <v>750</v>
      </c>
      <c r="AA102" s="242">
        <v>10613</v>
      </c>
      <c r="AB102" s="242">
        <v>2680</v>
      </c>
      <c r="AC102" s="242">
        <v>0</v>
      </c>
      <c r="AD102" s="245">
        <v>1110</v>
      </c>
      <c r="AE102" s="244">
        <v>0</v>
      </c>
      <c r="AF102" s="242">
        <v>0</v>
      </c>
      <c r="AG102" s="242">
        <v>0</v>
      </c>
      <c r="AH102" s="242">
        <v>420</v>
      </c>
      <c r="AI102" s="242">
        <v>1560</v>
      </c>
      <c r="AJ102" s="242">
        <v>7020</v>
      </c>
      <c r="AK102" s="242">
        <v>2725</v>
      </c>
      <c r="AL102" s="245">
        <v>3848</v>
      </c>
      <c r="AM102" s="251">
        <v>5595409.3333310001</v>
      </c>
      <c r="AN102" s="242">
        <v>1095</v>
      </c>
      <c r="AO102" s="252">
        <v>827315</v>
      </c>
      <c r="AP102" s="242">
        <v>245</v>
      </c>
      <c r="AQ102" s="252">
        <v>0</v>
      </c>
      <c r="AR102" s="245">
        <v>0</v>
      </c>
    </row>
    <row r="103" spans="1:44" x14ac:dyDescent="0.3">
      <c r="A103" s="221">
        <v>870</v>
      </c>
      <c r="B103" s="221" t="s">
        <v>102</v>
      </c>
      <c r="C103" s="221" t="s">
        <v>351</v>
      </c>
      <c r="D103" s="241">
        <v>52747485.810000002</v>
      </c>
      <c r="E103" s="242">
        <v>9934</v>
      </c>
      <c r="F103" s="242">
        <v>14117</v>
      </c>
      <c r="G103" s="243">
        <v>0.42107912220656329</v>
      </c>
      <c r="H103" s="244">
        <v>11349</v>
      </c>
      <c r="I103" s="242">
        <v>13664</v>
      </c>
      <c r="J103" s="242">
        <v>1656</v>
      </c>
      <c r="K103" s="245">
        <v>390</v>
      </c>
      <c r="L103" s="244">
        <v>12117</v>
      </c>
      <c r="M103" s="242">
        <v>12285</v>
      </c>
      <c r="N103" s="246">
        <v>1.3864818019999999E-2</v>
      </c>
      <c r="O103" s="242">
        <v>12280</v>
      </c>
      <c r="P103" s="247">
        <v>1.3452174630000001E-2</v>
      </c>
      <c r="Q103" s="248">
        <v>76.2</v>
      </c>
      <c r="R103" s="249">
        <v>10.5</v>
      </c>
      <c r="S103" s="249">
        <v>4.7</v>
      </c>
      <c r="T103" s="250">
        <v>91.4</v>
      </c>
      <c r="U103" s="244">
        <v>0</v>
      </c>
      <c r="V103" s="242">
        <v>522</v>
      </c>
      <c r="W103" s="242">
        <v>108</v>
      </c>
      <c r="X103" s="242">
        <v>30</v>
      </c>
      <c r="Y103" s="242">
        <v>0</v>
      </c>
      <c r="Z103" s="242">
        <v>1890</v>
      </c>
      <c r="AA103" s="242">
        <v>6958</v>
      </c>
      <c r="AB103" s="242">
        <v>2586</v>
      </c>
      <c r="AC103" s="242">
        <v>1350</v>
      </c>
      <c r="AD103" s="245">
        <v>0</v>
      </c>
      <c r="AE103" s="244">
        <v>78</v>
      </c>
      <c r="AF103" s="242">
        <v>462</v>
      </c>
      <c r="AG103" s="242">
        <v>120</v>
      </c>
      <c r="AH103" s="242">
        <v>0</v>
      </c>
      <c r="AI103" s="242">
        <v>1560</v>
      </c>
      <c r="AJ103" s="242">
        <v>7533</v>
      </c>
      <c r="AK103" s="242">
        <v>3361</v>
      </c>
      <c r="AL103" s="245">
        <v>330</v>
      </c>
      <c r="AM103" s="251">
        <v>60227089.222153001</v>
      </c>
      <c r="AN103" s="242">
        <v>1140</v>
      </c>
      <c r="AO103" s="252">
        <v>1337000</v>
      </c>
      <c r="AP103" s="242">
        <v>150</v>
      </c>
      <c r="AQ103" s="252">
        <v>0</v>
      </c>
      <c r="AR103" s="245">
        <v>0</v>
      </c>
    </row>
    <row r="104" spans="1:44" x14ac:dyDescent="0.3">
      <c r="A104" s="221">
        <v>317</v>
      </c>
      <c r="B104" s="221" t="s">
        <v>103</v>
      </c>
      <c r="C104" s="221" t="s">
        <v>345</v>
      </c>
      <c r="D104" s="241">
        <v>179718160.49000001</v>
      </c>
      <c r="E104" s="242">
        <v>23439</v>
      </c>
      <c r="F104" s="242">
        <v>30383</v>
      </c>
      <c r="G104" s="243">
        <v>0.29625837279747436</v>
      </c>
      <c r="H104" s="244">
        <v>24069</v>
      </c>
      <c r="I104" s="242">
        <v>29849</v>
      </c>
      <c r="J104" s="242">
        <v>2730</v>
      </c>
      <c r="K104" s="245">
        <v>0</v>
      </c>
      <c r="L104" s="244">
        <v>27515</v>
      </c>
      <c r="M104" s="242">
        <v>27672</v>
      </c>
      <c r="N104" s="246">
        <v>5.70597855E-3</v>
      </c>
      <c r="O104" s="242">
        <v>28746</v>
      </c>
      <c r="P104" s="247">
        <v>4.4739233140000001E-2</v>
      </c>
      <c r="Q104" s="248">
        <v>85.7</v>
      </c>
      <c r="R104" s="249">
        <v>7</v>
      </c>
      <c r="S104" s="249">
        <v>2.2999999999999998</v>
      </c>
      <c r="T104" s="250">
        <v>94.9</v>
      </c>
      <c r="U104" s="244">
        <v>30</v>
      </c>
      <c r="V104" s="242">
        <v>473</v>
      </c>
      <c r="W104" s="242">
        <v>0</v>
      </c>
      <c r="X104" s="242">
        <v>0</v>
      </c>
      <c r="Y104" s="242">
        <v>0</v>
      </c>
      <c r="Z104" s="242">
        <v>7801</v>
      </c>
      <c r="AA104" s="242">
        <v>18875</v>
      </c>
      <c r="AB104" s="242">
        <v>2250</v>
      </c>
      <c r="AC104" s="242">
        <v>0</v>
      </c>
      <c r="AD104" s="245">
        <v>0</v>
      </c>
      <c r="AE104" s="244">
        <v>30</v>
      </c>
      <c r="AF104" s="242">
        <v>251</v>
      </c>
      <c r="AG104" s="242">
        <v>222</v>
      </c>
      <c r="AH104" s="242">
        <v>0</v>
      </c>
      <c r="AI104" s="242">
        <v>12198</v>
      </c>
      <c r="AJ104" s="242">
        <v>11179</v>
      </c>
      <c r="AK104" s="242">
        <v>1908</v>
      </c>
      <c r="AL104" s="245">
        <v>3641</v>
      </c>
      <c r="AM104" s="251">
        <v>27088285</v>
      </c>
      <c r="AN104" s="242">
        <v>2340</v>
      </c>
      <c r="AO104" s="252">
        <v>1865610</v>
      </c>
      <c r="AP104" s="242">
        <v>527</v>
      </c>
      <c r="AQ104" s="252">
        <v>21637080</v>
      </c>
      <c r="AR104" s="245">
        <v>1783</v>
      </c>
    </row>
    <row r="105" spans="1:44" x14ac:dyDescent="0.3">
      <c r="A105" s="221">
        <v>807</v>
      </c>
      <c r="B105" s="221" t="s">
        <v>104</v>
      </c>
      <c r="C105" s="221" t="s">
        <v>352</v>
      </c>
      <c r="D105" s="241">
        <v>3407470.86</v>
      </c>
      <c r="E105" s="242">
        <v>10437</v>
      </c>
      <c r="F105" s="242">
        <v>11084</v>
      </c>
      <c r="G105" s="243">
        <v>6.1990993580530729E-2</v>
      </c>
      <c r="H105" s="244">
        <v>12286</v>
      </c>
      <c r="I105" s="242">
        <v>12559</v>
      </c>
      <c r="J105" s="242">
        <v>74</v>
      </c>
      <c r="K105" s="245">
        <v>0</v>
      </c>
      <c r="L105" s="244">
        <v>10841</v>
      </c>
      <c r="M105" s="242">
        <v>10447</v>
      </c>
      <c r="N105" s="246">
        <v>-3.6343510740000001E-2</v>
      </c>
      <c r="O105" s="242">
        <v>10636</v>
      </c>
      <c r="P105" s="247">
        <v>-1.8909694670000001E-2</v>
      </c>
      <c r="Q105" s="248">
        <v>94.8</v>
      </c>
      <c r="R105" s="249">
        <v>2.2999999999999998</v>
      </c>
      <c r="S105" s="249">
        <v>0.4</v>
      </c>
      <c r="T105" s="250">
        <v>97.5</v>
      </c>
      <c r="U105" s="244">
        <v>0</v>
      </c>
      <c r="V105" s="242">
        <v>0</v>
      </c>
      <c r="W105" s="242">
        <v>0</v>
      </c>
      <c r="X105" s="242">
        <v>0</v>
      </c>
      <c r="Y105" s="242">
        <v>0</v>
      </c>
      <c r="Z105" s="242">
        <v>2450</v>
      </c>
      <c r="AA105" s="242">
        <v>8155</v>
      </c>
      <c r="AB105" s="242">
        <v>1954</v>
      </c>
      <c r="AC105" s="242">
        <v>0</v>
      </c>
      <c r="AD105" s="245">
        <v>0</v>
      </c>
      <c r="AE105" s="244">
        <v>0</v>
      </c>
      <c r="AF105" s="242">
        <v>0</v>
      </c>
      <c r="AG105" s="242">
        <v>0</v>
      </c>
      <c r="AH105" s="242">
        <v>0</v>
      </c>
      <c r="AI105" s="242">
        <v>7081</v>
      </c>
      <c r="AJ105" s="242">
        <v>5163</v>
      </c>
      <c r="AK105" s="242">
        <v>315</v>
      </c>
      <c r="AL105" s="245">
        <v>0</v>
      </c>
      <c r="AM105" s="251">
        <v>127871</v>
      </c>
      <c r="AN105" s="242">
        <v>20</v>
      </c>
      <c r="AO105" s="252">
        <v>0</v>
      </c>
      <c r="AP105" s="242">
        <v>0</v>
      </c>
      <c r="AQ105" s="252">
        <v>73584.220774000001</v>
      </c>
      <c r="AR105" s="245">
        <v>26</v>
      </c>
    </row>
    <row r="106" spans="1:44" x14ac:dyDescent="0.3">
      <c r="A106" s="221">
        <v>318</v>
      </c>
      <c r="B106" s="221" t="s">
        <v>105</v>
      </c>
      <c r="C106" s="221" t="s">
        <v>345</v>
      </c>
      <c r="D106" s="241">
        <v>45873037.07</v>
      </c>
      <c r="E106" s="242">
        <v>13084</v>
      </c>
      <c r="F106" s="242">
        <v>17159</v>
      </c>
      <c r="G106" s="243">
        <v>0.31144909813512678</v>
      </c>
      <c r="H106" s="244">
        <v>13596</v>
      </c>
      <c r="I106" s="242">
        <v>17604</v>
      </c>
      <c r="J106" s="242">
        <v>510</v>
      </c>
      <c r="K106" s="245">
        <v>30</v>
      </c>
      <c r="L106" s="244">
        <v>15705</v>
      </c>
      <c r="M106" s="242">
        <v>15981</v>
      </c>
      <c r="N106" s="246">
        <v>1.757402101E-2</v>
      </c>
      <c r="O106" s="242">
        <v>15383</v>
      </c>
      <c r="P106" s="247">
        <v>-2.0503024509999999E-2</v>
      </c>
      <c r="Q106" s="248">
        <v>81.099999999999994</v>
      </c>
      <c r="R106" s="249">
        <v>6.8</v>
      </c>
      <c r="S106" s="249">
        <v>2.6</v>
      </c>
      <c r="T106" s="250">
        <v>90.5</v>
      </c>
      <c r="U106" s="244">
        <v>321</v>
      </c>
      <c r="V106" s="242">
        <v>274</v>
      </c>
      <c r="W106" s="242">
        <v>0</v>
      </c>
      <c r="X106" s="242">
        <v>0</v>
      </c>
      <c r="Y106" s="242">
        <v>0</v>
      </c>
      <c r="Z106" s="242">
        <v>7884</v>
      </c>
      <c r="AA106" s="242">
        <v>6749</v>
      </c>
      <c r="AB106" s="242">
        <v>1200</v>
      </c>
      <c r="AC106" s="242">
        <v>0</v>
      </c>
      <c r="AD106" s="245">
        <v>0</v>
      </c>
      <c r="AE106" s="244">
        <v>388</v>
      </c>
      <c r="AF106" s="242">
        <v>172</v>
      </c>
      <c r="AG106" s="242">
        <v>35</v>
      </c>
      <c r="AH106" s="242">
        <v>0</v>
      </c>
      <c r="AI106" s="242">
        <v>7645</v>
      </c>
      <c r="AJ106" s="242">
        <v>4618</v>
      </c>
      <c r="AK106" s="242">
        <v>1470</v>
      </c>
      <c r="AL106" s="245">
        <v>2100</v>
      </c>
      <c r="AM106" s="251">
        <v>58372174</v>
      </c>
      <c r="AN106" s="242">
        <v>3359</v>
      </c>
      <c r="AO106" s="252">
        <v>1982846.14</v>
      </c>
      <c r="AP106" s="242">
        <v>360</v>
      </c>
      <c r="AQ106" s="252">
        <v>2870650</v>
      </c>
      <c r="AR106" s="245">
        <v>210</v>
      </c>
    </row>
    <row r="107" spans="1:44" x14ac:dyDescent="0.3">
      <c r="A107" s="221">
        <v>354</v>
      </c>
      <c r="B107" s="221" t="s">
        <v>106</v>
      </c>
      <c r="C107" s="221" t="s">
        <v>350</v>
      </c>
      <c r="D107" s="241">
        <v>34602030.880000003</v>
      </c>
      <c r="E107" s="242">
        <v>17867</v>
      </c>
      <c r="F107" s="242">
        <v>21184</v>
      </c>
      <c r="G107" s="243">
        <v>0.18564952146415181</v>
      </c>
      <c r="H107" s="244">
        <v>19159</v>
      </c>
      <c r="I107" s="242">
        <v>21214</v>
      </c>
      <c r="J107" s="242">
        <v>435</v>
      </c>
      <c r="K107" s="245">
        <v>330</v>
      </c>
      <c r="L107" s="244">
        <v>19736</v>
      </c>
      <c r="M107" s="242">
        <v>19687</v>
      </c>
      <c r="N107" s="246">
        <v>-2.4827725900000001E-3</v>
      </c>
      <c r="O107" s="242">
        <v>19685</v>
      </c>
      <c r="P107" s="247">
        <v>-2.58411025E-3</v>
      </c>
      <c r="Q107" s="248">
        <v>88.8</v>
      </c>
      <c r="R107" s="249">
        <v>4.9000000000000004</v>
      </c>
      <c r="S107" s="249">
        <v>2.2000000000000002</v>
      </c>
      <c r="T107" s="250">
        <v>96</v>
      </c>
      <c r="U107" s="244">
        <v>120</v>
      </c>
      <c r="V107" s="242">
        <v>629</v>
      </c>
      <c r="W107" s="242">
        <v>173</v>
      </c>
      <c r="X107" s="242">
        <v>0</v>
      </c>
      <c r="Y107" s="242">
        <v>0</v>
      </c>
      <c r="Z107" s="242">
        <v>4779</v>
      </c>
      <c r="AA107" s="242">
        <v>11573</v>
      </c>
      <c r="AB107" s="242">
        <v>3206</v>
      </c>
      <c r="AC107" s="242">
        <v>0</v>
      </c>
      <c r="AD107" s="245">
        <v>0</v>
      </c>
      <c r="AE107" s="244">
        <v>479</v>
      </c>
      <c r="AF107" s="242">
        <v>321</v>
      </c>
      <c r="AG107" s="242">
        <v>122</v>
      </c>
      <c r="AH107" s="242">
        <v>0</v>
      </c>
      <c r="AI107" s="242">
        <v>7741</v>
      </c>
      <c r="AJ107" s="242">
        <v>9908</v>
      </c>
      <c r="AK107" s="242">
        <v>1909</v>
      </c>
      <c r="AL107" s="245">
        <v>0</v>
      </c>
      <c r="AM107" s="251">
        <v>5929000</v>
      </c>
      <c r="AN107" s="242">
        <v>970</v>
      </c>
      <c r="AO107" s="252">
        <v>4501586</v>
      </c>
      <c r="AP107" s="242">
        <v>685</v>
      </c>
      <c r="AQ107" s="252">
        <v>143750</v>
      </c>
      <c r="AR107" s="245">
        <v>105</v>
      </c>
    </row>
    <row r="108" spans="1:44" x14ac:dyDescent="0.3">
      <c r="A108" s="221">
        <v>372</v>
      </c>
      <c r="B108" s="221" t="s">
        <v>107</v>
      </c>
      <c r="C108" s="221" t="s">
        <v>346</v>
      </c>
      <c r="D108" s="241">
        <v>21591838.600000001</v>
      </c>
      <c r="E108" s="242">
        <v>20528</v>
      </c>
      <c r="F108" s="242">
        <v>23406</v>
      </c>
      <c r="G108" s="243">
        <v>0.14019875292283701</v>
      </c>
      <c r="H108" s="244">
        <v>22904</v>
      </c>
      <c r="I108" s="242">
        <v>24577</v>
      </c>
      <c r="J108" s="242">
        <v>682</v>
      </c>
      <c r="K108" s="245">
        <v>70</v>
      </c>
      <c r="L108" s="244">
        <v>22435</v>
      </c>
      <c r="M108" s="242">
        <v>22421</v>
      </c>
      <c r="N108" s="246">
        <v>-6.2402496E-4</v>
      </c>
      <c r="O108" s="242">
        <v>21850</v>
      </c>
      <c r="P108" s="247">
        <v>-2.6075328719999999E-2</v>
      </c>
      <c r="Q108" s="248">
        <v>94.1</v>
      </c>
      <c r="R108" s="249">
        <v>3.9</v>
      </c>
      <c r="S108" s="249">
        <v>0.6</v>
      </c>
      <c r="T108" s="250">
        <v>98.6</v>
      </c>
      <c r="U108" s="244">
        <v>45</v>
      </c>
      <c r="V108" s="242">
        <v>310</v>
      </c>
      <c r="W108" s="242">
        <v>111</v>
      </c>
      <c r="X108" s="242">
        <v>0</v>
      </c>
      <c r="Y108" s="242">
        <v>30</v>
      </c>
      <c r="Z108" s="242">
        <v>2196</v>
      </c>
      <c r="AA108" s="242">
        <v>13623</v>
      </c>
      <c r="AB108" s="242">
        <v>5145</v>
      </c>
      <c r="AC108" s="242">
        <v>420</v>
      </c>
      <c r="AD108" s="245">
        <v>878</v>
      </c>
      <c r="AE108" s="244">
        <v>0</v>
      </c>
      <c r="AF108" s="242">
        <v>259</v>
      </c>
      <c r="AG108" s="242">
        <v>192</v>
      </c>
      <c r="AH108" s="242">
        <v>45</v>
      </c>
      <c r="AI108" s="242">
        <v>3968</v>
      </c>
      <c r="AJ108" s="242">
        <v>10786</v>
      </c>
      <c r="AK108" s="242">
        <v>5459</v>
      </c>
      <c r="AL108" s="245">
        <v>2049</v>
      </c>
      <c r="AM108" s="251">
        <v>8664000</v>
      </c>
      <c r="AN108" s="242">
        <v>851</v>
      </c>
      <c r="AO108" s="252">
        <v>1070000</v>
      </c>
      <c r="AP108" s="242">
        <v>195</v>
      </c>
      <c r="AQ108" s="252">
        <v>0</v>
      </c>
      <c r="AR108" s="245">
        <v>0</v>
      </c>
    </row>
    <row r="109" spans="1:44" x14ac:dyDescent="0.3">
      <c r="A109" s="221">
        <v>857</v>
      </c>
      <c r="B109" s="221" t="s">
        <v>108</v>
      </c>
      <c r="C109" s="221" t="s">
        <v>353</v>
      </c>
      <c r="D109" s="241">
        <v>4283834.41</v>
      </c>
      <c r="E109" s="242">
        <v>2485</v>
      </c>
      <c r="F109" s="242">
        <v>2920</v>
      </c>
      <c r="G109" s="243">
        <v>0.17505030181086512</v>
      </c>
      <c r="H109" s="244">
        <v>3227</v>
      </c>
      <c r="I109" s="242">
        <v>3221</v>
      </c>
      <c r="J109" s="242">
        <v>120</v>
      </c>
      <c r="K109" s="245">
        <v>0</v>
      </c>
      <c r="L109" s="244">
        <v>2721</v>
      </c>
      <c r="M109" s="242">
        <v>2821</v>
      </c>
      <c r="N109" s="246">
        <v>3.675119441E-2</v>
      </c>
      <c r="O109" s="242">
        <v>2876</v>
      </c>
      <c r="P109" s="247">
        <v>5.6964351339999997E-2</v>
      </c>
      <c r="Q109" s="248">
        <v>92.1</v>
      </c>
      <c r="R109" s="249">
        <v>4.4000000000000004</v>
      </c>
      <c r="S109" s="249">
        <v>1.6</v>
      </c>
      <c r="T109" s="250">
        <v>98.1</v>
      </c>
      <c r="U109" s="244">
        <v>35</v>
      </c>
      <c r="V109" s="242">
        <v>56</v>
      </c>
      <c r="W109" s="242">
        <v>150</v>
      </c>
      <c r="X109" s="242">
        <v>0</v>
      </c>
      <c r="Y109" s="242">
        <v>0</v>
      </c>
      <c r="Z109" s="242">
        <v>568</v>
      </c>
      <c r="AA109" s="242">
        <v>1744</v>
      </c>
      <c r="AB109" s="242">
        <v>472</v>
      </c>
      <c r="AC109" s="242">
        <v>0</v>
      </c>
      <c r="AD109" s="245">
        <v>0</v>
      </c>
      <c r="AE109" s="244">
        <v>0</v>
      </c>
      <c r="AF109" s="242">
        <v>206</v>
      </c>
      <c r="AG109" s="242">
        <v>35</v>
      </c>
      <c r="AH109" s="242">
        <v>0</v>
      </c>
      <c r="AI109" s="242">
        <v>126</v>
      </c>
      <c r="AJ109" s="242">
        <v>1766</v>
      </c>
      <c r="AK109" s="242">
        <v>735</v>
      </c>
      <c r="AL109" s="245">
        <v>157</v>
      </c>
      <c r="AM109" s="251">
        <v>1434000</v>
      </c>
      <c r="AN109" s="242">
        <v>210</v>
      </c>
      <c r="AO109" s="252">
        <v>0</v>
      </c>
      <c r="AP109" s="242">
        <v>0</v>
      </c>
      <c r="AQ109" s="252">
        <v>6586875</v>
      </c>
      <c r="AR109" s="245">
        <v>300</v>
      </c>
    </row>
    <row r="110" spans="1:44" x14ac:dyDescent="0.3">
      <c r="A110" s="221">
        <v>355</v>
      </c>
      <c r="B110" s="221" t="s">
        <v>109</v>
      </c>
      <c r="C110" s="221" t="s">
        <v>350</v>
      </c>
      <c r="D110" s="241">
        <v>48479140.18</v>
      </c>
      <c r="E110" s="242">
        <v>16730</v>
      </c>
      <c r="F110" s="242">
        <v>21764</v>
      </c>
      <c r="G110" s="243">
        <v>0.30089659294680215</v>
      </c>
      <c r="H110" s="244">
        <v>19017</v>
      </c>
      <c r="I110" s="242">
        <v>21781</v>
      </c>
      <c r="J110" s="242">
        <v>1461</v>
      </c>
      <c r="K110" s="245">
        <v>300</v>
      </c>
      <c r="L110" s="244">
        <v>19939</v>
      </c>
      <c r="M110" s="242">
        <v>19908</v>
      </c>
      <c r="N110" s="246">
        <v>-1.55474196E-3</v>
      </c>
      <c r="O110" s="242">
        <v>19857</v>
      </c>
      <c r="P110" s="247">
        <v>-4.1125432499999996E-3</v>
      </c>
      <c r="Q110" s="248">
        <v>84.8</v>
      </c>
      <c r="R110" s="249">
        <v>5.6</v>
      </c>
      <c r="S110" s="249">
        <v>1.9</v>
      </c>
      <c r="T110" s="250">
        <v>92.3</v>
      </c>
      <c r="U110" s="244">
        <v>0</v>
      </c>
      <c r="V110" s="242">
        <v>705</v>
      </c>
      <c r="W110" s="242">
        <v>0</v>
      </c>
      <c r="X110" s="242">
        <v>0</v>
      </c>
      <c r="Y110" s="242">
        <v>0</v>
      </c>
      <c r="Z110" s="242">
        <v>2835</v>
      </c>
      <c r="AA110" s="242">
        <v>14587</v>
      </c>
      <c r="AB110" s="242">
        <v>3654</v>
      </c>
      <c r="AC110" s="242">
        <v>0</v>
      </c>
      <c r="AD110" s="245">
        <v>0</v>
      </c>
      <c r="AE110" s="244">
        <v>150</v>
      </c>
      <c r="AF110" s="242">
        <v>525</v>
      </c>
      <c r="AG110" s="242">
        <v>30</v>
      </c>
      <c r="AH110" s="242">
        <v>0</v>
      </c>
      <c r="AI110" s="242">
        <v>4085</v>
      </c>
      <c r="AJ110" s="242">
        <v>13151</v>
      </c>
      <c r="AK110" s="242">
        <v>3570</v>
      </c>
      <c r="AL110" s="245">
        <v>270</v>
      </c>
      <c r="AM110" s="251">
        <v>16380740.666649999</v>
      </c>
      <c r="AN110" s="242">
        <v>2580</v>
      </c>
      <c r="AO110" s="252">
        <v>2916080</v>
      </c>
      <c r="AP110" s="242">
        <v>780</v>
      </c>
      <c r="AQ110" s="252">
        <v>0</v>
      </c>
      <c r="AR110" s="245">
        <v>0</v>
      </c>
    </row>
    <row r="111" spans="1:44" x14ac:dyDescent="0.3">
      <c r="A111" s="221">
        <v>333</v>
      </c>
      <c r="B111" s="221" t="s">
        <v>110</v>
      </c>
      <c r="C111" s="221" t="s">
        <v>349</v>
      </c>
      <c r="D111" s="241">
        <v>80736271.629999995</v>
      </c>
      <c r="E111" s="242">
        <v>26288</v>
      </c>
      <c r="F111" s="242">
        <v>33350</v>
      </c>
      <c r="G111" s="243">
        <v>0.26863968350578205</v>
      </c>
      <c r="H111" s="244">
        <v>29252</v>
      </c>
      <c r="I111" s="242">
        <v>32253</v>
      </c>
      <c r="J111" s="242">
        <v>1541</v>
      </c>
      <c r="K111" s="245">
        <v>420</v>
      </c>
      <c r="L111" s="244">
        <v>30439</v>
      </c>
      <c r="M111" s="242">
        <v>30386</v>
      </c>
      <c r="N111" s="246">
        <v>-1.7411872900000001E-3</v>
      </c>
      <c r="O111" s="242">
        <v>29938</v>
      </c>
      <c r="P111" s="247">
        <v>-1.6459147800000001E-2</v>
      </c>
      <c r="Q111" s="248">
        <v>90.8</v>
      </c>
      <c r="R111" s="249">
        <v>4.5999999999999996</v>
      </c>
      <c r="S111" s="249">
        <v>1.5</v>
      </c>
      <c r="T111" s="250">
        <v>96.8</v>
      </c>
      <c r="U111" s="244">
        <v>90</v>
      </c>
      <c r="V111" s="242">
        <v>666</v>
      </c>
      <c r="W111" s="242">
        <v>30</v>
      </c>
      <c r="X111" s="242">
        <v>31</v>
      </c>
      <c r="Y111" s="242">
        <v>0</v>
      </c>
      <c r="Z111" s="242">
        <v>5272</v>
      </c>
      <c r="AA111" s="242">
        <v>20705</v>
      </c>
      <c r="AB111" s="242">
        <v>4922</v>
      </c>
      <c r="AC111" s="242">
        <v>330</v>
      </c>
      <c r="AD111" s="245">
        <v>0</v>
      </c>
      <c r="AE111" s="244">
        <v>459</v>
      </c>
      <c r="AF111" s="242">
        <v>208</v>
      </c>
      <c r="AG111" s="242">
        <v>30</v>
      </c>
      <c r="AH111" s="242">
        <v>120</v>
      </c>
      <c r="AI111" s="242">
        <v>8988</v>
      </c>
      <c r="AJ111" s="242">
        <v>14769</v>
      </c>
      <c r="AK111" s="242">
        <v>5524</v>
      </c>
      <c r="AL111" s="245">
        <v>1948</v>
      </c>
      <c r="AM111" s="251">
        <v>24293666.666655</v>
      </c>
      <c r="AN111" s="242">
        <v>2520</v>
      </c>
      <c r="AO111" s="252">
        <v>3443000</v>
      </c>
      <c r="AP111" s="242">
        <v>450</v>
      </c>
      <c r="AQ111" s="252">
        <v>4968000</v>
      </c>
      <c r="AR111" s="245">
        <v>315</v>
      </c>
    </row>
    <row r="112" spans="1:44" x14ac:dyDescent="0.3">
      <c r="A112" s="221">
        <v>343</v>
      </c>
      <c r="B112" s="221" t="s">
        <v>111</v>
      </c>
      <c r="C112" s="221" t="s">
        <v>350</v>
      </c>
      <c r="D112" s="241">
        <v>6976748.3499999996</v>
      </c>
      <c r="E112" s="242">
        <v>19725</v>
      </c>
      <c r="F112" s="242">
        <v>20503</v>
      </c>
      <c r="G112" s="243">
        <v>3.9442332065906305E-2</v>
      </c>
      <c r="H112" s="244">
        <v>22323</v>
      </c>
      <c r="I112" s="242">
        <v>21888</v>
      </c>
      <c r="J112" s="242">
        <v>195</v>
      </c>
      <c r="K112" s="245">
        <v>20</v>
      </c>
      <c r="L112" s="244">
        <v>20215</v>
      </c>
      <c r="M112" s="242">
        <v>20046</v>
      </c>
      <c r="N112" s="246">
        <v>-8.3601286099999998E-3</v>
      </c>
      <c r="O112" s="242">
        <v>20173</v>
      </c>
      <c r="P112" s="247">
        <v>-2.0776650999999998E-3</v>
      </c>
      <c r="Q112" s="248">
        <v>89.5</v>
      </c>
      <c r="R112" s="249">
        <v>5.9</v>
      </c>
      <c r="S112" s="249">
        <v>1.2</v>
      </c>
      <c r="T112" s="250">
        <v>96.7</v>
      </c>
      <c r="U112" s="244">
        <v>0</v>
      </c>
      <c r="V112" s="242">
        <v>48</v>
      </c>
      <c r="W112" s="242">
        <v>73</v>
      </c>
      <c r="X112" s="242">
        <v>0</v>
      </c>
      <c r="Y112" s="242">
        <v>0</v>
      </c>
      <c r="Z112" s="242">
        <v>3350</v>
      </c>
      <c r="AA112" s="242">
        <v>14825</v>
      </c>
      <c r="AB112" s="242">
        <v>3592</v>
      </c>
      <c r="AC112" s="242">
        <v>0</v>
      </c>
      <c r="AD112" s="245">
        <v>0</v>
      </c>
      <c r="AE112" s="244">
        <v>0</v>
      </c>
      <c r="AF112" s="242">
        <v>48</v>
      </c>
      <c r="AG112" s="242">
        <v>73</v>
      </c>
      <c r="AH112" s="242">
        <v>0</v>
      </c>
      <c r="AI112" s="242">
        <v>3925</v>
      </c>
      <c r="AJ112" s="242">
        <v>13498</v>
      </c>
      <c r="AK112" s="242">
        <v>3429</v>
      </c>
      <c r="AL112" s="245">
        <v>915</v>
      </c>
      <c r="AM112" s="251">
        <v>1274980</v>
      </c>
      <c r="AN112" s="242">
        <v>105</v>
      </c>
      <c r="AO112" s="252">
        <v>0</v>
      </c>
      <c r="AP112" s="242">
        <v>0</v>
      </c>
      <c r="AQ112" s="252">
        <v>0</v>
      </c>
      <c r="AR112" s="245">
        <v>0</v>
      </c>
    </row>
    <row r="113" spans="1:44" x14ac:dyDescent="0.3">
      <c r="A113" s="221">
        <v>373</v>
      </c>
      <c r="B113" s="221" t="s">
        <v>112</v>
      </c>
      <c r="C113" s="221" t="s">
        <v>346</v>
      </c>
      <c r="D113" s="241">
        <v>101285039.16</v>
      </c>
      <c r="E113" s="242">
        <v>38284</v>
      </c>
      <c r="F113" s="242">
        <v>45724</v>
      </c>
      <c r="G113" s="243">
        <v>0.19433705986835226</v>
      </c>
      <c r="H113" s="244">
        <v>43057</v>
      </c>
      <c r="I113" s="242">
        <v>46607</v>
      </c>
      <c r="J113" s="242">
        <v>939</v>
      </c>
      <c r="K113" s="245">
        <v>1040</v>
      </c>
      <c r="L113" s="244">
        <v>42816</v>
      </c>
      <c r="M113" s="242">
        <v>43292</v>
      </c>
      <c r="N113" s="246">
        <v>1.111733931E-2</v>
      </c>
      <c r="O113" s="242">
        <v>43362</v>
      </c>
      <c r="P113" s="247">
        <v>1.2752242150000001E-2</v>
      </c>
      <c r="Q113" s="248">
        <v>89.9</v>
      </c>
      <c r="R113" s="249">
        <v>5.9</v>
      </c>
      <c r="S113" s="249">
        <v>1.2</v>
      </c>
      <c r="T113" s="250">
        <v>97</v>
      </c>
      <c r="U113" s="244">
        <v>15</v>
      </c>
      <c r="V113" s="242">
        <v>381</v>
      </c>
      <c r="W113" s="242">
        <v>90</v>
      </c>
      <c r="X113" s="242">
        <v>0</v>
      </c>
      <c r="Y113" s="242">
        <v>0</v>
      </c>
      <c r="Z113" s="242">
        <v>4382</v>
      </c>
      <c r="AA113" s="242">
        <v>26179</v>
      </c>
      <c r="AB113" s="242">
        <v>10677</v>
      </c>
      <c r="AC113" s="242">
        <v>1340</v>
      </c>
      <c r="AD113" s="245">
        <v>0</v>
      </c>
      <c r="AE113" s="244">
        <v>285</v>
      </c>
      <c r="AF113" s="242">
        <v>15</v>
      </c>
      <c r="AG113" s="242">
        <v>186</v>
      </c>
      <c r="AH113" s="242">
        <v>0</v>
      </c>
      <c r="AI113" s="242">
        <v>11994</v>
      </c>
      <c r="AJ113" s="242">
        <v>17243</v>
      </c>
      <c r="AK113" s="242">
        <v>9666</v>
      </c>
      <c r="AL113" s="245">
        <v>3675</v>
      </c>
      <c r="AM113" s="251">
        <v>14761000</v>
      </c>
      <c r="AN113" s="242">
        <v>1540</v>
      </c>
      <c r="AO113" s="252">
        <v>3915253</v>
      </c>
      <c r="AP113" s="242">
        <v>701</v>
      </c>
      <c r="AQ113" s="252">
        <v>11341518</v>
      </c>
      <c r="AR113" s="245">
        <v>840</v>
      </c>
    </row>
    <row r="114" spans="1:44" x14ac:dyDescent="0.3">
      <c r="A114" s="221">
        <v>893</v>
      </c>
      <c r="B114" s="221" t="s">
        <v>113</v>
      </c>
      <c r="C114" s="221" t="s">
        <v>349</v>
      </c>
      <c r="D114" s="241">
        <v>10307165.870000001</v>
      </c>
      <c r="E114" s="242">
        <v>19674</v>
      </c>
      <c r="F114" s="242">
        <v>20480</v>
      </c>
      <c r="G114" s="243">
        <v>4.0967774728067452E-2</v>
      </c>
      <c r="H114" s="244">
        <v>25145</v>
      </c>
      <c r="I114" s="242">
        <v>23232</v>
      </c>
      <c r="J114" s="242">
        <v>180</v>
      </c>
      <c r="K114" s="245">
        <v>20</v>
      </c>
      <c r="L114" s="244">
        <v>20064</v>
      </c>
      <c r="M114" s="242">
        <v>20221</v>
      </c>
      <c r="N114" s="246">
        <v>7.8249601200000001E-3</v>
      </c>
      <c r="O114" s="242">
        <v>20083</v>
      </c>
      <c r="P114" s="247">
        <v>9.4696969000000004E-4</v>
      </c>
      <c r="Q114" s="248">
        <v>93.4</v>
      </c>
      <c r="R114" s="249">
        <v>3.6</v>
      </c>
      <c r="S114" s="249">
        <v>0.8</v>
      </c>
      <c r="T114" s="250">
        <v>97.8</v>
      </c>
      <c r="U114" s="244">
        <v>0</v>
      </c>
      <c r="V114" s="242">
        <v>0</v>
      </c>
      <c r="W114" s="242">
        <v>0</v>
      </c>
      <c r="X114" s="242">
        <v>0</v>
      </c>
      <c r="Y114" s="242">
        <v>0</v>
      </c>
      <c r="Z114" s="242">
        <v>1971</v>
      </c>
      <c r="AA114" s="242">
        <v>16522</v>
      </c>
      <c r="AB114" s="242">
        <v>3885</v>
      </c>
      <c r="AC114" s="242">
        <v>294</v>
      </c>
      <c r="AD114" s="245">
        <v>0</v>
      </c>
      <c r="AE114" s="244">
        <v>0</v>
      </c>
      <c r="AF114" s="242">
        <v>0</v>
      </c>
      <c r="AG114" s="242">
        <v>0</v>
      </c>
      <c r="AH114" s="242">
        <v>0</v>
      </c>
      <c r="AI114" s="242">
        <v>3668</v>
      </c>
      <c r="AJ114" s="242">
        <v>11552</v>
      </c>
      <c r="AK114" s="242">
        <v>5316</v>
      </c>
      <c r="AL114" s="245">
        <v>2136</v>
      </c>
      <c r="AM114" s="251">
        <v>3931854.2168549998</v>
      </c>
      <c r="AN114" s="242">
        <v>317</v>
      </c>
      <c r="AO114" s="252">
        <v>0</v>
      </c>
      <c r="AP114" s="242">
        <v>0</v>
      </c>
      <c r="AQ114" s="252">
        <v>561267.58333000005</v>
      </c>
      <c r="AR114" s="245">
        <v>49</v>
      </c>
    </row>
    <row r="115" spans="1:44" x14ac:dyDescent="0.3">
      <c r="A115" s="221">
        <v>871</v>
      </c>
      <c r="B115" s="221" t="s">
        <v>114</v>
      </c>
      <c r="C115" s="221" t="s">
        <v>351</v>
      </c>
      <c r="D115" s="241">
        <v>75672437.340000004</v>
      </c>
      <c r="E115" s="242">
        <v>11528</v>
      </c>
      <c r="F115" s="242">
        <v>17005</v>
      </c>
      <c r="G115" s="243">
        <v>0.47510409437890355</v>
      </c>
      <c r="H115" s="244">
        <v>11909</v>
      </c>
      <c r="I115" s="242">
        <v>16174</v>
      </c>
      <c r="J115" s="242">
        <v>1170</v>
      </c>
      <c r="K115" s="245">
        <v>50</v>
      </c>
      <c r="L115" s="244">
        <v>15191</v>
      </c>
      <c r="M115" s="242">
        <v>15149</v>
      </c>
      <c r="N115" s="246">
        <v>-2.7647949399999998E-3</v>
      </c>
      <c r="O115" s="242">
        <v>15307</v>
      </c>
      <c r="P115" s="247">
        <v>7.6361003200000003E-3</v>
      </c>
      <c r="Q115" s="248">
        <v>85.8</v>
      </c>
      <c r="R115" s="249">
        <v>8.6</v>
      </c>
      <c r="S115" s="249">
        <v>2.4</v>
      </c>
      <c r="T115" s="250">
        <v>96.8</v>
      </c>
      <c r="U115" s="244">
        <v>0</v>
      </c>
      <c r="V115" s="242">
        <v>342</v>
      </c>
      <c r="W115" s="242">
        <v>60</v>
      </c>
      <c r="X115" s="242">
        <v>0</v>
      </c>
      <c r="Y115" s="242">
        <v>0</v>
      </c>
      <c r="Z115" s="242">
        <v>2325</v>
      </c>
      <c r="AA115" s="242">
        <v>6890</v>
      </c>
      <c r="AB115" s="242">
        <v>2217</v>
      </c>
      <c r="AC115" s="242">
        <v>1062</v>
      </c>
      <c r="AD115" s="245">
        <v>0</v>
      </c>
      <c r="AE115" s="244">
        <v>102</v>
      </c>
      <c r="AF115" s="242">
        <v>60</v>
      </c>
      <c r="AG115" s="242">
        <v>240</v>
      </c>
      <c r="AH115" s="242">
        <v>0</v>
      </c>
      <c r="AI115" s="242">
        <v>4996</v>
      </c>
      <c r="AJ115" s="242">
        <v>2990</v>
      </c>
      <c r="AK115" s="242">
        <v>3623</v>
      </c>
      <c r="AL115" s="245">
        <v>885</v>
      </c>
      <c r="AM115" s="251">
        <v>26176000</v>
      </c>
      <c r="AN115" s="242">
        <v>3052</v>
      </c>
      <c r="AO115" s="252">
        <v>590000</v>
      </c>
      <c r="AP115" s="242">
        <v>120</v>
      </c>
      <c r="AQ115" s="252">
        <v>7650000</v>
      </c>
      <c r="AR115" s="245">
        <v>900</v>
      </c>
    </row>
    <row r="116" spans="1:44" x14ac:dyDescent="0.3">
      <c r="A116" s="221">
        <v>334</v>
      </c>
      <c r="B116" s="221" t="s">
        <v>115</v>
      </c>
      <c r="C116" s="221" t="s">
        <v>349</v>
      </c>
      <c r="D116" s="241">
        <v>24592459.889999997</v>
      </c>
      <c r="E116" s="242">
        <v>17084</v>
      </c>
      <c r="F116" s="242">
        <v>19095</v>
      </c>
      <c r="G116" s="243">
        <v>0.11771247951299468</v>
      </c>
      <c r="H116" s="244">
        <v>18927</v>
      </c>
      <c r="I116" s="242">
        <v>18877</v>
      </c>
      <c r="J116" s="242">
        <v>810</v>
      </c>
      <c r="K116" s="245">
        <v>180</v>
      </c>
      <c r="L116" s="244">
        <v>18042</v>
      </c>
      <c r="M116" s="242">
        <v>18163</v>
      </c>
      <c r="N116" s="246">
        <v>6.7065735499999999E-3</v>
      </c>
      <c r="O116" s="242">
        <v>18163</v>
      </c>
      <c r="P116" s="247">
        <v>6.7065735499999999E-3</v>
      </c>
      <c r="Q116" s="248">
        <v>87.4</v>
      </c>
      <c r="R116" s="249">
        <v>6.1</v>
      </c>
      <c r="S116" s="249">
        <v>1.8</v>
      </c>
      <c r="T116" s="250">
        <v>95.3</v>
      </c>
      <c r="U116" s="244">
        <v>0</v>
      </c>
      <c r="V116" s="242">
        <v>120</v>
      </c>
      <c r="W116" s="242">
        <v>0</v>
      </c>
      <c r="X116" s="242">
        <v>0</v>
      </c>
      <c r="Y116" s="242">
        <v>0</v>
      </c>
      <c r="Z116" s="242">
        <v>5697</v>
      </c>
      <c r="AA116" s="242">
        <v>10240</v>
      </c>
      <c r="AB116" s="242">
        <v>2010</v>
      </c>
      <c r="AC116" s="242">
        <v>180</v>
      </c>
      <c r="AD116" s="245">
        <v>630</v>
      </c>
      <c r="AE116" s="244">
        <v>0</v>
      </c>
      <c r="AF116" s="242">
        <v>30</v>
      </c>
      <c r="AG116" s="242">
        <v>90</v>
      </c>
      <c r="AH116" s="242">
        <v>0</v>
      </c>
      <c r="AI116" s="242">
        <v>1864</v>
      </c>
      <c r="AJ116" s="242">
        <v>7968</v>
      </c>
      <c r="AK116" s="242">
        <v>6735</v>
      </c>
      <c r="AL116" s="245">
        <v>2190</v>
      </c>
      <c r="AM116" s="251">
        <v>170000</v>
      </c>
      <c r="AN116" s="242">
        <v>30</v>
      </c>
      <c r="AO116" s="252">
        <v>820000</v>
      </c>
      <c r="AP116" s="242">
        <v>120</v>
      </c>
      <c r="AQ116" s="252">
        <v>0</v>
      </c>
      <c r="AR116" s="245">
        <v>0</v>
      </c>
    </row>
    <row r="117" spans="1:44" x14ac:dyDescent="0.3">
      <c r="A117" s="221">
        <v>933</v>
      </c>
      <c r="B117" s="221" t="s">
        <v>116</v>
      </c>
      <c r="C117" s="221" t="s">
        <v>347</v>
      </c>
      <c r="D117" s="241">
        <v>39146818.620000005</v>
      </c>
      <c r="E117" s="242">
        <v>36870</v>
      </c>
      <c r="F117" s="242">
        <v>40725</v>
      </c>
      <c r="G117" s="243">
        <v>0.10455655004068354</v>
      </c>
      <c r="H117" s="244">
        <v>40429</v>
      </c>
      <c r="I117" s="242">
        <v>42917</v>
      </c>
      <c r="J117" s="242">
        <v>1762</v>
      </c>
      <c r="K117" s="245">
        <v>120</v>
      </c>
      <c r="L117" s="244">
        <v>39559</v>
      </c>
      <c r="M117" s="242">
        <v>39108</v>
      </c>
      <c r="N117" s="246">
        <v>-1.1400692630000001E-2</v>
      </c>
      <c r="O117" s="242">
        <v>39014</v>
      </c>
      <c r="P117" s="247">
        <v>-1.377689021E-2</v>
      </c>
      <c r="Q117" s="248">
        <v>92.3</v>
      </c>
      <c r="R117" s="249">
        <v>4.4000000000000004</v>
      </c>
      <c r="S117" s="249">
        <v>0.9</v>
      </c>
      <c r="T117" s="250">
        <v>97.6</v>
      </c>
      <c r="U117" s="244">
        <v>90</v>
      </c>
      <c r="V117" s="242">
        <v>565</v>
      </c>
      <c r="W117" s="242">
        <v>210</v>
      </c>
      <c r="X117" s="242">
        <v>0</v>
      </c>
      <c r="Y117" s="242">
        <v>0</v>
      </c>
      <c r="Z117" s="242">
        <v>7038</v>
      </c>
      <c r="AA117" s="242">
        <v>27649</v>
      </c>
      <c r="AB117" s="242">
        <v>5656</v>
      </c>
      <c r="AC117" s="242">
        <v>300</v>
      </c>
      <c r="AD117" s="245">
        <v>0</v>
      </c>
      <c r="AE117" s="244">
        <v>88</v>
      </c>
      <c r="AF117" s="242">
        <v>420</v>
      </c>
      <c r="AG117" s="242">
        <v>327</v>
      </c>
      <c r="AH117" s="242">
        <v>30</v>
      </c>
      <c r="AI117" s="242">
        <v>3872</v>
      </c>
      <c r="AJ117" s="242">
        <v>18756</v>
      </c>
      <c r="AK117" s="242">
        <v>9215</v>
      </c>
      <c r="AL117" s="245">
        <v>8800</v>
      </c>
      <c r="AM117" s="251">
        <v>7756499</v>
      </c>
      <c r="AN117" s="242">
        <v>1127</v>
      </c>
      <c r="AO117" s="252">
        <v>765285</v>
      </c>
      <c r="AP117" s="242">
        <v>300</v>
      </c>
      <c r="AQ117" s="252">
        <v>153773</v>
      </c>
      <c r="AR117" s="245">
        <v>210</v>
      </c>
    </row>
    <row r="118" spans="1:44" x14ac:dyDescent="0.3">
      <c r="A118" s="221">
        <v>803</v>
      </c>
      <c r="B118" s="221" t="s">
        <v>117</v>
      </c>
      <c r="C118" s="221" t="s">
        <v>347</v>
      </c>
      <c r="D118" s="241">
        <v>37728606.780000001</v>
      </c>
      <c r="E118" s="242">
        <v>20604</v>
      </c>
      <c r="F118" s="242">
        <v>23874</v>
      </c>
      <c r="G118" s="243">
        <v>0.15870704717530582</v>
      </c>
      <c r="H118" s="244">
        <v>23648</v>
      </c>
      <c r="I118" s="242">
        <v>24182</v>
      </c>
      <c r="J118" s="242">
        <v>2135</v>
      </c>
      <c r="K118" s="245">
        <v>120</v>
      </c>
      <c r="L118" s="244">
        <v>22400</v>
      </c>
      <c r="M118" s="242">
        <v>22579</v>
      </c>
      <c r="N118" s="246">
        <v>7.9910714200000007E-3</v>
      </c>
      <c r="O118" s="242">
        <v>22277</v>
      </c>
      <c r="P118" s="247">
        <v>-5.4910714200000002E-3</v>
      </c>
      <c r="Q118" s="248">
        <v>90.4</v>
      </c>
      <c r="R118" s="249">
        <v>5.4</v>
      </c>
      <c r="S118" s="249">
        <v>1.9</v>
      </c>
      <c r="T118" s="250">
        <v>97.7</v>
      </c>
      <c r="U118" s="244">
        <v>0</v>
      </c>
      <c r="V118" s="242">
        <v>0</v>
      </c>
      <c r="W118" s="242">
        <v>0</v>
      </c>
      <c r="X118" s="242">
        <v>0</v>
      </c>
      <c r="Y118" s="242">
        <v>0</v>
      </c>
      <c r="Z118" s="242">
        <v>2338</v>
      </c>
      <c r="AA118" s="242">
        <v>17617</v>
      </c>
      <c r="AB118" s="242">
        <v>3255</v>
      </c>
      <c r="AC118" s="242">
        <v>0</v>
      </c>
      <c r="AD118" s="245">
        <v>0</v>
      </c>
      <c r="AE118" s="244">
        <v>0</v>
      </c>
      <c r="AF118" s="242">
        <v>0</v>
      </c>
      <c r="AG118" s="242">
        <v>0</v>
      </c>
      <c r="AH118" s="242">
        <v>0</v>
      </c>
      <c r="AI118" s="242">
        <v>2512</v>
      </c>
      <c r="AJ118" s="242">
        <v>15104</v>
      </c>
      <c r="AK118" s="242">
        <v>4062</v>
      </c>
      <c r="AL118" s="245">
        <v>1532</v>
      </c>
      <c r="AM118" s="251">
        <v>4535751</v>
      </c>
      <c r="AN118" s="242">
        <v>405</v>
      </c>
      <c r="AO118" s="252">
        <v>5834500</v>
      </c>
      <c r="AP118" s="242">
        <v>870</v>
      </c>
      <c r="AQ118" s="252">
        <v>5736000</v>
      </c>
      <c r="AR118" s="245">
        <v>420</v>
      </c>
    </row>
    <row r="119" spans="1:44" x14ac:dyDescent="0.3">
      <c r="A119" s="221">
        <v>393</v>
      </c>
      <c r="B119" s="221" t="s">
        <v>118</v>
      </c>
      <c r="C119" s="221" t="s">
        <v>352</v>
      </c>
      <c r="D119" s="241">
        <v>6258916.3000000007</v>
      </c>
      <c r="E119" s="242">
        <v>10487</v>
      </c>
      <c r="F119" s="242">
        <v>11710</v>
      </c>
      <c r="G119" s="243">
        <v>0.11662057785830071</v>
      </c>
      <c r="H119" s="244">
        <v>12572</v>
      </c>
      <c r="I119" s="242">
        <v>12162</v>
      </c>
      <c r="J119" s="242">
        <v>0</v>
      </c>
      <c r="K119" s="245">
        <v>100</v>
      </c>
      <c r="L119" s="244">
        <v>11053</v>
      </c>
      <c r="M119" s="242">
        <v>11017</v>
      </c>
      <c r="N119" s="246">
        <v>-3.25703428E-3</v>
      </c>
      <c r="O119" s="242">
        <v>10967</v>
      </c>
      <c r="P119" s="247">
        <v>-7.7806930199999999E-3</v>
      </c>
      <c r="Q119" s="248">
        <v>90</v>
      </c>
      <c r="R119" s="249">
        <v>4.8</v>
      </c>
      <c r="S119" s="249">
        <v>1.4</v>
      </c>
      <c r="T119" s="250">
        <v>96.2</v>
      </c>
      <c r="U119" s="244">
        <v>0</v>
      </c>
      <c r="V119" s="242">
        <v>0</v>
      </c>
      <c r="W119" s="242">
        <v>0</v>
      </c>
      <c r="X119" s="242">
        <v>0</v>
      </c>
      <c r="Y119" s="242">
        <v>0</v>
      </c>
      <c r="Z119" s="242">
        <v>2567</v>
      </c>
      <c r="AA119" s="242">
        <v>8553</v>
      </c>
      <c r="AB119" s="242">
        <v>1042</v>
      </c>
      <c r="AC119" s="242">
        <v>0</v>
      </c>
      <c r="AD119" s="245">
        <v>0</v>
      </c>
      <c r="AE119" s="244">
        <v>0</v>
      </c>
      <c r="AF119" s="242">
        <v>0</v>
      </c>
      <c r="AG119" s="242">
        <v>0</v>
      </c>
      <c r="AH119" s="242">
        <v>0</v>
      </c>
      <c r="AI119" s="242">
        <v>3592</v>
      </c>
      <c r="AJ119" s="242">
        <v>6924</v>
      </c>
      <c r="AK119" s="242">
        <v>938</v>
      </c>
      <c r="AL119" s="245">
        <v>708</v>
      </c>
      <c r="AM119" s="251">
        <v>0</v>
      </c>
      <c r="AN119" s="242">
        <v>0</v>
      </c>
      <c r="AO119" s="252">
        <v>0</v>
      </c>
      <c r="AP119" s="242">
        <v>0</v>
      </c>
      <c r="AQ119" s="252">
        <v>0</v>
      </c>
      <c r="AR119" s="245">
        <v>0</v>
      </c>
    </row>
    <row r="120" spans="1:44" x14ac:dyDescent="0.3">
      <c r="A120" s="221">
        <v>852</v>
      </c>
      <c r="B120" s="221" t="s">
        <v>119</v>
      </c>
      <c r="C120" s="221" t="s">
        <v>351</v>
      </c>
      <c r="D120" s="241">
        <v>39445736.460000001</v>
      </c>
      <c r="E120" s="242">
        <v>15660</v>
      </c>
      <c r="F120" s="242">
        <v>20051</v>
      </c>
      <c r="G120" s="243">
        <v>0.28039591315453394</v>
      </c>
      <c r="H120" s="244">
        <v>17217</v>
      </c>
      <c r="I120" s="242">
        <v>21205</v>
      </c>
      <c r="J120" s="242">
        <v>570</v>
      </c>
      <c r="K120" s="245">
        <v>170</v>
      </c>
      <c r="L120" s="244">
        <v>18410</v>
      </c>
      <c r="M120" s="242">
        <v>18440</v>
      </c>
      <c r="N120" s="246">
        <v>1.6295491499999999E-3</v>
      </c>
      <c r="O120" s="242">
        <v>18510</v>
      </c>
      <c r="P120" s="247">
        <v>5.43183052E-3</v>
      </c>
      <c r="Q120" s="248">
        <v>85.6</v>
      </c>
      <c r="R120" s="249">
        <v>7.6</v>
      </c>
      <c r="S120" s="249">
        <v>2.6</v>
      </c>
      <c r="T120" s="250">
        <v>95.9</v>
      </c>
      <c r="U120" s="244">
        <v>49</v>
      </c>
      <c r="V120" s="242">
        <v>130</v>
      </c>
      <c r="W120" s="242">
        <v>0</v>
      </c>
      <c r="X120" s="242">
        <v>0</v>
      </c>
      <c r="Y120" s="242">
        <v>0</v>
      </c>
      <c r="Z120" s="242">
        <v>4158</v>
      </c>
      <c r="AA120" s="242">
        <v>12423</v>
      </c>
      <c r="AB120" s="242">
        <v>2993</v>
      </c>
      <c r="AC120" s="242">
        <v>720</v>
      </c>
      <c r="AD120" s="245">
        <v>417</v>
      </c>
      <c r="AE120" s="244">
        <v>79</v>
      </c>
      <c r="AF120" s="242">
        <v>0</v>
      </c>
      <c r="AG120" s="242">
        <v>60</v>
      </c>
      <c r="AH120" s="242">
        <v>40</v>
      </c>
      <c r="AI120" s="242">
        <v>4853</v>
      </c>
      <c r="AJ120" s="242">
        <v>6593</v>
      </c>
      <c r="AK120" s="242">
        <v>5882</v>
      </c>
      <c r="AL120" s="245">
        <v>3383</v>
      </c>
      <c r="AM120" s="251">
        <v>19373000</v>
      </c>
      <c r="AN120" s="242">
        <v>3490</v>
      </c>
      <c r="AO120" s="252">
        <v>30000</v>
      </c>
      <c r="AP120" s="242">
        <v>30</v>
      </c>
      <c r="AQ120" s="252">
        <v>11721730</v>
      </c>
      <c r="AR120" s="245">
        <v>900</v>
      </c>
    </row>
    <row r="121" spans="1:44" x14ac:dyDescent="0.3">
      <c r="A121" s="221">
        <v>882</v>
      </c>
      <c r="B121" s="221" t="s">
        <v>120</v>
      </c>
      <c r="C121" s="221" t="s">
        <v>348</v>
      </c>
      <c r="D121" s="241">
        <v>25590762.260000002</v>
      </c>
      <c r="E121" s="242">
        <v>12748</v>
      </c>
      <c r="F121" s="242">
        <v>14960</v>
      </c>
      <c r="G121" s="243">
        <v>0.17351741449639158</v>
      </c>
      <c r="H121" s="244">
        <v>13629</v>
      </c>
      <c r="I121" s="242">
        <v>15347</v>
      </c>
      <c r="J121" s="242">
        <v>690</v>
      </c>
      <c r="K121" s="245">
        <v>110</v>
      </c>
      <c r="L121" s="244">
        <v>14202</v>
      </c>
      <c r="M121" s="242">
        <v>14078</v>
      </c>
      <c r="N121" s="246">
        <v>-8.7311646200000006E-3</v>
      </c>
      <c r="O121" s="242">
        <v>13903</v>
      </c>
      <c r="P121" s="247">
        <v>-2.1053372760000001E-2</v>
      </c>
      <c r="Q121" s="248">
        <v>86.9</v>
      </c>
      <c r="R121" s="249">
        <v>7</v>
      </c>
      <c r="S121" s="249">
        <v>2.4</v>
      </c>
      <c r="T121" s="250">
        <v>96.3</v>
      </c>
      <c r="U121" s="244">
        <v>0</v>
      </c>
      <c r="V121" s="242">
        <v>172</v>
      </c>
      <c r="W121" s="242">
        <v>0</v>
      </c>
      <c r="X121" s="242">
        <v>63</v>
      </c>
      <c r="Y121" s="242">
        <v>0</v>
      </c>
      <c r="Z121" s="242">
        <v>1119</v>
      </c>
      <c r="AA121" s="242">
        <v>11176</v>
      </c>
      <c r="AB121" s="242">
        <v>1980</v>
      </c>
      <c r="AC121" s="242">
        <v>417</v>
      </c>
      <c r="AD121" s="245">
        <v>0</v>
      </c>
      <c r="AE121" s="244">
        <v>0</v>
      </c>
      <c r="AF121" s="242">
        <v>0</v>
      </c>
      <c r="AG121" s="242">
        <v>145</v>
      </c>
      <c r="AH121" s="242">
        <v>90</v>
      </c>
      <c r="AI121" s="242">
        <v>1890</v>
      </c>
      <c r="AJ121" s="242">
        <v>6609</v>
      </c>
      <c r="AK121" s="242">
        <v>4049</v>
      </c>
      <c r="AL121" s="245">
        <v>2144</v>
      </c>
      <c r="AM121" s="251">
        <v>5726572.6666639997</v>
      </c>
      <c r="AN121" s="242">
        <v>950</v>
      </c>
      <c r="AO121" s="252">
        <v>562211.73684100003</v>
      </c>
      <c r="AP121" s="242">
        <v>130</v>
      </c>
      <c r="AQ121" s="252">
        <v>0</v>
      </c>
      <c r="AR121" s="245">
        <v>0</v>
      </c>
    </row>
    <row r="122" spans="1:44" x14ac:dyDescent="0.3">
      <c r="A122" s="221">
        <v>210</v>
      </c>
      <c r="B122" s="221" t="s">
        <v>121</v>
      </c>
      <c r="C122" s="221" t="s">
        <v>345</v>
      </c>
      <c r="D122" s="241">
        <v>70111011.329999998</v>
      </c>
      <c r="E122" s="242">
        <v>19980</v>
      </c>
      <c r="F122" s="242">
        <v>23922</v>
      </c>
      <c r="G122" s="243">
        <v>0.19729729729729728</v>
      </c>
      <c r="H122" s="244">
        <v>23028</v>
      </c>
      <c r="I122" s="242">
        <v>26024</v>
      </c>
      <c r="J122" s="242">
        <v>3510</v>
      </c>
      <c r="K122" s="245">
        <v>70</v>
      </c>
      <c r="L122" s="244">
        <v>22848</v>
      </c>
      <c r="M122" s="242">
        <v>23220</v>
      </c>
      <c r="N122" s="246">
        <v>1.6281512599999999E-2</v>
      </c>
      <c r="O122" s="242">
        <v>24194</v>
      </c>
      <c r="P122" s="247">
        <v>5.8911064419999999E-2</v>
      </c>
      <c r="Q122" s="248">
        <v>80</v>
      </c>
      <c r="R122" s="249">
        <v>8.6999999999999993</v>
      </c>
      <c r="S122" s="249">
        <v>3.2</v>
      </c>
      <c r="T122" s="250">
        <v>91.9</v>
      </c>
      <c r="U122" s="244">
        <v>165</v>
      </c>
      <c r="V122" s="242">
        <v>151</v>
      </c>
      <c r="W122" s="242">
        <v>0</v>
      </c>
      <c r="X122" s="242">
        <v>0</v>
      </c>
      <c r="Y122" s="242">
        <v>0</v>
      </c>
      <c r="Z122" s="242">
        <v>5834</v>
      </c>
      <c r="AA122" s="242">
        <v>14480</v>
      </c>
      <c r="AB122" s="242">
        <v>3154</v>
      </c>
      <c r="AC122" s="242">
        <v>0</v>
      </c>
      <c r="AD122" s="245">
        <v>0</v>
      </c>
      <c r="AE122" s="244">
        <v>195</v>
      </c>
      <c r="AF122" s="242">
        <v>60</v>
      </c>
      <c r="AG122" s="242">
        <v>61</v>
      </c>
      <c r="AH122" s="242">
        <v>0</v>
      </c>
      <c r="AI122" s="242">
        <v>11601</v>
      </c>
      <c r="AJ122" s="242">
        <v>8740</v>
      </c>
      <c r="AK122" s="242">
        <v>2257</v>
      </c>
      <c r="AL122" s="245">
        <v>870</v>
      </c>
      <c r="AM122" s="251">
        <v>5940430</v>
      </c>
      <c r="AN122" s="242">
        <v>315</v>
      </c>
      <c r="AO122" s="252">
        <v>4193674</v>
      </c>
      <c r="AP122" s="242">
        <v>825</v>
      </c>
      <c r="AQ122" s="252">
        <v>4485326</v>
      </c>
      <c r="AR122" s="245">
        <v>210</v>
      </c>
    </row>
    <row r="123" spans="1:44" x14ac:dyDescent="0.3">
      <c r="A123" s="221">
        <v>342</v>
      </c>
      <c r="B123" s="221" t="s">
        <v>122</v>
      </c>
      <c r="C123" s="221" t="s">
        <v>350</v>
      </c>
      <c r="D123" s="241">
        <v>12644029.65</v>
      </c>
      <c r="E123" s="242">
        <v>13477</v>
      </c>
      <c r="F123" s="242">
        <v>14581</v>
      </c>
      <c r="G123" s="243">
        <v>8.1917340654448223E-2</v>
      </c>
      <c r="H123" s="244">
        <v>14707</v>
      </c>
      <c r="I123" s="242">
        <v>15549</v>
      </c>
      <c r="J123" s="242">
        <v>480</v>
      </c>
      <c r="K123" s="245">
        <v>160</v>
      </c>
      <c r="L123" s="244">
        <v>14185</v>
      </c>
      <c r="M123" s="242">
        <v>14230</v>
      </c>
      <c r="N123" s="246">
        <v>3.1723651700000001E-3</v>
      </c>
      <c r="O123" s="242">
        <v>14314</v>
      </c>
      <c r="P123" s="247">
        <v>9.0941135000000006E-3</v>
      </c>
      <c r="Q123" s="248">
        <v>90.5</v>
      </c>
      <c r="R123" s="249">
        <v>5</v>
      </c>
      <c r="S123" s="249">
        <v>1.4</v>
      </c>
      <c r="T123" s="250">
        <v>96.9</v>
      </c>
      <c r="U123" s="244">
        <v>150</v>
      </c>
      <c r="V123" s="242">
        <v>100</v>
      </c>
      <c r="W123" s="242">
        <v>117</v>
      </c>
      <c r="X123" s="242">
        <v>0</v>
      </c>
      <c r="Y123" s="242">
        <v>0</v>
      </c>
      <c r="Z123" s="242">
        <v>4126</v>
      </c>
      <c r="AA123" s="242">
        <v>9493</v>
      </c>
      <c r="AB123" s="242">
        <v>1563</v>
      </c>
      <c r="AC123" s="242">
        <v>0</v>
      </c>
      <c r="AD123" s="245">
        <v>0</v>
      </c>
      <c r="AE123" s="244">
        <v>117</v>
      </c>
      <c r="AF123" s="242">
        <v>150</v>
      </c>
      <c r="AG123" s="242">
        <v>0</v>
      </c>
      <c r="AH123" s="242">
        <v>100</v>
      </c>
      <c r="AI123" s="242">
        <v>4078</v>
      </c>
      <c r="AJ123" s="242">
        <v>8497</v>
      </c>
      <c r="AK123" s="242">
        <v>2107</v>
      </c>
      <c r="AL123" s="245">
        <v>500</v>
      </c>
      <c r="AM123" s="251">
        <v>1926421.4499830001</v>
      </c>
      <c r="AN123" s="242">
        <v>670</v>
      </c>
      <c r="AO123" s="252">
        <v>0</v>
      </c>
      <c r="AP123" s="242">
        <v>0</v>
      </c>
      <c r="AQ123" s="252">
        <v>0</v>
      </c>
      <c r="AR123" s="245">
        <v>0</v>
      </c>
    </row>
    <row r="124" spans="1:44" x14ac:dyDescent="0.3">
      <c r="A124" s="221">
        <v>860</v>
      </c>
      <c r="B124" s="221" t="s">
        <v>123</v>
      </c>
      <c r="C124" s="221" t="s">
        <v>349</v>
      </c>
      <c r="D124" s="241">
        <v>95116024.180000007</v>
      </c>
      <c r="E124" s="242">
        <v>59968</v>
      </c>
      <c r="F124" s="242">
        <v>66398</v>
      </c>
      <c r="G124" s="243">
        <v>0.10722385272145152</v>
      </c>
      <c r="H124" s="244">
        <v>66828</v>
      </c>
      <c r="I124" s="242">
        <v>70044</v>
      </c>
      <c r="J124" s="242">
        <v>4250</v>
      </c>
      <c r="K124" s="245">
        <v>420</v>
      </c>
      <c r="L124" s="244">
        <v>63946</v>
      </c>
      <c r="M124" s="242">
        <v>63786</v>
      </c>
      <c r="N124" s="246">
        <v>-2.5021111499999998E-3</v>
      </c>
      <c r="O124" s="242">
        <v>64974</v>
      </c>
      <c r="P124" s="247">
        <v>1.6076064170000001E-2</v>
      </c>
      <c r="Q124" s="248">
        <v>90.6</v>
      </c>
      <c r="R124" s="249">
        <v>5.0999999999999996</v>
      </c>
      <c r="S124" s="249">
        <v>1.3</v>
      </c>
      <c r="T124" s="250">
        <v>97</v>
      </c>
      <c r="U124" s="244">
        <v>135</v>
      </c>
      <c r="V124" s="242">
        <v>627</v>
      </c>
      <c r="W124" s="242">
        <v>170</v>
      </c>
      <c r="X124" s="242">
        <v>15</v>
      </c>
      <c r="Y124" s="242">
        <v>0</v>
      </c>
      <c r="Z124" s="242">
        <v>7779</v>
      </c>
      <c r="AA124" s="242">
        <v>44108</v>
      </c>
      <c r="AB124" s="242">
        <v>12310</v>
      </c>
      <c r="AC124" s="242">
        <v>2108</v>
      </c>
      <c r="AD124" s="245">
        <v>0</v>
      </c>
      <c r="AE124" s="244">
        <v>63</v>
      </c>
      <c r="AF124" s="242">
        <v>593</v>
      </c>
      <c r="AG124" s="242">
        <v>270</v>
      </c>
      <c r="AH124" s="242">
        <v>21</v>
      </c>
      <c r="AI124" s="242">
        <v>9276</v>
      </c>
      <c r="AJ124" s="242">
        <v>29394</v>
      </c>
      <c r="AK124" s="242">
        <v>16574</v>
      </c>
      <c r="AL124" s="245">
        <v>11061</v>
      </c>
      <c r="AM124" s="251">
        <v>7962760</v>
      </c>
      <c r="AN124" s="242">
        <v>660</v>
      </c>
      <c r="AO124" s="252">
        <v>189000</v>
      </c>
      <c r="AP124" s="242">
        <v>30</v>
      </c>
      <c r="AQ124" s="252">
        <v>20513686</v>
      </c>
      <c r="AR124" s="245">
        <v>851</v>
      </c>
    </row>
    <row r="125" spans="1:44" x14ac:dyDescent="0.3">
      <c r="A125" s="221">
        <v>356</v>
      </c>
      <c r="B125" s="221" t="s">
        <v>124</v>
      </c>
      <c r="C125" s="221" t="s">
        <v>350</v>
      </c>
      <c r="D125" s="241">
        <v>33472787.859999999</v>
      </c>
      <c r="E125" s="242">
        <v>20884</v>
      </c>
      <c r="F125" s="242">
        <v>24707</v>
      </c>
      <c r="G125" s="243">
        <v>0.18305880099597771</v>
      </c>
      <c r="H125" s="244">
        <v>22568</v>
      </c>
      <c r="I125" s="242">
        <v>25196</v>
      </c>
      <c r="J125" s="242">
        <v>1275</v>
      </c>
      <c r="K125" s="245">
        <v>240</v>
      </c>
      <c r="L125" s="244">
        <v>23229</v>
      </c>
      <c r="M125" s="242">
        <v>23194</v>
      </c>
      <c r="N125" s="246">
        <v>-1.50673726E-3</v>
      </c>
      <c r="O125" s="242">
        <v>23067</v>
      </c>
      <c r="P125" s="247">
        <v>-6.97404106E-3</v>
      </c>
      <c r="Q125" s="248">
        <v>87.6</v>
      </c>
      <c r="R125" s="249">
        <v>5.9</v>
      </c>
      <c r="S125" s="249">
        <v>2.4</v>
      </c>
      <c r="T125" s="250">
        <v>95.9</v>
      </c>
      <c r="U125" s="244">
        <v>162</v>
      </c>
      <c r="V125" s="242">
        <v>816</v>
      </c>
      <c r="W125" s="242">
        <v>90</v>
      </c>
      <c r="X125" s="242">
        <v>0</v>
      </c>
      <c r="Y125" s="242">
        <v>0</v>
      </c>
      <c r="Z125" s="242">
        <v>6314</v>
      </c>
      <c r="AA125" s="242">
        <v>15210</v>
      </c>
      <c r="AB125" s="242">
        <v>2394</v>
      </c>
      <c r="AC125" s="242">
        <v>0</v>
      </c>
      <c r="AD125" s="245">
        <v>0</v>
      </c>
      <c r="AE125" s="244">
        <v>150</v>
      </c>
      <c r="AF125" s="242">
        <v>752</v>
      </c>
      <c r="AG125" s="242">
        <v>139</v>
      </c>
      <c r="AH125" s="242">
        <v>27</v>
      </c>
      <c r="AI125" s="242">
        <v>4469</v>
      </c>
      <c r="AJ125" s="242">
        <v>15319</v>
      </c>
      <c r="AK125" s="242">
        <v>2843</v>
      </c>
      <c r="AL125" s="245">
        <v>1287</v>
      </c>
      <c r="AM125" s="251">
        <v>12331819</v>
      </c>
      <c r="AN125" s="242">
        <v>1650</v>
      </c>
      <c r="AO125" s="252">
        <v>891026.16666500003</v>
      </c>
      <c r="AP125" s="242">
        <v>240</v>
      </c>
      <c r="AQ125" s="252">
        <v>9448495</v>
      </c>
      <c r="AR125" s="245">
        <v>735</v>
      </c>
    </row>
    <row r="126" spans="1:44" x14ac:dyDescent="0.3">
      <c r="A126" s="221">
        <v>808</v>
      </c>
      <c r="B126" s="221" t="s">
        <v>125</v>
      </c>
      <c r="C126" s="221" t="s">
        <v>352</v>
      </c>
      <c r="D126" s="241">
        <v>48428320.590000004</v>
      </c>
      <c r="E126" s="242">
        <v>14595</v>
      </c>
      <c r="F126" s="242">
        <v>17707</v>
      </c>
      <c r="G126" s="243">
        <v>0.21322370674888669</v>
      </c>
      <c r="H126" s="244">
        <v>16259</v>
      </c>
      <c r="I126" s="242">
        <v>18270</v>
      </c>
      <c r="J126" s="242">
        <v>274</v>
      </c>
      <c r="K126" s="245">
        <v>270</v>
      </c>
      <c r="L126" s="244">
        <v>16305</v>
      </c>
      <c r="M126" s="242">
        <v>16353</v>
      </c>
      <c r="N126" s="246">
        <v>2.94388224E-3</v>
      </c>
      <c r="O126" s="242">
        <v>16252</v>
      </c>
      <c r="P126" s="247">
        <v>-3.2505366400000001E-3</v>
      </c>
      <c r="Q126" s="248">
        <v>93.6</v>
      </c>
      <c r="R126" s="249">
        <v>3.4</v>
      </c>
      <c r="S126" s="249">
        <v>0.5</v>
      </c>
      <c r="T126" s="250">
        <v>97.4</v>
      </c>
      <c r="U126" s="244">
        <v>473</v>
      </c>
      <c r="V126" s="242">
        <v>293</v>
      </c>
      <c r="W126" s="242">
        <v>0</v>
      </c>
      <c r="X126" s="242">
        <v>0</v>
      </c>
      <c r="Y126" s="242">
        <v>0</v>
      </c>
      <c r="Z126" s="242">
        <v>3181</v>
      </c>
      <c r="AA126" s="242">
        <v>12812</v>
      </c>
      <c r="AB126" s="242">
        <v>1511</v>
      </c>
      <c r="AC126" s="242">
        <v>0</v>
      </c>
      <c r="AD126" s="245">
        <v>0</v>
      </c>
      <c r="AE126" s="244">
        <v>343</v>
      </c>
      <c r="AF126" s="242">
        <v>353</v>
      </c>
      <c r="AG126" s="242">
        <v>70</v>
      </c>
      <c r="AH126" s="242">
        <v>0</v>
      </c>
      <c r="AI126" s="242">
        <v>2495</v>
      </c>
      <c r="AJ126" s="242">
        <v>11970</v>
      </c>
      <c r="AK126" s="242">
        <v>3039</v>
      </c>
      <c r="AL126" s="245">
        <v>0</v>
      </c>
      <c r="AM126" s="251">
        <v>7912037</v>
      </c>
      <c r="AN126" s="242">
        <v>1340</v>
      </c>
      <c r="AO126" s="252">
        <v>1256172</v>
      </c>
      <c r="AP126" s="242">
        <v>111</v>
      </c>
      <c r="AQ126" s="252">
        <v>0</v>
      </c>
      <c r="AR126" s="245">
        <v>0</v>
      </c>
    </row>
    <row r="127" spans="1:44" x14ac:dyDescent="0.3">
      <c r="A127" s="221">
        <v>861</v>
      </c>
      <c r="B127" s="221" t="s">
        <v>126</v>
      </c>
      <c r="C127" s="221" t="s">
        <v>349</v>
      </c>
      <c r="D127" s="241">
        <v>16769984.74</v>
      </c>
      <c r="E127" s="242">
        <v>18582</v>
      </c>
      <c r="F127" s="242">
        <v>22285</v>
      </c>
      <c r="G127" s="243">
        <v>0.19927887202669248</v>
      </c>
      <c r="H127" s="244">
        <v>19929</v>
      </c>
      <c r="I127" s="242">
        <v>23724</v>
      </c>
      <c r="J127" s="242">
        <v>540</v>
      </c>
      <c r="K127" s="245">
        <v>0</v>
      </c>
      <c r="L127" s="244">
        <v>21198</v>
      </c>
      <c r="M127" s="242">
        <v>21429</v>
      </c>
      <c r="N127" s="246">
        <v>1.0897254449999999E-2</v>
      </c>
      <c r="O127" s="242">
        <v>21235</v>
      </c>
      <c r="P127" s="247">
        <v>1.7454476799999999E-3</v>
      </c>
      <c r="Q127" s="248">
        <v>88.9</v>
      </c>
      <c r="R127" s="249">
        <v>4.9000000000000004</v>
      </c>
      <c r="S127" s="249">
        <v>1.7</v>
      </c>
      <c r="T127" s="250">
        <v>95.5</v>
      </c>
      <c r="U127" s="244">
        <v>21</v>
      </c>
      <c r="V127" s="242">
        <v>541</v>
      </c>
      <c r="W127" s="242">
        <v>210</v>
      </c>
      <c r="X127" s="242">
        <v>0</v>
      </c>
      <c r="Y127" s="242">
        <v>0</v>
      </c>
      <c r="Z127" s="242">
        <v>2454</v>
      </c>
      <c r="AA127" s="242">
        <v>14383</v>
      </c>
      <c r="AB127" s="242">
        <v>3700</v>
      </c>
      <c r="AC127" s="242">
        <v>1335</v>
      </c>
      <c r="AD127" s="245">
        <v>0</v>
      </c>
      <c r="AE127" s="244">
        <v>521</v>
      </c>
      <c r="AF127" s="242">
        <v>251</v>
      </c>
      <c r="AG127" s="242">
        <v>0</v>
      </c>
      <c r="AH127" s="242">
        <v>0</v>
      </c>
      <c r="AI127" s="242">
        <v>9740</v>
      </c>
      <c r="AJ127" s="242">
        <v>8335</v>
      </c>
      <c r="AK127" s="242">
        <v>2841</v>
      </c>
      <c r="AL127" s="245">
        <v>956</v>
      </c>
      <c r="AM127" s="251">
        <v>16065648</v>
      </c>
      <c r="AN127" s="242">
        <v>2250</v>
      </c>
      <c r="AO127" s="252">
        <v>627365</v>
      </c>
      <c r="AP127" s="242">
        <v>255</v>
      </c>
      <c r="AQ127" s="252">
        <v>0</v>
      </c>
      <c r="AR127" s="245">
        <v>0</v>
      </c>
    </row>
    <row r="128" spans="1:44" x14ac:dyDescent="0.3">
      <c r="A128" s="221">
        <v>935</v>
      </c>
      <c r="B128" s="221" t="s">
        <v>127</v>
      </c>
      <c r="C128" s="221" t="s">
        <v>348</v>
      </c>
      <c r="D128" s="241">
        <v>75323912.25</v>
      </c>
      <c r="E128" s="242">
        <v>48779</v>
      </c>
      <c r="F128" s="242">
        <v>57296</v>
      </c>
      <c r="G128" s="243">
        <v>0.1746038254166753</v>
      </c>
      <c r="H128" s="244">
        <v>58687</v>
      </c>
      <c r="I128" s="242">
        <v>60970</v>
      </c>
      <c r="J128" s="242">
        <v>3924</v>
      </c>
      <c r="K128" s="245">
        <v>150</v>
      </c>
      <c r="L128" s="244">
        <v>53751</v>
      </c>
      <c r="M128" s="242">
        <v>54169</v>
      </c>
      <c r="N128" s="246">
        <v>7.7765995000000001E-3</v>
      </c>
      <c r="O128" s="242">
        <v>53784</v>
      </c>
      <c r="P128" s="247">
        <v>6.1394206E-4</v>
      </c>
      <c r="Q128" s="248">
        <v>90.1</v>
      </c>
      <c r="R128" s="249">
        <v>5.6</v>
      </c>
      <c r="S128" s="249">
        <v>1.4</v>
      </c>
      <c r="T128" s="250">
        <v>97.1</v>
      </c>
      <c r="U128" s="244">
        <v>24</v>
      </c>
      <c r="V128" s="242">
        <v>1663</v>
      </c>
      <c r="W128" s="242">
        <v>30</v>
      </c>
      <c r="X128" s="242">
        <v>120</v>
      </c>
      <c r="Y128" s="242">
        <v>0</v>
      </c>
      <c r="Z128" s="242">
        <v>5916</v>
      </c>
      <c r="AA128" s="242">
        <v>34308</v>
      </c>
      <c r="AB128" s="242">
        <v>12644</v>
      </c>
      <c r="AC128" s="242">
        <v>2060</v>
      </c>
      <c r="AD128" s="245">
        <v>444</v>
      </c>
      <c r="AE128" s="244">
        <v>176</v>
      </c>
      <c r="AF128" s="242">
        <v>451</v>
      </c>
      <c r="AG128" s="242">
        <v>544</v>
      </c>
      <c r="AH128" s="242">
        <v>666</v>
      </c>
      <c r="AI128" s="242">
        <v>4375</v>
      </c>
      <c r="AJ128" s="242">
        <v>25204</v>
      </c>
      <c r="AK128" s="242">
        <v>19020</v>
      </c>
      <c r="AL128" s="245">
        <v>6773</v>
      </c>
      <c r="AM128" s="251">
        <v>51828268</v>
      </c>
      <c r="AN128" s="242">
        <v>5785</v>
      </c>
      <c r="AO128" s="252">
        <v>2627406</v>
      </c>
      <c r="AP128" s="242">
        <v>660</v>
      </c>
      <c r="AQ128" s="252">
        <v>4947465.6428129999</v>
      </c>
      <c r="AR128" s="245">
        <v>452</v>
      </c>
    </row>
    <row r="129" spans="1:44" x14ac:dyDescent="0.3">
      <c r="A129" s="221">
        <v>394</v>
      </c>
      <c r="B129" s="221" t="s">
        <v>128</v>
      </c>
      <c r="C129" s="221" t="s">
        <v>352</v>
      </c>
      <c r="D129" s="241">
        <v>7594804.0599999996</v>
      </c>
      <c r="E129" s="242">
        <v>19844</v>
      </c>
      <c r="F129" s="242">
        <v>21896</v>
      </c>
      <c r="G129" s="243">
        <v>0.10340657125579522</v>
      </c>
      <c r="H129" s="244">
        <v>23358</v>
      </c>
      <c r="I129" s="242">
        <v>24170</v>
      </c>
      <c r="J129" s="242">
        <v>280</v>
      </c>
      <c r="K129" s="245">
        <v>40</v>
      </c>
      <c r="L129" s="244">
        <v>21409</v>
      </c>
      <c r="M129" s="242">
        <v>21490</v>
      </c>
      <c r="N129" s="246">
        <v>3.7834555500000002E-3</v>
      </c>
      <c r="O129" s="242">
        <v>21414</v>
      </c>
      <c r="P129" s="247">
        <v>2.3354663000000001E-4</v>
      </c>
      <c r="Q129" s="248">
        <v>94.2</v>
      </c>
      <c r="R129" s="249">
        <v>3.4</v>
      </c>
      <c r="S129" s="249">
        <v>0.5</v>
      </c>
      <c r="T129" s="250">
        <v>98.1</v>
      </c>
      <c r="U129" s="244">
        <v>80</v>
      </c>
      <c r="V129" s="242">
        <v>164</v>
      </c>
      <c r="W129" s="242">
        <v>53</v>
      </c>
      <c r="X129" s="242">
        <v>0</v>
      </c>
      <c r="Y129" s="242">
        <v>0</v>
      </c>
      <c r="Z129" s="242">
        <v>2984</v>
      </c>
      <c r="AA129" s="242">
        <v>17466</v>
      </c>
      <c r="AB129" s="242">
        <v>2676</v>
      </c>
      <c r="AC129" s="242">
        <v>229</v>
      </c>
      <c r="AD129" s="245">
        <v>0</v>
      </c>
      <c r="AE129" s="244">
        <v>0</v>
      </c>
      <c r="AF129" s="242">
        <v>297</v>
      </c>
      <c r="AG129" s="242">
        <v>0</v>
      </c>
      <c r="AH129" s="242">
        <v>0</v>
      </c>
      <c r="AI129" s="242">
        <v>6658</v>
      </c>
      <c r="AJ129" s="242">
        <v>12337</v>
      </c>
      <c r="AK129" s="242">
        <v>2641</v>
      </c>
      <c r="AL129" s="245">
        <v>1719</v>
      </c>
      <c r="AM129" s="251">
        <v>3060600</v>
      </c>
      <c r="AN129" s="242">
        <v>540</v>
      </c>
      <c r="AO129" s="252">
        <v>274200</v>
      </c>
      <c r="AP129" s="242">
        <v>72</v>
      </c>
      <c r="AQ129" s="252">
        <v>110000</v>
      </c>
      <c r="AR129" s="245">
        <v>30</v>
      </c>
    </row>
    <row r="130" spans="1:44" x14ac:dyDescent="0.3">
      <c r="A130" s="221">
        <v>936</v>
      </c>
      <c r="B130" s="221" t="s">
        <v>129</v>
      </c>
      <c r="C130" s="221" t="s">
        <v>351</v>
      </c>
      <c r="D130" s="241">
        <v>279023210.93000001</v>
      </c>
      <c r="E130" s="242">
        <v>76641</v>
      </c>
      <c r="F130" s="242">
        <v>92681</v>
      </c>
      <c r="G130" s="243">
        <v>0.2092874571052048</v>
      </c>
      <c r="H130" s="244">
        <v>82056</v>
      </c>
      <c r="I130" s="242">
        <v>91752</v>
      </c>
      <c r="J130" s="242">
        <v>8076</v>
      </c>
      <c r="K130" s="245">
        <v>2720</v>
      </c>
      <c r="L130" s="244">
        <v>84646</v>
      </c>
      <c r="M130" s="242">
        <v>86035</v>
      </c>
      <c r="N130" s="246">
        <v>1.6409517280000001E-2</v>
      </c>
      <c r="O130" s="242">
        <v>83536</v>
      </c>
      <c r="P130" s="247">
        <v>-1.3113437130000001E-2</v>
      </c>
      <c r="Q130" s="248">
        <v>81.7</v>
      </c>
      <c r="R130" s="249">
        <v>8</v>
      </c>
      <c r="S130" s="249">
        <v>2.9</v>
      </c>
      <c r="T130" s="250">
        <v>92.5</v>
      </c>
      <c r="U130" s="244">
        <v>716</v>
      </c>
      <c r="V130" s="242">
        <v>2031</v>
      </c>
      <c r="W130" s="242">
        <v>52</v>
      </c>
      <c r="X130" s="242">
        <v>0</v>
      </c>
      <c r="Y130" s="242">
        <v>0</v>
      </c>
      <c r="Z130" s="242">
        <v>17734</v>
      </c>
      <c r="AA130" s="242">
        <v>53021</v>
      </c>
      <c r="AB130" s="242">
        <v>12328</v>
      </c>
      <c r="AC130" s="242">
        <v>1390</v>
      </c>
      <c r="AD130" s="245">
        <v>210</v>
      </c>
      <c r="AE130" s="244">
        <v>136</v>
      </c>
      <c r="AF130" s="242">
        <v>653</v>
      </c>
      <c r="AG130" s="242">
        <v>488</v>
      </c>
      <c r="AH130" s="242">
        <v>1522</v>
      </c>
      <c r="AI130" s="242">
        <v>7905</v>
      </c>
      <c r="AJ130" s="242">
        <v>39427</v>
      </c>
      <c r="AK130" s="242">
        <v>21177</v>
      </c>
      <c r="AL130" s="245">
        <v>16174</v>
      </c>
      <c r="AM130" s="251">
        <v>68944704.357117996</v>
      </c>
      <c r="AN130" s="242">
        <v>4850</v>
      </c>
      <c r="AO130" s="252">
        <v>22176879</v>
      </c>
      <c r="AP130" s="242">
        <v>2871</v>
      </c>
      <c r="AQ130" s="252">
        <v>5049686</v>
      </c>
      <c r="AR130" s="245">
        <v>210</v>
      </c>
    </row>
    <row r="131" spans="1:44" x14ac:dyDescent="0.3">
      <c r="A131" s="221">
        <v>319</v>
      </c>
      <c r="B131" s="221" t="s">
        <v>130</v>
      </c>
      <c r="C131" s="221" t="s">
        <v>345</v>
      </c>
      <c r="D131" s="241">
        <v>122292041.63</v>
      </c>
      <c r="E131" s="242">
        <v>13415</v>
      </c>
      <c r="F131" s="242">
        <v>17396</v>
      </c>
      <c r="G131" s="243">
        <v>0.29675736116287732</v>
      </c>
      <c r="H131" s="244">
        <v>13424</v>
      </c>
      <c r="I131" s="242">
        <v>16478</v>
      </c>
      <c r="J131" s="242">
        <v>615</v>
      </c>
      <c r="K131" s="245">
        <v>610</v>
      </c>
      <c r="L131" s="244">
        <v>15603</v>
      </c>
      <c r="M131" s="242">
        <v>15877</v>
      </c>
      <c r="N131" s="246">
        <v>1.7560725499999999E-2</v>
      </c>
      <c r="O131" s="242">
        <v>15948</v>
      </c>
      <c r="P131" s="247">
        <v>2.2111132469999999E-2</v>
      </c>
      <c r="Q131" s="248">
        <v>84</v>
      </c>
      <c r="R131" s="249">
        <v>7.7</v>
      </c>
      <c r="S131" s="249">
        <v>2.7</v>
      </c>
      <c r="T131" s="250">
        <v>94.4</v>
      </c>
      <c r="U131" s="244">
        <v>92</v>
      </c>
      <c r="V131" s="242">
        <v>740</v>
      </c>
      <c r="W131" s="242">
        <v>0</v>
      </c>
      <c r="X131" s="242">
        <v>0</v>
      </c>
      <c r="Y131" s="242">
        <v>0</v>
      </c>
      <c r="Z131" s="242">
        <v>4499</v>
      </c>
      <c r="AA131" s="242">
        <v>9800</v>
      </c>
      <c r="AB131" s="242">
        <v>816</v>
      </c>
      <c r="AC131" s="242">
        <v>330</v>
      </c>
      <c r="AD131" s="245">
        <v>0</v>
      </c>
      <c r="AE131" s="244">
        <v>575</v>
      </c>
      <c r="AF131" s="242">
        <v>227</v>
      </c>
      <c r="AG131" s="242">
        <v>0</v>
      </c>
      <c r="AH131" s="242">
        <v>30</v>
      </c>
      <c r="AI131" s="242">
        <v>5518</v>
      </c>
      <c r="AJ131" s="242">
        <v>6666</v>
      </c>
      <c r="AK131" s="242">
        <v>1093</v>
      </c>
      <c r="AL131" s="245">
        <v>2168</v>
      </c>
      <c r="AM131" s="251">
        <v>39587343</v>
      </c>
      <c r="AN131" s="242">
        <v>2990</v>
      </c>
      <c r="AO131" s="252">
        <v>1773188</v>
      </c>
      <c r="AP131" s="242">
        <v>270</v>
      </c>
      <c r="AQ131" s="252">
        <v>0</v>
      </c>
      <c r="AR131" s="245">
        <v>0</v>
      </c>
    </row>
    <row r="132" spans="1:44" x14ac:dyDescent="0.3">
      <c r="A132" s="221">
        <v>866</v>
      </c>
      <c r="B132" s="221" t="s">
        <v>131</v>
      </c>
      <c r="C132" s="221" t="s">
        <v>347</v>
      </c>
      <c r="D132" s="241">
        <v>23495660.189999998</v>
      </c>
      <c r="E132" s="242">
        <v>15779</v>
      </c>
      <c r="F132" s="242">
        <v>20380</v>
      </c>
      <c r="G132" s="243">
        <v>0.29159008809176745</v>
      </c>
      <c r="H132" s="244">
        <v>18156</v>
      </c>
      <c r="I132" s="242">
        <v>21737</v>
      </c>
      <c r="J132" s="242">
        <v>1500</v>
      </c>
      <c r="K132" s="245">
        <v>0</v>
      </c>
      <c r="L132" s="244">
        <v>18921</v>
      </c>
      <c r="M132" s="242">
        <v>18782</v>
      </c>
      <c r="N132" s="246">
        <v>-7.3463347599999999E-3</v>
      </c>
      <c r="O132" s="242">
        <v>18697</v>
      </c>
      <c r="P132" s="247">
        <v>-1.1838697739999999E-2</v>
      </c>
      <c r="Q132" s="248">
        <v>93</v>
      </c>
      <c r="R132" s="249">
        <v>3.7</v>
      </c>
      <c r="S132" s="249">
        <v>1.4</v>
      </c>
      <c r="T132" s="250">
        <v>98.1</v>
      </c>
      <c r="U132" s="244">
        <v>0</v>
      </c>
      <c r="V132" s="242">
        <v>151</v>
      </c>
      <c r="W132" s="242">
        <v>0</v>
      </c>
      <c r="X132" s="242">
        <v>0</v>
      </c>
      <c r="Y132" s="242">
        <v>0</v>
      </c>
      <c r="Z132" s="242">
        <v>3802</v>
      </c>
      <c r="AA132" s="242">
        <v>13846</v>
      </c>
      <c r="AB132" s="242">
        <v>3114</v>
      </c>
      <c r="AC132" s="242">
        <v>404</v>
      </c>
      <c r="AD132" s="245">
        <v>0</v>
      </c>
      <c r="AE132" s="244">
        <v>0</v>
      </c>
      <c r="AF132" s="242">
        <v>0</v>
      </c>
      <c r="AG132" s="242">
        <v>151</v>
      </c>
      <c r="AH132" s="242">
        <v>0</v>
      </c>
      <c r="AI132" s="242">
        <v>4063</v>
      </c>
      <c r="AJ132" s="242">
        <v>11360</v>
      </c>
      <c r="AK132" s="242">
        <v>3785</v>
      </c>
      <c r="AL132" s="245">
        <v>1958</v>
      </c>
      <c r="AM132" s="251">
        <v>11099796</v>
      </c>
      <c r="AN132" s="242">
        <v>910</v>
      </c>
      <c r="AO132" s="252">
        <v>739000</v>
      </c>
      <c r="AP132" s="242">
        <v>220</v>
      </c>
      <c r="AQ132" s="252">
        <v>17370000</v>
      </c>
      <c r="AR132" s="245">
        <v>1286</v>
      </c>
    </row>
    <row r="133" spans="1:44" x14ac:dyDescent="0.3">
      <c r="A133" s="221">
        <v>357</v>
      </c>
      <c r="B133" s="221" t="s">
        <v>132</v>
      </c>
      <c r="C133" s="221" t="s">
        <v>350</v>
      </c>
      <c r="D133" s="241">
        <v>37902860.909999996</v>
      </c>
      <c r="E133" s="242">
        <v>17445</v>
      </c>
      <c r="F133" s="242">
        <v>21675</v>
      </c>
      <c r="G133" s="243">
        <v>0.24247635425623382</v>
      </c>
      <c r="H133" s="244">
        <v>19028</v>
      </c>
      <c r="I133" s="242">
        <v>20941</v>
      </c>
      <c r="J133" s="242">
        <v>1915</v>
      </c>
      <c r="K133" s="245">
        <v>120</v>
      </c>
      <c r="L133" s="244">
        <v>19670</v>
      </c>
      <c r="M133" s="242">
        <v>19765</v>
      </c>
      <c r="N133" s="246">
        <v>4.8296898799999998E-3</v>
      </c>
      <c r="O133" s="242">
        <v>19765</v>
      </c>
      <c r="P133" s="247">
        <v>4.8296898799999998E-3</v>
      </c>
      <c r="Q133" s="248">
        <v>88</v>
      </c>
      <c r="R133" s="249">
        <v>6.1</v>
      </c>
      <c r="S133" s="249">
        <v>1.6</v>
      </c>
      <c r="T133" s="250">
        <v>95.6</v>
      </c>
      <c r="U133" s="244">
        <v>0</v>
      </c>
      <c r="V133" s="242">
        <v>180</v>
      </c>
      <c r="W133" s="242">
        <v>30</v>
      </c>
      <c r="X133" s="242">
        <v>0</v>
      </c>
      <c r="Y133" s="242">
        <v>0</v>
      </c>
      <c r="Z133" s="242">
        <v>1673</v>
      </c>
      <c r="AA133" s="242">
        <v>14648</v>
      </c>
      <c r="AB133" s="242">
        <v>3855</v>
      </c>
      <c r="AC133" s="242">
        <v>315</v>
      </c>
      <c r="AD133" s="245">
        <v>0</v>
      </c>
      <c r="AE133" s="244">
        <v>0</v>
      </c>
      <c r="AF133" s="242">
        <v>180</v>
      </c>
      <c r="AG133" s="242">
        <v>30</v>
      </c>
      <c r="AH133" s="242">
        <v>0</v>
      </c>
      <c r="AI133" s="242">
        <v>5271</v>
      </c>
      <c r="AJ133" s="242">
        <v>12409</v>
      </c>
      <c r="AK133" s="242">
        <v>2631</v>
      </c>
      <c r="AL133" s="245">
        <v>180</v>
      </c>
      <c r="AM133" s="251">
        <v>2589455.5633789999</v>
      </c>
      <c r="AN133" s="242">
        <v>563</v>
      </c>
      <c r="AO133" s="252">
        <v>781296</v>
      </c>
      <c r="AP133" s="242">
        <v>180</v>
      </c>
      <c r="AQ133" s="252">
        <v>0</v>
      </c>
      <c r="AR133" s="245">
        <v>0</v>
      </c>
    </row>
    <row r="134" spans="1:44" x14ac:dyDescent="0.3">
      <c r="A134" s="221">
        <v>894</v>
      </c>
      <c r="B134" s="221" t="s">
        <v>133</v>
      </c>
      <c r="C134" s="221" t="s">
        <v>349</v>
      </c>
      <c r="D134" s="241">
        <v>13631693.449999999</v>
      </c>
      <c r="E134" s="242">
        <v>13466</v>
      </c>
      <c r="F134" s="242">
        <v>15884</v>
      </c>
      <c r="G134" s="243">
        <v>0.17956334472003554</v>
      </c>
      <c r="H134" s="244">
        <v>15329</v>
      </c>
      <c r="I134" s="242">
        <v>16427</v>
      </c>
      <c r="J134" s="242">
        <v>570</v>
      </c>
      <c r="K134" s="245">
        <v>80</v>
      </c>
      <c r="L134" s="244">
        <v>14725</v>
      </c>
      <c r="M134" s="242">
        <v>14672</v>
      </c>
      <c r="N134" s="246">
        <v>-3.59932088E-3</v>
      </c>
      <c r="O134" s="242">
        <v>14889</v>
      </c>
      <c r="P134" s="247">
        <v>1.113752122E-2</v>
      </c>
      <c r="Q134" s="248">
        <v>93.9</v>
      </c>
      <c r="R134" s="249">
        <v>4.7</v>
      </c>
      <c r="S134" s="249">
        <v>1.3</v>
      </c>
      <c r="T134" s="250">
        <v>100</v>
      </c>
      <c r="U134" s="244">
        <v>54</v>
      </c>
      <c r="V134" s="242">
        <v>70</v>
      </c>
      <c r="W134" s="242">
        <v>90</v>
      </c>
      <c r="X134" s="242">
        <v>0</v>
      </c>
      <c r="Y134" s="242">
        <v>0</v>
      </c>
      <c r="Z134" s="242">
        <v>2383</v>
      </c>
      <c r="AA134" s="242">
        <v>11874</v>
      </c>
      <c r="AB134" s="242">
        <v>1730</v>
      </c>
      <c r="AC134" s="242">
        <v>226</v>
      </c>
      <c r="AD134" s="245">
        <v>0</v>
      </c>
      <c r="AE134" s="244">
        <v>0</v>
      </c>
      <c r="AF134" s="242">
        <v>160</v>
      </c>
      <c r="AG134" s="242">
        <v>0</v>
      </c>
      <c r="AH134" s="242">
        <v>54</v>
      </c>
      <c r="AI134" s="242">
        <v>3270</v>
      </c>
      <c r="AJ134" s="242">
        <v>9354</v>
      </c>
      <c r="AK134" s="242">
        <v>2927</v>
      </c>
      <c r="AL134" s="245">
        <v>662</v>
      </c>
      <c r="AM134" s="251">
        <v>6090000</v>
      </c>
      <c r="AN134" s="242">
        <v>510</v>
      </c>
      <c r="AO134" s="252">
        <v>55000</v>
      </c>
      <c r="AP134" s="242">
        <v>30</v>
      </c>
      <c r="AQ134" s="252">
        <v>4172000</v>
      </c>
      <c r="AR134" s="245">
        <v>210</v>
      </c>
    </row>
    <row r="135" spans="1:44" x14ac:dyDescent="0.3">
      <c r="A135" s="221">
        <v>883</v>
      </c>
      <c r="B135" s="221" t="s">
        <v>134</v>
      </c>
      <c r="C135" s="221" t="s">
        <v>348</v>
      </c>
      <c r="D135" s="241">
        <v>41193151.920000002</v>
      </c>
      <c r="E135" s="242">
        <v>13037</v>
      </c>
      <c r="F135" s="242">
        <v>17917</v>
      </c>
      <c r="G135" s="243">
        <v>0.37431924522512849</v>
      </c>
      <c r="H135" s="244">
        <v>14331</v>
      </c>
      <c r="I135" s="242">
        <v>17416</v>
      </c>
      <c r="J135" s="242">
        <v>720</v>
      </c>
      <c r="K135" s="245">
        <v>640</v>
      </c>
      <c r="L135" s="244">
        <v>15610</v>
      </c>
      <c r="M135" s="242">
        <v>15652</v>
      </c>
      <c r="N135" s="246">
        <v>2.6905829500000001E-3</v>
      </c>
      <c r="O135" s="242">
        <v>15728</v>
      </c>
      <c r="P135" s="247">
        <v>7.5592568800000003E-3</v>
      </c>
      <c r="Q135" s="248">
        <v>85.9</v>
      </c>
      <c r="R135" s="249">
        <v>5.8</v>
      </c>
      <c r="S135" s="249">
        <v>1.7</v>
      </c>
      <c r="T135" s="250">
        <v>93.4</v>
      </c>
      <c r="U135" s="244">
        <v>0</v>
      </c>
      <c r="V135" s="242">
        <v>480</v>
      </c>
      <c r="W135" s="242">
        <v>30</v>
      </c>
      <c r="X135" s="242">
        <v>0</v>
      </c>
      <c r="Y135" s="242">
        <v>0</v>
      </c>
      <c r="Z135" s="242">
        <v>420</v>
      </c>
      <c r="AA135" s="242">
        <v>9801</v>
      </c>
      <c r="AB135" s="242">
        <v>3685</v>
      </c>
      <c r="AC135" s="242">
        <v>0</v>
      </c>
      <c r="AD135" s="245">
        <v>630</v>
      </c>
      <c r="AE135" s="244">
        <v>0</v>
      </c>
      <c r="AF135" s="242">
        <v>270</v>
      </c>
      <c r="AG135" s="242">
        <v>0</v>
      </c>
      <c r="AH135" s="242">
        <v>240</v>
      </c>
      <c r="AI135" s="242">
        <v>3990</v>
      </c>
      <c r="AJ135" s="242">
        <v>6958</v>
      </c>
      <c r="AK135" s="242">
        <v>3408</v>
      </c>
      <c r="AL135" s="245">
        <v>180</v>
      </c>
      <c r="AM135" s="251">
        <v>17203675</v>
      </c>
      <c r="AN135" s="242">
        <v>1560</v>
      </c>
      <c r="AO135" s="252">
        <v>782000</v>
      </c>
      <c r="AP135" s="242">
        <v>525</v>
      </c>
      <c r="AQ135" s="252">
        <v>5270507</v>
      </c>
      <c r="AR135" s="245">
        <v>630</v>
      </c>
    </row>
    <row r="136" spans="1:44" x14ac:dyDescent="0.3">
      <c r="A136" s="221">
        <v>880</v>
      </c>
      <c r="B136" s="221" t="s">
        <v>135</v>
      </c>
      <c r="C136" s="221" t="s">
        <v>347</v>
      </c>
      <c r="D136" s="241">
        <v>15996561.600000001</v>
      </c>
      <c r="E136" s="242">
        <v>8785</v>
      </c>
      <c r="F136" s="242">
        <v>10119</v>
      </c>
      <c r="G136" s="243">
        <v>0.15184974388161643</v>
      </c>
      <c r="H136" s="244">
        <v>9678</v>
      </c>
      <c r="I136" s="242">
        <v>10370</v>
      </c>
      <c r="J136" s="242">
        <v>210</v>
      </c>
      <c r="K136" s="245">
        <v>50</v>
      </c>
      <c r="L136" s="244">
        <v>9436</v>
      </c>
      <c r="M136" s="242">
        <v>9491</v>
      </c>
      <c r="N136" s="246">
        <v>5.8287409900000002E-3</v>
      </c>
      <c r="O136" s="242">
        <v>9382</v>
      </c>
      <c r="P136" s="247">
        <v>-5.7227638799999996E-3</v>
      </c>
      <c r="Q136" s="248">
        <v>86.1</v>
      </c>
      <c r="R136" s="249">
        <v>7.2</v>
      </c>
      <c r="S136" s="249">
        <v>2.6</v>
      </c>
      <c r="T136" s="250">
        <v>96</v>
      </c>
      <c r="U136" s="244">
        <v>0</v>
      </c>
      <c r="V136" s="242">
        <v>544</v>
      </c>
      <c r="W136" s="242">
        <v>32</v>
      </c>
      <c r="X136" s="242">
        <v>0</v>
      </c>
      <c r="Y136" s="242">
        <v>0</v>
      </c>
      <c r="Z136" s="242">
        <v>1575</v>
      </c>
      <c r="AA136" s="242">
        <v>7306</v>
      </c>
      <c r="AB136" s="242">
        <v>598</v>
      </c>
      <c r="AC136" s="242">
        <v>0</v>
      </c>
      <c r="AD136" s="245">
        <v>0</v>
      </c>
      <c r="AE136" s="244">
        <v>15</v>
      </c>
      <c r="AF136" s="242">
        <v>298</v>
      </c>
      <c r="AG136" s="242">
        <v>263</v>
      </c>
      <c r="AH136" s="242">
        <v>0</v>
      </c>
      <c r="AI136" s="242">
        <v>2680</v>
      </c>
      <c r="AJ136" s="242">
        <v>4682</v>
      </c>
      <c r="AK136" s="242">
        <v>2117</v>
      </c>
      <c r="AL136" s="245">
        <v>0</v>
      </c>
      <c r="AM136" s="251">
        <v>7950000</v>
      </c>
      <c r="AN136" s="242">
        <v>644</v>
      </c>
      <c r="AO136" s="252">
        <v>0</v>
      </c>
      <c r="AP136" s="242">
        <v>0</v>
      </c>
      <c r="AQ136" s="252">
        <v>0</v>
      </c>
      <c r="AR136" s="245">
        <v>0</v>
      </c>
    </row>
    <row r="137" spans="1:44" x14ac:dyDescent="0.3">
      <c r="A137" s="221">
        <v>211</v>
      </c>
      <c r="B137" s="221" t="s">
        <v>136</v>
      </c>
      <c r="C137" s="221" t="s">
        <v>345</v>
      </c>
      <c r="D137" s="241">
        <v>85665679.800000012</v>
      </c>
      <c r="E137" s="242">
        <v>20476</v>
      </c>
      <c r="F137" s="242">
        <v>24639</v>
      </c>
      <c r="G137" s="243">
        <v>0.2033111935924985</v>
      </c>
      <c r="H137" s="244">
        <v>21582</v>
      </c>
      <c r="I137" s="242">
        <v>25821</v>
      </c>
      <c r="J137" s="242">
        <v>420</v>
      </c>
      <c r="K137" s="245">
        <v>180</v>
      </c>
      <c r="L137" s="244">
        <v>22864</v>
      </c>
      <c r="M137" s="242">
        <v>22960</v>
      </c>
      <c r="N137" s="246">
        <v>4.1987403699999997E-3</v>
      </c>
      <c r="O137" s="242">
        <v>23629</v>
      </c>
      <c r="P137" s="247">
        <v>3.3458712379999998E-2</v>
      </c>
      <c r="Q137" s="248">
        <v>85.1</v>
      </c>
      <c r="R137" s="249">
        <v>6.4</v>
      </c>
      <c r="S137" s="249">
        <v>3.2</v>
      </c>
      <c r="T137" s="250">
        <v>94.8</v>
      </c>
      <c r="U137" s="244">
        <v>420</v>
      </c>
      <c r="V137" s="242">
        <v>636</v>
      </c>
      <c r="W137" s="242">
        <v>0</v>
      </c>
      <c r="X137" s="242">
        <v>0</v>
      </c>
      <c r="Y137" s="242">
        <v>28</v>
      </c>
      <c r="Z137" s="242">
        <v>5300</v>
      </c>
      <c r="AA137" s="242">
        <v>15822</v>
      </c>
      <c r="AB137" s="242">
        <v>2103</v>
      </c>
      <c r="AC137" s="242">
        <v>210</v>
      </c>
      <c r="AD137" s="245">
        <v>392</v>
      </c>
      <c r="AE137" s="244">
        <v>210</v>
      </c>
      <c r="AF137" s="242">
        <v>454</v>
      </c>
      <c r="AG137" s="242">
        <v>0</v>
      </c>
      <c r="AH137" s="242">
        <v>420</v>
      </c>
      <c r="AI137" s="242">
        <v>11018</v>
      </c>
      <c r="AJ137" s="242">
        <v>10539</v>
      </c>
      <c r="AK137" s="242">
        <v>1496</v>
      </c>
      <c r="AL137" s="245">
        <v>774</v>
      </c>
      <c r="AM137" s="251">
        <v>37409682</v>
      </c>
      <c r="AN137" s="242">
        <v>2625</v>
      </c>
      <c r="AO137" s="252">
        <v>420000</v>
      </c>
      <c r="AP137" s="242">
        <v>120</v>
      </c>
      <c r="AQ137" s="252">
        <v>0</v>
      </c>
      <c r="AR137" s="245">
        <v>0</v>
      </c>
    </row>
    <row r="138" spans="1:44" x14ac:dyDescent="0.3">
      <c r="A138" s="221">
        <v>358</v>
      </c>
      <c r="B138" s="221" t="s">
        <v>137</v>
      </c>
      <c r="C138" s="221" t="s">
        <v>350</v>
      </c>
      <c r="D138" s="241">
        <v>51952889.369999997</v>
      </c>
      <c r="E138" s="242">
        <v>17480</v>
      </c>
      <c r="F138" s="242">
        <v>20614</v>
      </c>
      <c r="G138" s="243">
        <v>0.17929061784897016</v>
      </c>
      <c r="H138" s="244">
        <v>18224</v>
      </c>
      <c r="I138" s="242">
        <v>20713</v>
      </c>
      <c r="J138" s="242">
        <v>735</v>
      </c>
      <c r="K138" s="245">
        <v>230</v>
      </c>
      <c r="L138" s="244">
        <v>19579</v>
      </c>
      <c r="M138" s="242">
        <v>19542</v>
      </c>
      <c r="N138" s="246">
        <v>-1.8897798600000001E-3</v>
      </c>
      <c r="O138" s="242">
        <v>19435</v>
      </c>
      <c r="P138" s="247">
        <v>-7.3548189299999997E-3</v>
      </c>
      <c r="Q138" s="248">
        <v>87.1</v>
      </c>
      <c r="R138" s="249">
        <v>6.4</v>
      </c>
      <c r="S138" s="249">
        <v>2.1</v>
      </c>
      <c r="T138" s="250">
        <v>95.6</v>
      </c>
      <c r="U138" s="244">
        <v>619</v>
      </c>
      <c r="V138" s="242">
        <v>349</v>
      </c>
      <c r="W138" s="242">
        <v>0</v>
      </c>
      <c r="X138" s="242">
        <v>0</v>
      </c>
      <c r="Y138" s="242">
        <v>0</v>
      </c>
      <c r="Z138" s="242">
        <v>10081</v>
      </c>
      <c r="AA138" s="242">
        <v>8631</v>
      </c>
      <c r="AB138" s="242">
        <v>1033</v>
      </c>
      <c r="AC138" s="242">
        <v>0</v>
      </c>
      <c r="AD138" s="245">
        <v>0</v>
      </c>
      <c r="AE138" s="244">
        <v>784</v>
      </c>
      <c r="AF138" s="242">
        <v>184</v>
      </c>
      <c r="AG138" s="242">
        <v>0</v>
      </c>
      <c r="AH138" s="242">
        <v>0</v>
      </c>
      <c r="AI138" s="242">
        <v>5729</v>
      </c>
      <c r="AJ138" s="242">
        <v>11772</v>
      </c>
      <c r="AK138" s="242">
        <v>969</v>
      </c>
      <c r="AL138" s="245">
        <v>1275</v>
      </c>
      <c r="AM138" s="251">
        <v>15971058</v>
      </c>
      <c r="AN138" s="242">
        <v>1638</v>
      </c>
      <c r="AO138" s="252">
        <v>275000</v>
      </c>
      <c r="AP138" s="242">
        <v>70</v>
      </c>
      <c r="AQ138" s="252">
        <v>0</v>
      </c>
      <c r="AR138" s="245">
        <v>0</v>
      </c>
    </row>
    <row r="139" spans="1:44" x14ac:dyDescent="0.3">
      <c r="A139" s="221">
        <v>384</v>
      </c>
      <c r="B139" s="221" t="s">
        <v>138</v>
      </c>
      <c r="C139" s="221" t="s">
        <v>346</v>
      </c>
      <c r="D139" s="241">
        <v>27673760.829999998</v>
      </c>
      <c r="E139" s="242">
        <v>24194</v>
      </c>
      <c r="F139" s="242">
        <v>28736</v>
      </c>
      <c r="G139" s="243">
        <v>0.18773249566008099</v>
      </c>
      <c r="H139" s="244">
        <v>28918</v>
      </c>
      <c r="I139" s="242">
        <v>29833</v>
      </c>
      <c r="J139" s="242">
        <v>740</v>
      </c>
      <c r="K139" s="245">
        <v>270</v>
      </c>
      <c r="L139" s="244">
        <v>26766</v>
      </c>
      <c r="M139" s="242">
        <v>26805</v>
      </c>
      <c r="N139" s="246">
        <v>1.4570723999999999E-3</v>
      </c>
      <c r="O139" s="242">
        <v>26597</v>
      </c>
      <c r="P139" s="247">
        <v>-6.3139804200000003E-3</v>
      </c>
      <c r="Q139" s="248">
        <v>92.3</v>
      </c>
      <c r="R139" s="249">
        <v>3.8</v>
      </c>
      <c r="S139" s="249">
        <v>0.8</v>
      </c>
      <c r="T139" s="250">
        <v>96.9</v>
      </c>
      <c r="U139" s="244">
        <v>30</v>
      </c>
      <c r="V139" s="242">
        <v>148</v>
      </c>
      <c r="W139" s="242">
        <v>215</v>
      </c>
      <c r="X139" s="242">
        <v>0</v>
      </c>
      <c r="Y139" s="242">
        <v>0</v>
      </c>
      <c r="Z139" s="242">
        <v>3414</v>
      </c>
      <c r="AA139" s="242">
        <v>18950</v>
      </c>
      <c r="AB139" s="242">
        <v>4934</v>
      </c>
      <c r="AC139" s="242">
        <v>384</v>
      </c>
      <c r="AD139" s="245">
        <v>0</v>
      </c>
      <c r="AE139" s="244">
        <v>15</v>
      </c>
      <c r="AF139" s="242">
        <v>222</v>
      </c>
      <c r="AG139" s="242">
        <v>156</v>
      </c>
      <c r="AH139" s="242">
        <v>0</v>
      </c>
      <c r="AI139" s="242">
        <v>5535</v>
      </c>
      <c r="AJ139" s="242">
        <v>12786</v>
      </c>
      <c r="AK139" s="242">
        <v>7124</v>
      </c>
      <c r="AL139" s="245">
        <v>2237</v>
      </c>
      <c r="AM139" s="251">
        <v>5747000</v>
      </c>
      <c r="AN139" s="242">
        <v>968</v>
      </c>
      <c r="AO139" s="252">
        <v>0</v>
      </c>
      <c r="AP139" s="242">
        <v>0</v>
      </c>
      <c r="AQ139" s="252">
        <v>0</v>
      </c>
      <c r="AR139" s="245">
        <v>0</v>
      </c>
    </row>
    <row r="140" spans="1:44" x14ac:dyDescent="0.3">
      <c r="A140" s="221">
        <v>335</v>
      </c>
      <c r="B140" s="221" t="s">
        <v>139</v>
      </c>
      <c r="C140" s="221" t="s">
        <v>349</v>
      </c>
      <c r="D140" s="241">
        <v>41792401.350000001</v>
      </c>
      <c r="E140" s="242">
        <v>22687</v>
      </c>
      <c r="F140" s="242">
        <v>26922</v>
      </c>
      <c r="G140" s="243">
        <v>0.18667078062326437</v>
      </c>
      <c r="H140" s="244">
        <v>24986</v>
      </c>
      <c r="I140" s="242">
        <v>26049</v>
      </c>
      <c r="J140" s="242">
        <v>810</v>
      </c>
      <c r="K140" s="245">
        <v>830</v>
      </c>
      <c r="L140" s="244">
        <v>24795</v>
      </c>
      <c r="M140" s="242">
        <v>24256</v>
      </c>
      <c r="N140" s="246">
        <v>-2.173825368E-2</v>
      </c>
      <c r="O140" s="242">
        <v>24346</v>
      </c>
      <c r="P140" s="247">
        <v>-1.810848961E-2</v>
      </c>
      <c r="Q140" s="248">
        <v>89.6</v>
      </c>
      <c r="R140" s="249">
        <v>5.3</v>
      </c>
      <c r="S140" s="249">
        <v>1.1000000000000001</v>
      </c>
      <c r="T140" s="250">
        <v>96</v>
      </c>
      <c r="U140" s="244">
        <v>0</v>
      </c>
      <c r="V140" s="242">
        <v>27</v>
      </c>
      <c r="W140" s="242">
        <v>180</v>
      </c>
      <c r="X140" s="242">
        <v>0</v>
      </c>
      <c r="Y140" s="242">
        <v>0</v>
      </c>
      <c r="Z140" s="242">
        <v>3495</v>
      </c>
      <c r="AA140" s="242">
        <v>14256</v>
      </c>
      <c r="AB140" s="242">
        <v>5841</v>
      </c>
      <c r="AC140" s="242">
        <v>2250</v>
      </c>
      <c r="AD140" s="245">
        <v>0</v>
      </c>
      <c r="AE140" s="244">
        <v>0</v>
      </c>
      <c r="AF140" s="242">
        <v>27</v>
      </c>
      <c r="AG140" s="242">
        <v>180</v>
      </c>
      <c r="AH140" s="242">
        <v>0</v>
      </c>
      <c r="AI140" s="242">
        <v>1607</v>
      </c>
      <c r="AJ140" s="242">
        <v>13401</v>
      </c>
      <c r="AK140" s="242">
        <v>8589</v>
      </c>
      <c r="AL140" s="245">
        <v>2245</v>
      </c>
      <c r="AM140" s="251">
        <v>2735581</v>
      </c>
      <c r="AN140" s="242">
        <v>330</v>
      </c>
      <c r="AO140" s="252">
        <v>0</v>
      </c>
      <c r="AP140" s="242">
        <v>0</v>
      </c>
      <c r="AQ140" s="252">
        <v>0</v>
      </c>
      <c r="AR140" s="245">
        <v>0</v>
      </c>
    </row>
    <row r="141" spans="1:44" x14ac:dyDescent="0.3">
      <c r="A141" s="221">
        <v>320</v>
      </c>
      <c r="B141" s="221" t="s">
        <v>140</v>
      </c>
      <c r="C141" s="221" t="s">
        <v>345</v>
      </c>
      <c r="D141" s="241">
        <v>175914828.5</v>
      </c>
      <c r="E141" s="242">
        <v>20362</v>
      </c>
      <c r="F141" s="242">
        <v>26258</v>
      </c>
      <c r="G141" s="243">
        <v>0.28955898241823008</v>
      </c>
      <c r="H141" s="244">
        <v>20791</v>
      </c>
      <c r="I141" s="242">
        <v>26849</v>
      </c>
      <c r="J141" s="242">
        <v>1671</v>
      </c>
      <c r="K141" s="245">
        <v>720</v>
      </c>
      <c r="L141" s="244">
        <v>23678</v>
      </c>
      <c r="M141" s="242">
        <v>24263</v>
      </c>
      <c r="N141" s="246">
        <v>2.470647858E-2</v>
      </c>
      <c r="O141" s="242">
        <v>25752</v>
      </c>
      <c r="P141" s="247">
        <v>8.7591857420000002E-2</v>
      </c>
      <c r="Q141" s="248">
        <v>85.3</v>
      </c>
      <c r="R141" s="249">
        <v>7.8</v>
      </c>
      <c r="S141" s="249">
        <v>3.1</v>
      </c>
      <c r="T141" s="250">
        <v>96.1</v>
      </c>
      <c r="U141" s="244">
        <v>0</v>
      </c>
      <c r="V141" s="242">
        <v>840</v>
      </c>
      <c r="W141" s="242">
        <v>30</v>
      </c>
      <c r="X141" s="242">
        <v>0</v>
      </c>
      <c r="Y141" s="242">
        <v>0</v>
      </c>
      <c r="Z141" s="242">
        <v>4290</v>
      </c>
      <c r="AA141" s="242">
        <v>16916</v>
      </c>
      <c r="AB141" s="242">
        <v>3243</v>
      </c>
      <c r="AC141" s="242">
        <v>420</v>
      </c>
      <c r="AD141" s="245">
        <v>0</v>
      </c>
      <c r="AE141" s="244">
        <v>690</v>
      </c>
      <c r="AF141" s="242">
        <v>150</v>
      </c>
      <c r="AG141" s="242">
        <v>30</v>
      </c>
      <c r="AH141" s="242">
        <v>0</v>
      </c>
      <c r="AI141" s="242">
        <v>13037</v>
      </c>
      <c r="AJ141" s="242">
        <v>8832</v>
      </c>
      <c r="AK141" s="242">
        <v>1860</v>
      </c>
      <c r="AL141" s="245">
        <v>1140</v>
      </c>
      <c r="AM141" s="251">
        <v>29454874</v>
      </c>
      <c r="AN141" s="242">
        <v>4080</v>
      </c>
      <c r="AO141" s="252">
        <v>4866000</v>
      </c>
      <c r="AP141" s="242">
        <v>660</v>
      </c>
      <c r="AQ141" s="252">
        <v>9527795</v>
      </c>
      <c r="AR141" s="245">
        <v>630</v>
      </c>
    </row>
    <row r="142" spans="1:44" x14ac:dyDescent="0.3">
      <c r="A142" s="221">
        <v>212</v>
      </c>
      <c r="B142" s="221" t="s">
        <v>141</v>
      </c>
      <c r="C142" s="221" t="s">
        <v>345</v>
      </c>
      <c r="D142" s="241">
        <v>47988823.130000003</v>
      </c>
      <c r="E142" s="242">
        <v>15642</v>
      </c>
      <c r="F142" s="242">
        <v>19562</v>
      </c>
      <c r="G142" s="243">
        <v>0.25060733921493417</v>
      </c>
      <c r="H142" s="244">
        <v>16922</v>
      </c>
      <c r="I142" s="242">
        <v>21363</v>
      </c>
      <c r="J142" s="242">
        <v>1305</v>
      </c>
      <c r="K142" s="245">
        <v>50</v>
      </c>
      <c r="L142" s="244">
        <v>17850</v>
      </c>
      <c r="M142" s="242">
        <v>17925</v>
      </c>
      <c r="N142" s="246">
        <v>4.2016806700000001E-3</v>
      </c>
      <c r="O142" s="242">
        <v>18814</v>
      </c>
      <c r="P142" s="247">
        <v>5.4005602239999999E-2</v>
      </c>
      <c r="Q142" s="248">
        <v>77.5</v>
      </c>
      <c r="R142" s="249">
        <v>9.1</v>
      </c>
      <c r="S142" s="249">
        <v>4.9000000000000004</v>
      </c>
      <c r="T142" s="250">
        <v>91.5</v>
      </c>
      <c r="U142" s="244">
        <v>477</v>
      </c>
      <c r="V142" s="242">
        <v>1114</v>
      </c>
      <c r="W142" s="242">
        <v>0</v>
      </c>
      <c r="X142" s="242">
        <v>0</v>
      </c>
      <c r="Y142" s="242">
        <v>0</v>
      </c>
      <c r="Z142" s="242">
        <v>6410</v>
      </c>
      <c r="AA142" s="242">
        <v>10659</v>
      </c>
      <c r="AB142" s="242">
        <v>1338</v>
      </c>
      <c r="AC142" s="242">
        <v>0</v>
      </c>
      <c r="AD142" s="245">
        <v>0</v>
      </c>
      <c r="AE142" s="244">
        <v>1062</v>
      </c>
      <c r="AF142" s="242">
        <v>529</v>
      </c>
      <c r="AG142" s="242">
        <v>0</v>
      </c>
      <c r="AH142" s="242">
        <v>0</v>
      </c>
      <c r="AI142" s="242">
        <v>8653</v>
      </c>
      <c r="AJ142" s="242">
        <v>8645</v>
      </c>
      <c r="AK142" s="242">
        <v>839</v>
      </c>
      <c r="AL142" s="245">
        <v>270</v>
      </c>
      <c r="AM142" s="251">
        <v>19809259</v>
      </c>
      <c r="AN142" s="242">
        <v>2625</v>
      </c>
      <c r="AO142" s="252">
        <v>2655975</v>
      </c>
      <c r="AP142" s="242">
        <v>375</v>
      </c>
      <c r="AQ142" s="252">
        <v>2927000</v>
      </c>
      <c r="AR142" s="245">
        <v>420</v>
      </c>
    </row>
    <row r="143" spans="1:44" x14ac:dyDescent="0.3">
      <c r="A143" s="221">
        <v>877</v>
      </c>
      <c r="B143" s="221" t="s">
        <v>142</v>
      </c>
      <c r="C143" s="221" t="s">
        <v>350</v>
      </c>
      <c r="D143" s="241">
        <v>20702360.550000001</v>
      </c>
      <c r="E143" s="242">
        <v>16197</v>
      </c>
      <c r="F143" s="242">
        <v>18288</v>
      </c>
      <c r="G143" s="243">
        <v>0.1290979811076125</v>
      </c>
      <c r="H143" s="244">
        <v>18496</v>
      </c>
      <c r="I143" s="242">
        <v>18722</v>
      </c>
      <c r="J143" s="242">
        <v>765</v>
      </c>
      <c r="K143" s="245">
        <v>150</v>
      </c>
      <c r="L143" s="244">
        <v>17365</v>
      </c>
      <c r="M143" s="242">
        <v>17476</v>
      </c>
      <c r="N143" s="246">
        <v>6.3921681500000004E-3</v>
      </c>
      <c r="O143" s="242">
        <v>17388</v>
      </c>
      <c r="P143" s="247">
        <v>1.3245033099999999E-3</v>
      </c>
      <c r="Q143" s="248">
        <v>90.4</v>
      </c>
      <c r="R143" s="249">
        <v>5.3</v>
      </c>
      <c r="S143" s="249">
        <v>1.3</v>
      </c>
      <c r="T143" s="250">
        <v>97</v>
      </c>
      <c r="U143" s="244">
        <v>27</v>
      </c>
      <c r="V143" s="242">
        <v>345</v>
      </c>
      <c r="W143" s="242">
        <v>0</v>
      </c>
      <c r="X143" s="242">
        <v>0</v>
      </c>
      <c r="Y143" s="242">
        <v>0</v>
      </c>
      <c r="Z143" s="242">
        <v>3990</v>
      </c>
      <c r="AA143" s="242">
        <v>12092</v>
      </c>
      <c r="AB143" s="242">
        <v>2068</v>
      </c>
      <c r="AC143" s="242">
        <v>200</v>
      </c>
      <c r="AD143" s="245">
        <v>0</v>
      </c>
      <c r="AE143" s="244">
        <v>55</v>
      </c>
      <c r="AF143" s="242">
        <v>287</v>
      </c>
      <c r="AG143" s="242">
        <v>30</v>
      </c>
      <c r="AH143" s="242">
        <v>0</v>
      </c>
      <c r="AI143" s="242">
        <v>2940</v>
      </c>
      <c r="AJ143" s="242">
        <v>10946</v>
      </c>
      <c r="AK143" s="242">
        <v>4059</v>
      </c>
      <c r="AL143" s="245">
        <v>405</v>
      </c>
      <c r="AM143" s="251">
        <v>4515754</v>
      </c>
      <c r="AN143" s="242">
        <v>765</v>
      </c>
      <c r="AO143" s="252">
        <v>136000</v>
      </c>
      <c r="AP143" s="242">
        <v>30</v>
      </c>
      <c r="AQ143" s="252">
        <v>1050770</v>
      </c>
      <c r="AR143" s="245">
        <v>210</v>
      </c>
    </row>
    <row r="144" spans="1:44" x14ac:dyDescent="0.3">
      <c r="A144" s="221">
        <v>937</v>
      </c>
      <c r="B144" s="221" t="s">
        <v>143</v>
      </c>
      <c r="C144" s="221" t="s">
        <v>349</v>
      </c>
      <c r="D144" s="241">
        <v>59510789.760000005</v>
      </c>
      <c r="E144" s="242">
        <v>38637</v>
      </c>
      <c r="F144" s="242">
        <v>43657</v>
      </c>
      <c r="G144" s="243">
        <v>0.12992727178611174</v>
      </c>
      <c r="H144" s="244">
        <v>43490</v>
      </c>
      <c r="I144" s="242">
        <v>46322</v>
      </c>
      <c r="J144" s="242">
        <v>3219</v>
      </c>
      <c r="K144" s="245">
        <v>170</v>
      </c>
      <c r="L144" s="244">
        <v>41792</v>
      </c>
      <c r="M144" s="242">
        <v>41905</v>
      </c>
      <c r="N144" s="246">
        <v>2.7038667600000001E-3</v>
      </c>
      <c r="O144" s="242">
        <v>41981</v>
      </c>
      <c r="P144" s="247">
        <v>4.5223966299999998E-3</v>
      </c>
      <c r="Q144" s="248">
        <v>88.7</v>
      </c>
      <c r="R144" s="249">
        <v>5.8</v>
      </c>
      <c r="S144" s="249">
        <v>1.2</v>
      </c>
      <c r="T144" s="250">
        <v>95.6</v>
      </c>
      <c r="U144" s="244">
        <v>395</v>
      </c>
      <c r="V144" s="242">
        <v>524</v>
      </c>
      <c r="W144" s="242">
        <v>29</v>
      </c>
      <c r="X144" s="242">
        <v>45</v>
      </c>
      <c r="Y144" s="242">
        <v>0</v>
      </c>
      <c r="Z144" s="242">
        <v>6443</v>
      </c>
      <c r="AA144" s="242">
        <v>28691</v>
      </c>
      <c r="AB144" s="242">
        <v>7397</v>
      </c>
      <c r="AC144" s="242">
        <v>720</v>
      </c>
      <c r="AD144" s="245">
        <v>0</v>
      </c>
      <c r="AE144" s="244">
        <v>0</v>
      </c>
      <c r="AF144" s="242">
        <v>614</v>
      </c>
      <c r="AG144" s="242">
        <v>334</v>
      </c>
      <c r="AH144" s="242">
        <v>45</v>
      </c>
      <c r="AI144" s="242">
        <v>4055</v>
      </c>
      <c r="AJ144" s="242">
        <v>22110</v>
      </c>
      <c r="AK144" s="242">
        <v>11495</v>
      </c>
      <c r="AL144" s="245">
        <v>5591</v>
      </c>
      <c r="AM144" s="251">
        <v>27492000</v>
      </c>
      <c r="AN144" s="242">
        <v>2694</v>
      </c>
      <c r="AO144" s="252">
        <v>100000</v>
      </c>
      <c r="AP144" s="242">
        <v>30</v>
      </c>
      <c r="AQ144" s="252">
        <v>0</v>
      </c>
      <c r="AR144" s="245">
        <v>0</v>
      </c>
    </row>
    <row r="145" spans="1:44" x14ac:dyDescent="0.3">
      <c r="A145" s="221">
        <v>869</v>
      </c>
      <c r="B145" s="221" t="s">
        <v>144</v>
      </c>
      <c r="C145" s="221" t="s">
        <v>351</v>
      </c>
      <c r="D145" s="241">
        <v>25667395.010000002</v>
      </c>
      <c r="E145" s="242">
        <v>11901</v>
      </c>
      <c r="F145" s="242">
        <v>13698</v>
      </c>
      <c r="G145" s="243">
        <v>0.15099571464582806</v>
      </c>
      <c r="H145" s="244">
        <v>13041</v>
      </c>
      <c r="I145" s="242">
        <v>13942</v>
      </c>
      <c r="J145" s="242">
        <v>681</v>
      </c>
      <c r="K145" s="245">
        <v>230</v>
      </c>
      <c r="L145" s="244">
        <v>12820</v>
      </c>
      <c r="M145" s="242">
        <v>12940</v>
      </c>
      <c r="N145" s="246">
        <v>9.3603744100000004E-3</v>
      </c>
      <c r="O145" s="242">
        <v>12850</v>
      </c>
      <c r="P145" s="247">
        <v>2.3400935999999999E-3</v>
      </c>
      <c r="Q145" s="248">
        <v>89.1</v>
      </c>
      <c r="R145" s="249">
        <v>6</v>
      </c>
      <c r="S145" s="249">
        <v>2</v>
      </c>
      <c r="T145" s="250">
        <v>97</v>
      </c>
      <c r="U145" s="244">
        <v>0</v>
      </c>
      <c r="V145" s="242">
        <v>127</v>
      </c>
      <c r="W145" s="242">
        <v>119</v>
      </c>
      <c r="X145" s="242">
        <v>0</v>
      </c>
      <c r="Y145" s="242">
        <v>0</v>
      </c>
      <c r="Z145" s="242">
        <v>1293</v>
      </c>
      <c r="AA145" s="242">
        <v>7789</v>
      </c>
      <c r="AB145" s="242">
        <v>4195</v>
      </c>
      <c r="AC145" s="242">
        <v>0</v>
      </c>
      <c r="AD145" s="245">
        <v>0</v>
      </c>
      <c r="AE145" s="244">
        <v>75</v>
      </c>
      <c r="AF145" s="242">
        <v>21</v>
      </c>
      <c r="AG145" s="242">
        <v>101</v>
      </c>
      <c r="AH145" s="242">
        <v>49</v>
      </c>
      <c r="AI145" s="242">
        <v>1249</v>
      </c>
      <c r="AJ145" s="242">
        <v>5496</v>
      </c>
      <c r="AK145" s="242">
        <v>4910</v>
      </c>
      <c r="AL145" s="245">
        <v>1622</v>
      </c>
      <c r="AM145" s="251">
        <v>6004733</v>
      </c>
      <c r="AN145" s="242">
        <v>617</v>
      </c>
      <c r="AO145" s="252">
        <v>825087</v>
      </c>
      <c r="AP145" s="242">
        <v>203</v>
      </c>
      <c r="AQ145" s="252">
        <v>0</v>
      </c>
      <c r="AR145" s="245">
        <v>0</v>
      </c>
    </row>
    <row r="146" spans="1:44" x14ac:dyDescent="0.3">
      <c r="A146" s="221">
        <v>938</v>
      </c>
      <c r="B146" s="221" t="s">
        <v>145</v>
      </c>
      <c r="C146" s="221" t="s">
        <v>351</v>
      </c>
      <c r="D146" s="241">
        <v>197655481.65000001</v>
      </c>
      <c r="E146" s="242">
        <v>55084</v>
      </c>
      <c r="F146" s="242">
        <v>65411</v>
      </c>
      <c r="G146" s="243">
        <v>0.18747730738508461</v>
      </c>
      <c r="H146" s="244">
        <v>59857</v>
      </c>
      <c r="I146" s="242">
        <v>66415</v>
      </c>
      <c r="J146" s="242">
        <v>3885</v>
      </c>
      <c r="K146" s="245">
        <v>900</v>
      </c>
      <c r="L146" s="244">
        <v>61097</v>
      </c>
      <c r="M146" s="242">
        <v>61774</v>
      </c>
      <c r="N146" s="246">
        <v>1.108074046E-2</v>
      </c>
      <c r="O146" s="242">
        <v>61857</v>
      </c>
      <c r="P146" s="247">
        <v>1.243923596E-2</v>
      </c>
      <c r="Q146" s="248">
        <v>87.4</v>
      </c>
      <c r="R146" s="249">
        <v>7.8</v>
      </c>
      <c r="S146" s="249">
        <v>2.8</v>
      </c>
      <c r="T146" s="250">
        <v>98</v>
      </c>
      <c r="U146" s="244">
        <v>61</v>
      </c>
      <c r="V146" s="242">
        <v>459</v>
      </c>
      <c r="W146" s="242">
        <v>0</v>
      </c>
      <c r="X146" s="242">
        <v>0</v>
      </c>
      <c r="Y146" s="242">
        <v>0</v>
      </c>
      <c r="Z146" s="242">
        <v>7600</v>
      </c>
      <c r="AA146" s="242">
        <v>41051</v>
      </c>
      <c r="AB146" s="242">
        <v>14039</v>
      </c>
      <c r="AC146" s="242">
        <v>986</v>
      </c>
      <c r="AD146" s="245">
        <v>0</v>
      </c>
      <c r="AE146" s="244">
        <v>0</v>
      </c>
      <c r="AF146" s="242">
        <v>105</v>
      </c>
      <c r="AG146" s="242">
        <v>308</v>
      </c>
      <c r="AH146" s="242">
        <v>107</v>
      </c>
      <c r="AI146" s="242">
        <v>8427</v>
      </c>
      <c r="AJ146" s="242">
        <v>24219</v>
      </c>
      <c r="AK146" s="242">
        <v>21418</v>
      </c>
      <c r="AL146" s="245">
        <v>9612</v>
      </c>
      <c r="AM146" s="251">
        <v>56067501</v>
      </c>
      <c r="AN146" s="242">
        <v>4064</v>
      </c>
      <c r="AO146" s="252">
        <v>21326000</v>
      </c>
      <c r="AP146" s="242">
        <v>1650</v>
      </c>
      <c r="AQ146" s="252">
        <v>7495000</v>
      </c>
      <c r="AR146" s="245">
        <v>420</v>
      </c>
    </row>
    <row r="147" spans="1:44" x14ac:dyDescent="0.3">
      <c r="A147" s="221">
        <v>213</v>
      </c>
      <c r="B147" s="221" t="s">
        <v>146</v>
      </c>
      <c r="C147" s="221" t="s">
        <v>345</v>
      </c>
      <c r="D147" s="241">
        <v>24149488.350000001</v>
      </c>
      <c r="E147" s="242">
        <v>10086</v>
      </c>
      <c r="F147" s="242">
        <v>11229</v>
      </c>
      <c r="G147" s="243">
        <v>0.11332540154669846</v>
      </c>
      <c r="H147" s="244">
        <v>11603</v>
      </c>
      <c r="I147" s="242">
        <v>12545</v>
      </c>
      <c r="J147" s="242">
        <v>210</v>
      </c>
      <c r="K147" s="245">
        <v>80</v>
      </c>
      <c r="L147" s="244">
        <v>10603</v>
      </c>
      <c r="M147" s="242">
        <v>10921</v>
      </c>
      <c r="N147" s="246">
        <v>2.9991511830000001E-2</v>
      </c>
      <c r="O147" s="242">
        <v>11306</v>
      </c>
      <c r="P147" s="247">
        <v>6.6301990000000005E-2</v>
      </c>
      <c r="Q147" s="248">
        <v>80.3</v>
      </c>
      <c r="R147" s="249">
        <v>8.9</v>
      </c>
      <c r="S147" s="249">
        <v>4.0999999999999996</v>
      </c>
      <c r="T147" s="250">
        <v>93.3</v>
      </c>
      <c r="U147" s="244">
        <v>0</v>
      </c>
      <c r="V147" s="242">
        <v>0</v>
      </c>
      <c r="W147" s="242">
        <v>0</v>
      </c>
      <c r="X147" s="242">
        <v>0</v>
      </c>
      <c r="Y147" s="242">
        <v>0</v>
      </c>
      <c r="Z147" s="242">
        <v>3090</v>
      </c>
      <c r="AA147" s="242">
        <v>7145</v>
      </c>
      <c r="AB147" s="242">
        <v>420</v>
      </c>
      <c r="AC147" s="242">
        <v>0</v>
      </c>
      <c r="AD147" s="245">
        <v>0</v>
      </c>
      <c r="AE147" s="244">
        <v>0</v>
      </c>
      <c r="AF147" s="242">
        <v>0</v>
      </c>
      <c r="AG147" s="242">
        <v>0</v>
      </c>
      <c r="AH147" s="242">
        <v>0</v>
      </c>
      <c r="AI147" s="242">
        <v>5897</v>
      </c>
      <c r="AJ147" s="242">
        <v>3838</v>
      </c>
      <c r="AK147" s="242">
        <v>740</v>
      </c>
      <c r="AL147" s="245">
        <v>180</v>
      </c>
      <c r="AM147" s="251">
        <v>0</v>
      </c>
      <c r="AN147" s="242">
        <v>0</v>
      </c>
      <c r="AO147" s="252">
        <v>0</v>
      </c>
      <c r="AP147" s="242">
        <v>0</v>
      </c>
      <c r="AQ147" s="252">
        <v>0</v>
      </c>
      <c r="AR147" s="245">
        <v>0</v>
      </c>
    </row>
    <row r="148" spans="1:44" x14ac:dyDescent="0.3">
      <c r="A148" s="221">
        <v>359</v>
      </c>
      <c r="B148" s="221" t="s">
        <v>147</v>
      </c>
      <c r="C148" s="221" t="s">
        <v>350</v>
      </c>
      <c r="D148" s="241">
        <v>38385340.609999999</v>
      </c>
      <c r="E148" s="242">
        <v>23707</v>
      </c>
      <c r="F148" s="242">
        <v>26440</v>
      </c>
      <c r="G148" s="243">
        <v>0.11528240604041007</v>
      </c>
      <c r="H148" s="244">
        <v>25861</v>
      </c>
      <c r="I148" s="242">
        <v>26947</v>
      </c>
      <c r="J148" s="242">
        <v>209</v>
      </c>
      <c r="K148" s="245">
        <v>450</v>
      </c>
      <c r="L148" s="244">
        <v>25505</v>
      </c>
      <c r="M148" s="242">
        <v>25461</v>
      </c>
      <c r="N148" s="246">
        <v>-1.72515193E-3</v>
      </c>
      <c r="O148" s="242">
        <v>25536</v>
      </c>
      <c r="P148" s="247">
        <v>1.21544795E-3</v>
      </c>
      <c r="Q148" s="248">
        <v>88.6</v>
      </c>
      <c r="R148" s="249">
        <v>6.4</v>
      </c>
      <c r="S148" s="249">
        <v>1.4</v>
      </c>
      <c r="T148" s="250">
        <v>96.4</v>
      </c>
      <c r="U148" s="244">
        <v>39</v>
      </c>
      <c r="V148" s="242">
        <v>303</v>
      </c>
      <c r="W148" s="242">
        <v>0</v>
      </c>
      <c r="X148" s="242">
        <v>0</v>
      </c>
      <c r="Y148" s="242">
        <v>0</v>
      </c>
      <c r="Z148" s="242">
        <v>7569</v>
      </c>
      <c r="AA148" s="242">
        <v>16554</v>
      </c>
      <c r="AB148" s="242">
        <v>1879</v>
      </c>
      <c r="AC148" s="242">
        <v>603</v>
      </c>
      <c r="AD148" s="245">
        <v>0</v>
      </c>
      <c r="AE148" s="244">
        <v>207</v>
      </c>
      <c r="AF148" s="242">
        <v>118</v>
      </c>
      <c r="AG148" s="242">
        <v>17</v>
      </c>
      <c r="AH148" s="242">
        <v>0</v>
      </c>
      <c r="AI148" s="242">
        <v>8777</v>
      </c>
      <c r="AJ148" s="242">
        <v>14148</v>
      </c>
      <c r="AK148" s="242">
        <v>3356</v>
      </c>
      <c r="AL148" s="245">
        <v>324</v>
      </c>
      <c r="AM148" s="251">
        <v>8355182.9820689997</v>
      </c>
      <c r="AN148" s="242">
        <v>945</v>
      </c>
      <c r="AO148" s="252">
        <v>441000</v>
      </c>
      <c r="AP148" s="242">
        <v>90</v>
      </c>
      <c r="AQ148" s="252">
        <v>1300364</v>
      </c>
      <c r="AR148" s="245">
        <v>105</v>
      </c>
    </row>
    <row r="149" spans="1:44" x14ac:dyDescent="0.3">
      <c r="A149" s="221">
        <v>865</v>
      </c>
      <c r="B149" s="221" t="s">
        <v>148</v>
      </c>
      <c r="C149" s="221" t="s">
        <v>347</v>
      </c>
      <c r="D149" s="241">
        <v>64196989.980000004</v>
      </c>
      <c r="E149" s="242">
        <v>33888</v>
      </c>
      <c r="F149" s="242">
        <v>39105</v>
      </c>
      <c r="G149" s="243">
        <v>0.15394830028328621</v>
      </c>
      <c r="H149" s="244">
        <v>40642</v>
      </c>
      <c r="I149" s="242">
        <v>43032</v>
      </c>
      <c r="J149" s="242">
        <v>2937</v>
      </c>
      <c r="K149" s="245">
        <v>30</v>
      </c>
      <c r="L149" s="244">
        <v>36128</v>
      </c>
      <c r="M149" s="242">
        <v>36344</v>
      </c>
      <c r="N149" s="246">
        <v>5.9787422400000003E-3</v>
      </c>
      <c r="O149" s="242">
        <v>37692</v>
      </c>
      <c r="P149" s="247">
        <v>4.3290522579999997E-2</v>
      </c>
      <c r="Q149" s="248">
        <v>90.3</v>
      </c>
      <c r="R149" s="249">
        <v>5</v>
      </c>
      <c r="S149" s="249">
        <v>1.5</v>
      </c>
      <c r="T149" s="250">
        <v>96.8</v>
      </c>
      <c r="U149" s="244">
        <v>0</v>
      </c>
      <c r="V149" s="242">
        <v>270</v>
      </c>
      <c r="W149" s="242">
        <v>150</v>
      </c>
      <c r="X149" s="242">
        <v>0</v>
      </c>
      <c r="Y149" s="242">
        <v>0</v>
      </c>
      <c r="Z149" s="242">
        <v>6463</v>
      </c>
      <c r="AA149" s="242">
        <v>28319</v>
      </c>
      <c r="AB149" s="242">
        <v>5199</v>
      </c>
      <c r="AC149" s="242">
        <v>855</v>
      </c>
      <c r="AD149" s="245">
        <v>0</v>
      </c>
      <c r="AE149" s="244">
        <v>40</v>
      </c>
      <c r="AF149" s="242">
        <v>320</v>
      </c>
      <c r="AG149" s="242">
        <v>60</v>
      </c>
      <c r="AH149" s="242">
        <v>0</v>
      </c>
      <c r="AI149" s="242">
        <v>4789</v>
      </c>
      <c r="AJ149" s="242">
        <v>24435</v>
      </c>
      <c r="AK149" s="242">
        <v>9173</v>
      </c>
      <c r="AL149" s="245">
        <v>2439</v>
      </c>
      <c r="AM149" s="251">
        <v>9186466</v>
      </c>
      <c r="AN149" s="242">
        <v>859</v>
      </c>
      <c r="AO149" s="252">
        <v>419000</v>
      </c>
      <c r="AP149" s="242">
        <v>140</v>
      </c>
      <c r="AQ149" s="252">
        <v>10383873</v>
      </c>
      <c r="AR149" s="245">
        <v>721</v>
      </c>
    </row>
    <row r="150" spans="1:44" x14ac:dyDescent="0.3">
      <c r="A150" s="221">
        <v>868</v>
      </c>
      <c r="B150" s="221" t="s">
        <v>149</v>
      </c>
      <c r="C150" s="221" t="s">
        <v>351</v>
      </c>
      <c r="D150" s="241">
        <v>29200675.77</v>
      </c>
      <c r="E150" s="242">
        <v>8885</v>
      </c>
      <c r="F150" s="242">
        <v>11501</v>
      </c>
      <c r="G150" s="243">
        <v>0.29442881260551501</v>
      </c>
      <c r="H150" s="244">
        <v>9728</v>
      </c>
      <c r="I150" s="242">
        <v>11887</v>
      </c>
      <c r="J150" s="242">
        <v>59</v>
      </c>
      <c r="K150" s="245">
        <v>230</v>
      </c>
      <c r="L150" s="244">
        <v>10672</v>
      </c>
      <c r="M150" s="242">
        <v>10735</v>
      </c>
      <c r="N150" s="246">
        <v>5.9032983499999999E-3</v>
      </c>
      <c r="O150" s="242">
        <v>11072</v>
      </c>
      <c r="P150" s="247">
        <v>3.7481259369999999E-2</v>
      </c>
      <c r="Q150" s="248">
        <v>85.8</v>
      </c>
      <c r="R150" s="249">
        <v>7.2</v>
      </c>
      <c r="S150" s="249">
        <v>2.2999999999999998</v>
      </c>
      <c r="T150" s="250">
        <v>95.3</v>
      </c>
      <c r="U150" s="244">
        <v>30</v>
      </c>
      <c r="V150" s="242">
        <v>105</v>
      </c>
      <c r="W150" s="242">
        <v>211</v>
      </c>
      <c r="X150" s="242">
        <v>0</v>
      </c>
      <c r="Y150" s="242">
        <v>0</v>
      </c>
      <c r="Z150" s="242">
        <v>2402</v>
      </c>
      <c r="AA150" s="242">
        <v>6181</v>
      </c>
      <c r="AB150" s="242">
        <v>2365</v>
      </c>
      <c r="AC150" s="242">
        <v>248</v>
      </c>
      <c r="AD150" s="245">
        <v>0</v>
      </c>
      <c r="AE150" s="244">
        <v>30</v>
      </c>
      <c r="AF150" s="242">
        <v>241</v>
      </c>
      <c r="AG150" s="242">
        <v>0</v>
      </c>
      <c r="AH150" s="242">
        <v>75</v>
      </c>
      <c r="AI150" s="242">
        <v>2127</v>
      </c>
      <c r="AJ150" s="242">
        <v>3787</v>
      </c>
      <c r="AK150" s="242">
        <v>1672</v>
      </c>
      <c r="AL150" s="245">
        <v>3610</v>
      </c>
      <c r="AM150" s="251">
        <v>9656995</v>
      </c>
      <c r="AN150" s="242">
        <v>1157</v>
      </c>
      <c r="AO150" s="252">
        <v>1510749</v>
      </c>
      <c r="AP150" s="242">
        <v>135</v>
      </c>
      <c r="AQ150" s="252">
        <v>4990977</v>
      </c>
      <c r="AR150" s="245">
        <v>268</v>
      </c>
    </row>
    <row r="151" spans="1:44" x14ac:dyDescent="0.3">
      <c r="A151" s="221">
        <v>344</v>
      </c>
      <c r="B151" s="221" t="s">
        <v>150</v>
      </c>
      <c r="C151" s="221" t="s">
        <v>350</v>
      </c>
      <c r="D151" s="241">
        <v>8169668.21</v>
      </c>
      <c r="E151" s="242">
        <v>23649</v>
      </c>
      <c r="F151" s="242">
        <v>25925</v>
      </c>
      <c r="G151" s="243">
        <v>9.6240855850141749E-2</v>
      </c>
      <c r="H151" s="244">
        <v>27485</v>
      </c>
      <c r="I151" s="242">
        <v>27809</v>
      </c>
      <c r="J151" s="242">
        <v>438</v>
      </c>
      <c r="K151" s="245">
        <v>90</v>
      </c>
      <c r="L151" s="244">
        <v>25287</v>
      </c>
      <c r="M151" s="242">
        <v>25332</v>
      </c>
      <c r="N151" s="246">
        <v>1.7795705299999999E-3</v>
      </c>
      <c r="O151" s="242">
        <v>25287</v>
      </c>
      <c r="P151" s="247">
        <v>0</v>
      </c>
      <c r="Q151" s="248">
        <v>89.1</v>
      </c>
      <c r="R151" s="249">
        <v>5.6</v>
      </c>
      <c r="S151" s="249">
        <v>1.7</v>
      </c>
      <c r="T151" s="250">
        <v>96.5</v>
      </c>
      <c r="U151" s="244">
        <v>0</v>
      </c>
      <c r="V151" s="242">
        <v>238</v>
      </c>
      <c r="W151" s="242">
        <v>78</v>
      </c>
      <c r="X151" s="242">
        <v>0</v>
      </c>
      <c r="Y151" s="242">
        <v>0</v>
      </c>
      <c r="Z151" s="242">
        <v>4682</v>
      </c>
      <c r="AA151" s="242">
        <v>19129</v>
      </c>
      <c r="AB151" s="242">
        <v>3682</v>
      </c>
      <c r="AC151" s="242">
        <v>0</v>
      </c>
      <c r="AD151" s="245">
        <v>0</v>
      </c>
      <c r="AE151" s="244">
        <v>50</v>
      </c>
      <c r="AF151" s="242">
        <v>247</v>
      </c>
      <c r="AG151" s="242">
        <v>19</v>
      </c>
      <c r="AH151" s="242">
        <v>0</v>
      </c>
      <c r="AI151" s="242">
        <v>5629</v>
      </c>
      <c r="AJ151" s="242">
        <v>16430</v>
      </c>
      <c r="AK151" s="242">
        <v>4170</v>
      </c>
      <c r="AL151" s="245">
        <v>1264</v>
      </c>
      <c r="AM151" s="251">
        <v>300000</v>
      </c>
      <c r="AN151" s="242">
        <v>60</v>
      </c>
      <c r="AO151" s="252">
        <v>100000</v>
      </c>
      <c r="AP151" s="242">
        <v>30</v>
      </c>
      <c r="AQ151" s="252">
        <v>0</v>
      </c>
      <c r="AR151" s="245">
        <v>0</v>
      </c>
    </row>
    <row r="152" spans="1:44" x14ac:dyDescent="0.3">
      <c r="A152" s="221">
        <v>872</v>
      </c>
      <c r="B152" s="221" t="s">
        <v>151</v>
      </c>
      <c r="C152" s="221" t="s">
        <v>351</v>
      </c>
      <c r="D152" s="241">
        <v>48135812.350000001</v>
      </c>
      <c r="E152" s="242">
        <v>11884</v>
      </c>
      <c r="F152" s="242">
        <v>14629</v>
      </c>
      <c r="G152" s="243">
        <v>0.23098283406260522</v>
      </c>
      <c r="H152" s="244">
        <v>13272</v>
      </c>
      <c r="I152" s="242">
        <v>15090</v>
      </c>
      <c r="J152" s="242">
        <v>855</v>
      </c>
      <c r="K152" s="245">
        <v>180</v>
      </c>
      <c r="L152" s="244">
        <v>13839</v>
      </c>
      <c r="M152" s="242">
        <v>13788</v>
      </c>
      <c r="N152" s="246">
        <v>-3.6852373699999999E-3</v>
      </c>
      <c r="O152" s="242">
        <v>14090</v>
      </c>
      <c r="P152" s="247">
        <v>1.8137148629999999E-2</v>
      </c>
      <c r="Q152" s="248">
        <v>84.5</v>
      </c>
      <c r="R152" s="249">
        <v>7.7</v>
      </c>
      <c r="S152" s="249">
        <v>2.5</v>
      </c>
      <c r="T152" s="250">
        <v>94.8</v>
      </c>
      <c r="U152" s="244">
        <v>0</v>
      </c>
      <c r="V152" s="242">
        <v>15</v>
      </c>
      <c r="W152" s="242">
        <v>0</v>
      </c>
      <c r="X152" s="242">
        <v>0</v>
      </c>
      <c r="Y152" s="242">
        <v>0</v>
      </c>
      <c r="Z152" s="242">
        <v>2371</v>
      </c>
      <c r="AA152" s="242">
        <v>9087</v>
      </c>
      <c r="AB152" s="242">
        <v>2847</v>
      </c>
      <c r="AC152" s="242">
        <v>0</v>
      </c>
      <c r="AD152" s="245">
        <v>0</v>
      </c>
      <c r="AE152" s="244">
        <v>0</v>
      </c>
      <c r="AF152" s="242">
        <v>15</v>
      </c>
      <c r="AG152" s="242">
        <v>0</v>
      </c>
      <c r="AH152" s="242">
        <v>0</v>
      </c>
      <c r="AI152" s="242">
        <v>2590</v>
      </c>
      <c r="AJ152" s="242">
        <v>7700</v>
      </c>
      <c r="AK152" s="242">
        <v>2120</v>
      </c>
      <c r="AL152" s="245">
        <v>1895</v>
      </c>
      <c r="AM152" s="251">
        <v>14073665</v>
      </c>
      <c r="AN152" s="242">
        <v>913</v>
      </c>
      <c r="AO152" s="252">
        <v>2156537</v>
      </c>
      <c r="AP152" s="242">
        <v>198</v>
      </c>
      <c r="AQ152" s="252">
        <v>7546193</v>
      </c>
      <c r="AR152" s="245">
        <v>420</v>
      </c>
    </row>
    <row r="153" spans="1:44" x14ac:dyDescent="0.3">
      <c r="A153" s="221">
        <v>336</v>
      </c>
      <c r="B153" s="221" t="s">
        <v>152</v>
      </c>
      <c r="C153" s="221" t="s">
        <v>349</v>
      </c>
      <c r="D153" s="241">
        <v>22446886.620000001</v>
      </c>
      <c r="E153" s="242">
        <v>19176</v>
      </c>
      <c r="F153" s="242">
        <v>23287</v>
      </c>
      <c r="G153" s="243">
        <v>0.21438256153525237</v>
      </c>
      <c r="H153" s="244">
        <v>22278</v>
      </c>
      <c r="I153" s="242">
        <v>23370</v>
      </c>
      <c r="J153" s="242">
        <v>915</v>
      </c>
      <c r="K153" s="245">
        <v>370</v>
      </c>
      <c r="L153" s="244">
        <v>21369</v>
      </c>
      <c r="M153" s="242">
        <v>21441</v>
      </c>
      <c r="N153" s="246">
        <v>3.3693668300000001E-3</v>
      </c>
      <c r="O153" s="242">
        <v>20867</v>
      </c>
      <c r="P153" s="247">
        <v>-2.349197435E-2</v>
      </c>
      <c r="Q153" s="248">
        <v>88.9</v>
      </c>
      <c r="R153" s="249">
        <v>6.5</v>
      </c>
      <c r="S153" s="249">
        <v>1.4</v>
      </c>
      <c r="T153" s="250">
        <v>96.7</v>
      </c>
      <c r="U153" s="244">
        <v>0</v>
      </c>
      <c r="V153" s="242">
        <v>535</v>
      </c>
      <c r="W153" s="242">
        <v>191</v>
      </c>
      <c r="X153" s="242">
        <v>51</v>
      </c>
      <c r="Y153" s="242">
        <v>0</v>
      </c>
      <c r="Z153" s="242">
        <v>1900</v>
      </c>
      <c r="AA153" s="242">
        <v>13975</v>
      </c>
      <c r="AB153" s="242">
        <v>5003</v>
      </c>
      <c r="AC153" s="242">
        <v>665</v>
      </c>
      <c r="AD153" s="245">
        <v>0</v>
      </c>
      <c r="AE153" s="244">
        <v>493</v>
      </c>
      <c r="AF153" s="242">
        <v>284</v>
      </c>
      <c r="AG153" s="242">
        <v>0</v>
      </c>
      <c r="AH153" s="242">
        <v>0</v>
      </c>
      <c r="AI153" s="242">
        <v>8205</v>
      </c>
      <c r="AJ153" s="242">
        <v>8964</v>
      </c>
      <c r="AK153" s="242">
        <v>3317</v>
      </c>
      <c r="AL153" s="245">
        <v>1057</v>
      </c>
      <c r="AM153" s="251">
        <v>12957823</v>
      </c>
      <c r="AN153" s="242">
        <v>870</v>
      </c>
      <c r="AO153" s="252">
        <v>0</v>
      </c>
      <c r="AP153" s="242">
        <v>0</v>
      </c>
      <c r="AQ153" s="252">
        <v>3924844</v>
      </c>
      <c r="AR153" s="245">
        <v>113</v>
      </c>
    </row>
    <row r="154" spans="1:44" x14ac:dyDescent="0.3">
      <c r="A154" s="221">
        <v>885</v>
      </c>
      <c r="B154" s="221" t="s">
        <v>153</v>
      </c>
      <c r="C154" s="221" t="s">
        <v>349</v>
      </c>
      <c r="D154" s="241">
        <v>47564993.439999998</v>
      </c>
      <c r="E154" s="242">
        <v>39413</v>
      </c>
      <c r="F154" s="242">
        <v>44648</v>
      </c>
      <c r="G154" s="243">
        <v>0.13282419506254284</v>
      </c>
      <c r="H154" s="244">
        <v>43550</v>
      </c>
      <c r="I154" s="242">
        <v>46318</v>
      </c>
      <c r="J154" s="242">
        <v>571</v>
      </c>
      <c r="K154" s="245">
        <v>480</v>
      </c>
      <c r="L154" s="244">
        <v>42209</v>
      </c>
      <c r="M154" s="242">
        <v>42029</v>
      </c>
      <c r="N154" s="246">
        <v>-4.2644933499999997E-3</v>
      </c>
      <c r="O154" s="242">
        <v>41890</v>
      </c>
      <c r="P154" s="247">
        <v>-7.5576298799999997E-3</v>
      </c>
      <c r="Q154" s="248">
        <v>90.6</v>
      </c>
      <c r="R154" s="249">
        <v>5.0999999999999996</v>
      </c>
      <c r="S154" s="249">
        <v>1.4</v>
      </c>
      <c r="T154" s="250">
        <v>97.1</v>
      </c>
      <c r="U154" s="244">
        <v>165</v>
      </c>
      <c r="V154" s="242">
        <v>811</v>
      </c>
      <c r="W154" s="242">
        <v>75</v>
      </c>
      <c r="X154" s="242">
        <v>0</v>
      </c>
      <c r="Y154" s="242">
        <v>0</v>
      </c>
      <c r="Z154" s="242">
        <v>6310</v>
      </c>
      <c r="AA154" s="242">
        <v>32836</v>
      </c>
      <c r="AB154" s="242">
        <v>4704</v>
      </c>
      <c r="AC154" s="242">
        <v>525</v>
      </c>
      <c r="AD154" s="245">
        <v>150</v>
      </c>
      <c r="AE154" s="244">
        <v>0</v>
      </c>
      <c r="AF154" s="242">
        <v>422</v>
      </c>
      <c r="AG154" s="242">
        <v>105</v>
      </c>
      <c r="AH154" s="242">
        <v>524</v>
      </c>
      <c r="AI154" s="242">
        <v>2824</v>
      </c>
      <c r="AJ154" s="242">
        <v>16382</v>
      </c>
      <c r="AK154" s="242">
        <v>10488</v>
      </c>
      <c r="AL154" s="245">
        <v>14831</v>
      </c>
      <c r="AM154" s="251">
        <v>14753228</v>
      </c>
      <c r="AN154" s="242">
        <v>1499</v>
      </c>
      <c r="AO154" s="252">
        <v>214335</v>
      </c>
      <c r="AP154" s="242">
        <v>90</v>
      </c>
      <c r="AQ154" s="252">
        <v>0</v>
      </c>
      <c r="AR154" s="245">
        <v>0</v>
      </c>
    </row>
    <row r="155" spans="1:44" ht="15" thickBot="1" x14ac:dyDescent="0.35">
      <c r="A155" s="221">
        <v>816</v>
      </c>
      <c r="B155" s="221" t="s">
        <v>154</v>
      </c>
      <c r="C155" s="221" t="s">
        <v>346</v>
      </c>
      <c r="D155" s="253">
        <v>39487217.390000001</v>
      </c>
      <c r="E155" s="254">
        <v>12209</v>
      </c>
      <c r="F155" s="254">
        <v>14066</v>
      </c>
      <c r="G155" s="255">
        <v>0.15210090916536978</v>
      </c>
      <c r="H155" s="256">
        <v>13533</v>
      </c>
      <c r="I155" s="254">
        <v>14519</v>
      </c>
      <c r="J155" s="254">
        <v>363</v>
      </c>
      <c r="K155" s="257">
        <v>340</v>
      </c>
      <c r="L155" s="256">
        <v>13330</v>
      </c>
      <c r="M155" s="254">
        <v>13489</v>
      </c>
      <c r="N155" s="258">
        <v>1.1927981989999999E-2</v>
      </c>
      <c r="O155" s="254">
        <v>13667</v>
      </c>
      <c r="P155" s="259">
        <v>2.5281320329999999E-2</v>
      </c>
      <c r="Q155" s="260">
        <v>92.3</v>
      </c>
      <c r="R155" s="261">
        <v>4.2</v>
      </c>
      <c r="S155" s="261">
        <v>1.3</v>
      </c>
      <c r="T155" s="262">
        <v>97.8</v>
      </c>
      <c r="U155" s="256">
        <v>0</v>
      </c>
      <c r="V155" s="254">
        <v>212</v>
      </c>
      <c r="W155" s="254">
        <v>0</v>
      </c>
      <c r="X155" s="254">
        <v>0</v>
      </c>
      <c r="Y155" s="254">
        <v>0</v>
      </c>
      <c r="Z155" s="254">
        <v>3180</v>
      </c>
      <c r="AA155" s="254">
        <v>8941</v>
      </c>
      <c r="AB155" s="254">
        <v>1976</v>
      </c>
      <c r="AC155" s="254">
        <v>0</v>
      </c>
      <c r="AD155" s="257">
        <v>0</v>
      </c>
      <c r="AE155" s="256">
        <v>0</v>
      </c>
      <c r="AF155" s="254">
        <v>152</v>
      </c>
      <c r="AG155" s="254">
        <v>60</v>
      </c>
      <c r="AH155" s="254">
        <v>0</v>
      </c>
      <c r="AI155" s="254">
        <v>1251</v>
      </c>
      <c r="AJ155" s="254">
        <v>10142</v>
      </c>
      <c r="AK155" s="254">
        <v>2297</v>
      </c>
      <c r="AL155" s="257">
        <v>407</v>
      </c>
      <c r="AM155" s="263">
        <v>3462951</v>
      </c>
      <c r="AN155" s="254">
        <v>457</v>
      </c>
      <c r="AO155" s="264">
        <v>0</v>
      </c>
      <c r="AP155" s="254">
        <v>0</v>
      </c>
      <c r="AQ155" s="264">
        <v>1786049.5555380001</v>
      </c>
      <c r="AR155" s="257">
        <v>140</v>
      </c>
    </row>
    <row r="157" spans="1:44" x14ac:dyDescent="0.3">
      <c r="A157" s="222" t="s">
        <v>399</v>
      </c>
    </row>
    <row r="158" spans="1:44" x14ac:dyDescent="0.3">
      <c r="A158" s="265" t="s">
        <v>400</v>
      </c>
      <c r="B158" s="221" t="s">
        <v>412</v>
      </c>
    </row>
    <row r="159" spans="1:44" x14ac:dyDescent="0.3">
      <c r="A159" s="265" t="s">
        <v>401</v>
      </c>
      <c r="B159" s="221" t="s">
        <v>409</v>
      </c>
    </row>
    <row r="160" spans="1:44" ht="58.2" customHeight="1" x14ac:dyDescent="0.3">
      <c r="A160" s="266" t="s">
        <v>402</v>
      </c>
      <c r="B160" s="328" t="s">
        <v>518</v>
      </c>
      <c r="C160" s="328"/>
    </row>
    <row r="161" spans="1:2" x14ac:dyDescent="0.3">
      <c r="A161" s="265" t="s">
        <v>503</v>
      </c>
      <c r="B161" s="221" t="s">
        <v>504</v>
      </c>
    </row>
  </sheetData>
  <sheetProtection password="A229" sheet="1" objects="1" scenarios="1" sort="0" autoFilter="0"/>
  <autoFilter ref="A3:AR155">
    <sortState ref="A4:AR155">
      <sortCondition ref="B3:B155"/>
    </sortState>
  </autoFilter>
  <mergeCells count="8">
    <mergeCell ref="AM2:AR2"/>
    <mergeCell ref="B160:C160"/>
    <mergeCell ref="D2:G2"/>
    <mergeCell ref="H2:K2"/>
    <mergeCell ref="L2:P2"/>
    <mergeCell ref="Q2:T2"/>
    <mergeCell ref="U2:AD2"/>
    <mergeCell ref="AE2:AL2"/>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R161"/>
  <sheetViews>
    <sheetView showGridLines="0" workbookViewId="0">
      <pane xSplit="3" ySplit="3" topLeftCell="D4" activePane="bottomRight" state="frozen"/>
      <selection pane="topRight" activeCell="D1" sqref="D1"/>
      <selection pane="bottomLeft" activeCell="A4" sqref="A4"/>
      <selection pane="bottomRight"/>
    </sheetView>
  </sheetViews>
  <sheetFormatPr defaultColWidth="8.88671875" defaultRowHeight="14.4" x14ac:dyDescent="0.3"/>
  <cols>
    <col min="1" max="1" width="10.6640625" style="24" customWidth="1"/>
    <col min="2" max="2" width="25.88671875" style="24" bestFit="1" customWidth="1"/>
    <col min="3" max="3" width="26.33203125" style="24" bestFit="1" customWidth="1"/>
    <col min="4" max="44" width="23.6640625" style="24" customWidth="1"/>
    <col min="45" max="16384" width="8.88671875" style="24"/>
  </cols>
  <sheetData>
    <row r="1" spans="1:44" ht="7.95" customHeight="1" thickBot="1" x14ac:dyDescent="0.3"/>
    <row r="2" spans="1:44" s="188" customFormat="1" ht="15.75" thickBot="1" x14ac:dyDescent="0.3">
      <c r="D2" s="329" t="s">
        <v>358</v>
      </c>
      <c r="E2" s="330"/>
      <c r="F2" s="330"/>
      <c r="G2" s="330"/>
      <c r="H2" s="329" t="s">
        <v>354</v>
      </c>
      <c r="I2" s="330"/>
      <c r="J2" s="330"/>
      <c r="K2" s="331"/>
      <c r="L2" s="329" t="s">
        <v>362</v>
      </c>
      <c r="M2" s="330"/>
      <c r="N2" s="330"/>
      <c r="O2" s="330"/>
      <c r="P2" s="331"/>
      <c r="Q2" s="329" t="s">
        <v>502</v>
      </c>
      <c r="R2" s="330"/>
      <c r="S2" s="330"/>
      <c r="T2" s="331"/>
      <c r="U2" s="329" t="s">
        <v>367</v>
      </c>
      <c r="V2" s="330"/>
      <c r="W2" s="330"/>
      <c r="X2" s="330"/>
      <c r="Y2" s="330"/>
      <c r="Z2" s="330"/>
      <c r="AA2" s="330"/>
      <c r="AB2" s="330"/>
      <c r="AC2" s="330"/>
      <c r="AD2" s="330"/>
      <c r="AE2" s="329" t="s">
        <v>382</v>
      </c>
      <c r="AF2" s="330"/>
      <c r="AG2" s="330"/>
      <c r="AH2" s="330"/>
      <c r="AI2" s="330"/>
      <c r="AJ2" s="330"/>
      <c r="AK2" s="330"/>
      <c r="AL2" s="331"/>
      <c r="AM2" s="329" t="s">
        <v>383</v>
      </c>
      <c r="AN2" s="330"/>
      <c r="AO2" s="330"/>
      <c r="AP2" s="330"/>
      <c r="AQ2" s="330"/>
      <c r="AR2" s="331"/>
    </row>
    <row r="3" spans="1:44" ht="75.75" thickBot="1" x14ac:dyDescent="0.3">
      <c r="A3" s="212" t="s">
        <v>403</v>
      </c>
      <c r="B3" s="213" t="s">
        <v>404</v>
      </c>
      <c r="C3" s="214" t="s">
        <v>344</v>
      </c>
      <c r="D3" s="155" t="s">
        <v>405</v>
      </c>
      <c r="E3" s="156" t="s">
        <v>359</v>
      </c>
      <c r="F3" s="156" t="s">
        <v>360</v>
      </c>
      <c r="G3" s="156" t="s">
        <v>390</v>
      </c>
      <c r="H3" s="155" t="s">
        <v>355</v>
      </c>
      <c r="I3" s="156" t="s">
        <v>356</v>
      </c>
      <c r="J3" s="156" t="s">
        <v>357</v>
      </c>
      <c r="K3" s="157" t="s">
        <v>406</v>
      </c>
      <c r="L3" s="155" t="s">
        <v>363</v>
      </c>
      <c r="M3" s="156" t="s">
        <v>391</v>
      </c>
      <c r="N3" s="156" t="s">
        <v>407</v>
      </c>
      <c r="O3" s="156" t="s">
        <v>364</v>
      </c>
      <c r="P3" s="157" t="s">
        <v>408</v>
      </c>
      <c r="Q3" s="155" t="s">
        <v>365</v>
      </c>
      <c r="R3" s="156" t="s">
        <v>392</v>
      </c>
      <c r="S3" s="156" t="s">
        <v>366</v>
      </c>
      <c r="T3" s="157" t="s">
        <v>393</v>
      </c>
      <c r="U3" s="155" t="s">
        <v>368</v>
      </c>
      <c r="V3" s="156" t="s">
        <v>394</v>
      </c>
      <c r="W3" s="156" t="s">
        <v>369</v>
      </c>
      <c r="X3" s="156" t="s">
        <v>370</v>
      </c>
      <c r="Y3" s="156" t="s">
        <v>395</v>
      </c>
      <c r="Z3" s="156" t="s">
        <v>371</v>
      </c>
      <c r="AA3" s="156" t="s">
        <v>396</v>
      </c>
      <c r="AB3" s="156" t="s">
        <v>372</v>
      </c>
      <c r="AC3" s="156" t="s">
        <v>373</v>
      </c>
      <c r="AD3" s="156" t="s">
        <v>374</v>
      </c>
      <c r="AE3" s="155" t="s">
        <v>376</v>
      </c>
      <c r="AF3" s="156" t="s">
        <v>377</v>
      </c>
      <c r="AG3" s="156" t="s">
        <v>378</v>
      </c>
      <c r="AH3" s="156" t="s">
        <v>397</v>
      </c>
      <c r="AI3" s="156" t="s">
        <v>379</v>
      </c>
      <c r="AJ3" s="156" t="s">
        <v>380</v>
      </c>
      <c r="AK3" s="156" t="s">
        <v>381</v>
      </c>
      <c r="AL3" s="157" t="s">
        <v>398</v>
      </c>
      <c r="AM3" s="155" t="s">
        <v>386</v>
      </c>
      <c r="AN3" s="156" t="s">
        <v>387</v>
      </c>
      <c r="AO3" s="156" t="s">
        <v>388</v>
      </c>
      <c r="AP3" s="156" t="s">
        <v>384</v>
      </c>
      <c r="AQ3" s="156" t="s">
        <v>389</v>
      </c>
      <c r="AR3" s="157" t="s">
        <v>385</v>
      </c>
    </row>
    <row r="4" spans="1:44" ht="15" x14ac:dyDescent="0.25">
      <c r="A4" s="24">
        <v>301</v>
      </c>
      <c r="B4" s="24" t="s">
        <v>1</v>
      </c>
      <c r="C4" s="24" t="s">
        <v>345</v>
      </c>
      <c r="D4" s="158">
        <v>166955585.40000001</v>
      </c>
      <c r="E4" s="159">
        <v>10856</v>
      </c>
      <c r="F4" s="159">
        <v>13298</v>
      </c>
      <c r="G4" s="164">
        <v>0.22494473102431845</v>
      </c>
      <c r="H4" s="167">
        <v>14175</v>
      </c>
      <c r="I4" s="159">
        <v>17998</v>
      </c>
      <c r="J4" s="159">
        <v>4275</v>
      </c>
      <c r="K4" s="168">
        <v>0</v>
      </c>
      <c r="L4" s="167">
        <v>11289</v>
      </c>
      <c r="M4" s="159">
        <v>11880</v>
      </c>
      <c r="N4" s="173">
        <v>5.2351846930000001E-2</v>
      </c>
      <c r="O4" s="159">
        <v>12069</v>
      </c>
      <c r="P4" s="174">
        <v>6.9093808130000003E-2</v>
      </c>
      <c r="Q4" s="179">
        <v>72.599999999999994</v>
      </c>
      <c r="R4" s="180">
        <v>12.9</v>
      </c>
      <c r="S4" s="180">
        <v>5.4</v>
      </c>
      <c r="T4" s="181">
        <v>91</v>
      </c>
      <c r="U4" s="167">
        <v>0</v>
      </c>
      <c r="V4" s="159">
        <v>566</v>
      </c>
      <c r="W4" s="159">
        <v>0</v>
      </c>
      <c r="X4" s="159">
        <v>0</v>
      </c>
      <c r="Y4" s="159">
        <v>0</v>
      </c>
      <c r="Z4" s="159">
        <v>2088</v>
      </c>
      <c r="AA4" s="159">
        <v>8310</v>
      </c>
      <c r="AB4" s="159">
        <v>3140</v>
      </c>
      <c r="AC4" s="159">
        <v>0</v>
      </c>
      <c r="AD4" s="168">
        <v>0</v>
      </c>
      <c r="AE4" s="167">
        <v>566</v>
      </c>
      <c r="AF4" s="159">
        <v>0</v>
      </c>
      <c r="AG4" s="159">
        <v>0</v>
      </c>
      <c r="AH4" s="159">
        <v>0</v>
      </c>
      <c r="AI4" s="159">
        <v>7734</v>
      </c>
      <c r="AJ4" s="159">
        <v>5804</v>
      </c>
      <c r="AK4" s="159">
        <v>0</v>
      </c>
      <c r="AL4" s="168">
        <v>0</v>
      </c>
      <c r="AM4" s="215">
        <v>7571429</v>
      </c>
      <c r="AN4" s="159">
        <v>600</v>
      </c>
      <c r="AO4" s="218">
        <v>0</v>
      </c>
      <c r="AP4" s="159">
        <v>0</v>
      </c>
      <c r="AQ4" s="218">
        <v>27600000</v>
      </c>
      <c r="AR4" s="168">
        <v>1824</v>
      </c>
    </row>
    <row r="5" spans="1:44" ht="15" x14ac:dyDescent="0.25">
      <c r="A5" s="24">
        <v>302</v>
      </c>
      <c r="B5" s="24" t="s">
        <v>4</v>
      </c>
      <c r="C5" s="24" t="s">
        <v>345</v>
      </c>
      <c r="D5" s="160">
        <v>100755442.15000001</v>
      </c>
      <c r="E5" s="161">
        <v>15585</v>
      </c>
      <c r="F5" s="161">
        <v>20626</v>
      </c>
      <c r="G5" s="165">
        <v>0.32345203721527116</v>
      </c>
      <c r="H5" s="169">
        <v>24087</v>
      </c>
      <c r="I5" s="161">
        <v>28452</v>
      </c>
      <c r="J5" s="161">
        <v>660</v>
      </c>
      <c r="K5" s="170">
        <v>0</v>
      </c>
      <c r="L5" s="169">
        <v>18342</v>
      </c>
      <c r="M5" s="161">
        <v>19121</v>
      </c>
      <c r="N5" s="175">
        <v>4.2470831969999998E-2</v>
      </c>
      <c r="O5" s="161">
        <v>18807</v>
      </c>
      <c r="P5" s="176">
        <v>2.5351651940000001E-2</v>
      </c>
      <c r="Q5" s="182">
        <v>68.3</v>
      </c>
      <c r="R5" s="183">
        <v>13.9</v>
      </c>
      <c r="S5" s="183">
        <v>6.2</v>
      </c>
      <c r="T5" s="184">
        <v>88.4</v>
      </c>
      <c r="U5" s="169">
        <v>280</v>
      </c>
      <c r="V5" s="161">
        <v>138</v>
      </c>
      <c r="W5" s="161">
        <v>0</v>
      </c>
      <c r="X5" s="161">
        <v>0</v>
      </c>
      <c r="Y5" s="161">
        <v>0</v>
      </c>
      <c r="Z5" s="161">
        <v>8842</v>
      </c>
      <c r="AA5" s="161">
        <v>12272</v>
      </c>
      <c r="AB5" s="161">
        <v>4520</v>
      </c>
      <c r="AC5" s="161">
        <v>0</v>
      </c>
      <c r="AD5" s="170">
        <v>600</v>
      </c>
      <c r="AE5" s="169">
        <v>280</v>
      </c>
      <c r="AF5" s="161">
        <v>138</v>
      </c>
      <c r="AG5" s="161">
        <v>0</v>
      </c>
      <c r="AH5" s="161">
        <v>0</v>
      </c>
      <c r="AI5" s="161">
        <v>18714</v>
      </c>
      <c r="AJ5" s="161">
        <v>5774</v>
      </c>
      <c r="AK5" s="161">
        <v>1146</v>
      </c>
      <c r="AL5" s="170">
        <v>600</v>
      </c>
      <c r="AM5" s="216">
        <v>8761351</v>
      </c>
      <c r="AN5" s="161">
        <v>450</v>
      </c>
      <c r="AO5" s="219">
        <v>0</v>
      </c>
      <c r="AP5" s="161">
        <v>0</v>
      </c>
      <c r="AQ5" s="219">
        <v>0</v>
      </c>
      <c r="AR5" s="170">
        <v>0</v>
      </c>
    </row>
    <row r="6" spans="1:44" ht="15" x14ac:dyDescent="0.25">
      <c r="A6" s="24">
        <v>370</v>
      </c>
      <c r="B6" s="24" t="s">
        <v>5</v>
      </c>
      <c r="C6" s="24" t="s">
        <v>346</v>
      </c>
      <c r="D6" s="160">
        <v>16379393.609999999</v>
      </c>
      <c r="E6" s="161">
        <v>12186</v>
      </c>
      <c r="F6" s="161">
        <v>11340</v>
      </c>
      <c r="G6" s="165">
        <v>-6.9423929098965997E-2</v>
      </c>
      <c r="H6" s="169">
        <v>14350</v>
      </c>
      <c r="I6" s="161">
        <v>13350</v>
      </c>
      <c r="J6" s="161">
        <v>0</v>
      </c>
      <c r="K6" s="170">
        <v>0</v>
      </c>
      <c r="L6" s="169">
        <v>10715</v>
      </c>
      <c r="M6" s="161">
        <v>10821</v>
      </c>
      <c r="N6" s="175">
        <v>9.8926738199999996E-3</v>
      </c>
      <c r="O6" s="161">
        <v>10851</v>
      </c>
      <c r="P6" s="176">
        <v>1.269248716E-2</v>
      </c>
      <c r="Q6" s="182">
        <v>90.4</v>
      </c>
      <c r="R6" s="183">
        <v>6.5</v>
      </c>
      <c r="S6" s="183">
        <v>0.6</v>
      </c>
      <c r="T6" s="184">
        <v>97.5</v>
      </c>
      <c r="U6" s="169">
        <v>0</v>
      </c>
      <c r="V6" s="161">
        <v>0</v>
      </c>
      <c r="W6" s="161">
        <v>0</v>
      </c>
      <c r="X6" s="161">
        <v>0</v>
      </c>
      <c r="Y6" s="161">
        <v>0</v>
      </c>
      <c r="Z6" s="161">
        <v>0</v>
      </c>
      <c r="AA6" s="161">
        <v>5600</v>
      </c>
      <c r="AB6" s="161">
        <v>2800</v>
      </c>
      <c r="AC6" s="161">
        <v>2250</v>
      </c>
      <c r="AD6" s="170">
        <v>0</v>
      </c>
      <c r="AE6" s="169">
        <v>0</v>
      </c>
      <c r="AF6" s="161">
        <v>0</v>
      </c>
      <c r="AG6" s="161">
        <v>0</v>
      </c>
      <c r="AH6" s="161">
        <v>0</v>
      </c>
      <c r="AI6" s="161">
        <v>0</v>
      </c>
      <c r="AJ6" s="161">
        <v>3700</v>
      </c>
      <c r="AK6" s="161">
        <v>6950</v>
      </c>
      <c r="AL6" s="170">
        <v>0</v>
      </c>
      <c r="AM6" s="216">
        <v>0</v>
      </c>
      <c r="AN6" s="161">
        <v>0</v>
      </c>
      <c r="AO6" s="219">
        <v>0</v>
      </c>
      <c r="AP6" s="161">
        <v>0</v>
      </c>
      <c r="AQ6" s="219">
        <v>0</v>
      </c>
      <c r="AR6" s="170">
        <v>0</v>
      </c>
    </row>
    <row r="7" spans="1:44" ht="15" x14ac:dyDescent="0.25">
      <c r="A7" s="24">
        <v>800</v>
      </c>
      <c r="B7" s="24" t="s">
        <v>6</v>
      </c>
      <c r="C7" s="24" t="s">
        <v>347</v>
      </c>
      <c r="D7" s="160">
        <v>28404703.350000001</v>
      </c>
      <c r="E7" s="161">
        <v>10689</v>
      </c>
      <c r="F7" s="161">
        <v>10799</v>
      </c>
      <c r="G7" s="165">
        <v>1.0290953316493656E-2</v>
      </c>
      <c r="H7" s="169">
        <v>13856</v>
      </c>
      <c r="I7" s="161">
        <v>14821</v>
      </c>
      <c r="J7" s="161">
        <v>402</v>
      </c>
      <c r="K7" s="170">
        <v>100</v>
      </c>
      <c r="L7" s="169">
        <v>10053</v>
      </c>
      <c r="M7" s="161">
        <v>10116</v>
      </c>
      <c r="N7" s="175">
        <v>6.2667860299999998E-3</v>
      </c>
      <c r="O7" s="161">
        <v>9993</v>
      </c>
      <c r="P7" s="176">
        <v>-5.9683676499999996E-3</v>
      </c>
      <c r="Q7" s="182">
        <v>94.9</v>
      </c>
      <c r="R7" s="183">
        <v>3.1</v>
      </c>
      <c r="S7" s="183">
        <v>0.3</v>
      </c>
      <c r="T7" s="184">
        <v>98.4</v>
      </c>
      <c r="U7" s="169">
        <v>56</v>
      </c>
      <c r="V7" s="161">
        <v>0</v>
      </c>
      <c r="W7" s="161">
        <v>0</v>
      </c>
      <c r="X7" s="161">
        <v>0</v>
      </c>
      <c r="Y7" s="161">
        <v>0</v>
      </c>
      <c r="Z7" s="161">
        <v>3214</v>
      </c>
      <c r="AA7" s="161">
        <v>9446</v>
      </c>
      <c r="AB7" s="161">
        <v>1805</v>
      </c>
      <c r="AC7" s="161">
        <v>0</v>
      </c>
      <c r="AD7" s="170">
        <v>0</v>
      </c>
      <c r="AE7" s="169">
        <v>56</v>
      </c>
      <c r="AF7" s="161">
        <v>0</v>
      </c>
      <c r="AG7" s="161">
        <v>0</v>
      </c>
      <c r="AH7" s="161">
        <v>0</v>
      </c>
      <c r="AI7" s="161">
        <v>2216</v>
      </c>
      <c r="AJ7" s="161">
        <v>8384</v>
      </c>
      <c r="AK7" s="161">
        <v>3865</v>
      </c>
      <c r="AL7" s="170">
        <v>0</v>
      </c>
      <c r="AM7" s="216">
        <v>600000</v>
      </c>
      <c r="AN7" s="161">
        <v>24</v>
      </c>
      <c r="AO7" s="219">
        <v>0</v>
      </c>
      <c r="AP7" s="161">
        <v>0</v>
      </c>
      <c r="AQ7" s="219">
        <v>0</v>
      </c>
      <c r="AR7" s="170">
        <v>0</v>
      </c>
    </row>
    <row r="8" spans="1:44" ht="15" x14ac:dyDescent="0.25">
      <c r="A8" s="24">
        <v>822</v>
      </c>
      <c r="B8" s="24" t="s">
        <v>7</v>
      </c>
      <c r="C8" s="24" t="s">
        <v>348</v>
      </c>
      <c r="D8" s="160">
        <v>41913045.840000004</v>
      </c>
      <c r="E8" s="161">
        <v>9159</v>
      </c>
      <c r="F8" s="161">
        <v>10177</v>
      </c>
      <c r="G8" s="165">
        <v>0.11114750518615568</v>
      </c>
      <c r="H8" s="169">
        <v>11717</v>
      </c>
      <c r="I8" s="161">
        <v>12528</v>
      </c>
      <c r="J8" s="161">
        <v>620</v>
      </c>
      <c r="K8" s="170">
        <v>340</v>
      </c>
      <c r="L8" s="169">
        <v>9173</v>
      </c>
      <c r="M8" s="161">
        <v>9548</v>
      </c>
      <c r="N8" s="175">
        <v>4.0880845960000002E-2</v>
      </c>
      <c r="O8" s="161">
        <v>9078</v>
      </c>
      <c r="P8" s="176">
        <v>-1.035648097E-2</v>
      </c>
      <c r="Q8" s="182">
        <v>94.7</v>
      </c>
      <c r="R8" s="183">
        <v>3.8</v>
      </c>
      <c r="S8" s="183">
        <v>0.4</v>
      </c>
      <c r="T8" s="184">
        <v>98.9</v>
      </c>
      <c r="U8" s="169">
        <v>0</v>
      </c>
      <c r="V8" s="161">
        <v>0</v>
      </c>
      <c r="W8" s="161">
        <v>120</v>
      </c>
      <c r="X8" s="161">
        <v>0</v>
      </c>
      <c r="Y8" s="161">
        <v>0</v>
      </c>
      <c r="Z8" s="161">
        <v>1300</v>
      </c>
      <c r="AA8" s="161">
        <v>8136</v>
      </c>
      <c r="AB8" s="161">
        <v>2472</v>
      </c>
      <c r="AC8" s="161">
        <v>0</v>
      </c>
      <c r="AD8" s="170">
        <v>0</v>
      </c>
      <c r="AE8" s="169">
        <v>0</v>
      </c>
      <c r="AF8" s="161">
        <v>0</v>
      </c>
      <c r="AG8" s="161">
        <v>120</v>
      </c>
      <c r="AH8" s="161">
        <v>0</v>
      </c>
      <c r="AI8" s="161">
        <v>5470</v>
      </c>
      <c r="AJ8" s="161">
        <v>2200</v>
      </c>
      <c r="AK8" s="161">
        <v>955</v>
      </c>
      <c r="AL8" s="170">
        <v>3283</v>
      </c>
      <c r="AM8" s="216">
        <v>0</v>
      </c>
      <c r="AN8" s="161">
        <v>0</v>
      </c>
      <c r="AO8" s="219">
        <v>0</v>
      </c>
      <c r="AP8" s="161">
        <v>0</v>
      </c>
      <c r="AQ8" s="219">
        <v>0</v>
      </c>
      <c r="AR8" s="170">
        <v>0</v>
      </c>
    </row>
    <row r="9" spans="1:44" ht="15" x14ac:dyDescent="0.25">
      <c r="A9" s="24">
        <v>303</v>
      </c>
      <c r="B9" s="24" t="s">
        <v>8</v>
      </c>
      <c r="C9" s="24" t="s">
        <v>345</v>
      </c>
      <c r="D9" s="160">
        <v>55483244.409999996</v>
      </c>
      <c r="E9" s="161">
        <v>14591</v>
      </c>
      <c r="F9" s="161">
        <v>16562</v>
      </c>
      <c r="G9" s="165">
        <v>0.13508327050921798</v>
      </c>
      <c r="H9" s="169">
        <v>21288</v>
      </c>
      <c r="I9" s="161">
        <v>22459</v>
      </c>
      <c r="J9" s="161">
        <v>0</v>
      </c>
      <c r="K9" s="170">
        <v>0</v>
      </c>
      <c r="L9" s="169">
        <v>15965</v>
      </c>
      <c r="M9" s="161">
        <v>16156</v>
      </c>
      <c r="N9" s="175">
        <v>1.1963670520000001E-2</v>
      </c>
      <c r="O9" s="161">
        <v>16177</v>
      </c>
      <c r="P9" s="176">
        <v>1.3279047909999999E-2</v>
      </c>
      <c r="Q9" s="182">
        <v>77.599999999999994</v>
      </c>
      <c r="R9" s="183">
        <v>13.6</v>
      </c>
      <c r="S9" s="183">
        <v>3.7</v>
      </c>
      <c r="T9" s="184">
        <v>94.8</v>
      </c>
      <c r="U9" s="169">
        <v>0</v>
      </c>
      <c r="V9" s="161">
        <v>0</v>
      </c>
      <c r="W9" s="161">
        <v>0</v>
      </c>
      <c r="X9" s="161">
        <v>0</v>
      </c>
      <c r="Y9" s="161">
        <v>0</v>
      </c>
      <c r="Z9" s="161">
        <v>3950</v>
      </c>
      <c r="AA9" s="161">
        <v>15359</v>
      </c>
      <c r="AB9" s="161">
        <v>3150</v>
      </c>
      <c r="AC9" s="161">
        <v>0</v>
      </c>
      <c r="AD9" s="170">
        <v>0</v>
      </c>
      <c r="AE9" s="169">
        <v>0</v>
      </c>
      <c r="AF9" s="161">
        <v>0</v>
      </c>
      <c r="AG9" s="161">
        <v>0</v>
      </c>
      <c r="AH9" s="161">
        <v>0</v>
      </c>
      <c r="AI9" s="161">
        <v>7564</v>
      </c>
      <c r="AJ9" s="161">
        <v>5995</v>
      </c>
      <c r="AK9" s="161">
        <v>8900</v>
      </c>
      <c r="AL9" s="170">
        <v>0</v>
      </c>
      <c r="AM9" s="216">
        <v>0</v>
      </c>
      <c r="AN9" s="161">
        <v>0</v>
      </c>
      <c r="AO9" s="219">
        <v>0</v>
      </c>
      <c r="AP9" s="161">
        <v>0</v>
      </c>
      <c r="AQ9" s="219">
        <v>0</v>
      </c>
      <c r="AR9" s="170">
        <v>0</v>
      </c>
    </row>
    <row r="10" spans="1:44" ht="15" x14ac:dyDescent="0.25">
      <c r="A10" s="24">
        <v>330</v>
      </c>
      <c r="B10" s="24" t="s">
        <v>9</v>
      </c>
      <c r="C10" s="24" t="s">
        <v>349</v>
      </c>
      <c r="D10" s="160">
        <v>216714102.34</v>
      </c>
      <c r="E10" s="161">
        <v>59261</v>
      </c>
      <c r="F10" s="161">
        <v>67625</v>
      </c>
      <c r="G10" s="165">
        <v>0.14113835406084951</v>
      </c>
      <c r="H10" s="169">
        <v>70813</v>
      </c>
      <c r="I10" s="161">
        <v>79083</v>
      </c>
      <c r="J10" s="161">
        <v>1807</v>
      </c>
      <c r="K10" s="170">
        <v>1440</v>
      </c>
      <c r="L10" s="169">
        <v>61160</v>
      </c>
      <c r="M10" s="161">
        <v>62361</v>
      </c>
      <c r="N10" s="175">
        <v>1.9637017650000001E-2</v>
      </c>
      <c r="O10" s="161">
        <v>60624</v>
      </c>
      <c r="P10" s="176">
        <v>-8.7638979700000001E-3</v>
      </c>
      <c r="Q10" s="182">
        <v>68.3</v>
      </c>
      <c r="R10" s="183">
        <v>13</v>
      </c>
      <c r="S10" s="183">
        <v>6.1</v>
      </c>
      <c r="T10" s="184">
        <v>87.4</v>
      </c>
      <c r="U10" s="169">
        <v>120</v>
      </c>
      <c r="V10" s="161">
        <v>0</v>
      </c>
      <c r="W10" s="161">
        <v>0</v>
      </c>
      <c r="X10" s="161">
        <v>0</v>
      </c>
      <c r="Y10" s="161">
        <v>0</v>
      </c>
      <c r="Z10" s="161">
        <v>24763</v>
      </c>
      <c r="AA10" s="161">
        <v>27252</v>
      </c>
      <c r="AB10" s="161">
        <v>11880</v>
      </c>
      <c r="AC10" s="161">
        <v>9155</v>
      </c>
      <c r="AD10" s="170">
        <v>0</v>
      </c>
      <c r="AE10" s="169">
        <v>0</v>
      </c>
      <c r="AF10" s="161">
        <v>0</v>
      </c>
      <c r="AG10" s="161">
        <v>0</v>
      </c>
      <c r="AH10" s="161">
        <v>120</v>
      </c>
      <c r="AI10" s="161">
        <v>30778</v>
      </c>
      <c r="AJ10" s="161">
        <v>26133</v>
      </c>
      <c r="AK10" s="161">
        <v>16139</v>
      </c>
      <c r="AL10" s="170">
        <v>0</v>
      </c>
      <c r="AM10" s="216">
        <v>2603261</v>
      </c>
      <c r="AN10" s="161">
        <v>300</v>
      </c>
      <c r="AO10" s="219">
        <v>0</v>
      </c>
      <c r="AP10" s="161">
        <v>0</v>
      </c>
      <c r="AQ10" s="219">
        <v>39822679</v>
      </c>
      <c r="AR10" s="170">
        <v>2305</v>
      </c>
    </row>
    <row r="11" spans="1:44" ht="15" x14ac:dyDescent="0.25">
      <c r="A11" s="24">
        <v>889</v>
      </c>
      <c r="B11" s="24" t="s">
        <v>10</v>
      </c>
      <c r="C11" s="24" t="s">
        <v>350</v>
      </c>
      <c r="D11" s="160">
        <v>16965931.800000001</v>
      </c>
      <c r="E11" s="161">
        <v>8314</v>
      </c>
      <c r="F11" s="161">
        <v>9124</v>
      </c>
      <c r="G11" s="165">
        <v>9.7426028385855235E-2</v>
      </c>
      <c r="H11" s="169">
        <v>10394</v>
      </c>
      <c r="I11" s="161">
        <v>12536</v>
      </c>
      <c r="J11" s="161">
        <v>0</v>
      </c>
      <c r="K11" s="170">
        <v>0</v>
      </c>
      <c r="L11" s="169">
        <v>9114</v>
      </c>
      <c r="M11" s="161">
        <v>8710</v>
      </c>
      <c r="N11" s="175">
        <v>-4.4327408380000002E-2</v>
      </c>
      <c r="O11" s="161">
        <v>8583</v>
      </c>
      <c r="P11" s="176">
        <v>-5.8262014479999999E-2</v>
      </c>
      <c r="Q11" s="182">
        <v>79</v>
      </c>
      <c r="R11" s="183">
        <v>12</v>
      </c>
      <c r="S11" s="183">
        <v>3.8</v>
      </c>
      <c r="T11" s="184">
        <v>94.8</v>
      </c>
      <c r="U11" s="169">
        <v>0</v>
      </c>
      <c r="V11" s="161">
        <v>25</v>
      </c>
      <c r="W11" s="161">
        <v>0</v>
      </c>
      <c r="X11" s="161">
        <v>0</v>
      </c>
      <c r="Y11" s="161">
        <v>0</v>
      </c>
      <c r="Z11" s="161">
        <v>800</v>
      </c>
      <c r="AA11" s="161">
        <v>6305</v>
      </c>
      <c r="AB11" s="161">
        <v>2281</v>
      </c>
      <c r="AC11" s="161">
        <v>0</v>
      </c>
      <c r="AD11" s="170">
        <v>0</v>
      </c>
      <c r="AE11" s="169">
        <v>25</v>
      </c>
      <c r="AF11" s="161">
        <v>0</v>
      </c>
      <c r="AG11" s="161">
        <v>0</v>
      </c>
      <c r="AH11" s="161">
        <v>0</v>
      </c>
      <c r="AI11" s="161">
        <v>4056</v>
      </c>
      <c r="AJ11" s="161">
        <v>3230</v>
      </c>
      <c r="AK11" s="161">
        <v>2100</v>
      </c>
      <c r="AL11" s="170">
        <v>0</v>
      </c>
      <c r="AM11" s="216">
        <v>0</v>
      </c>
      <c r="AN11" s="161">
        <v>0</v>
      </c>
      <c r="AO11" s="219">
        <v>0</v>
      </c>
      <c r="AP11" s="161">
        <v>0</v>
      </c>
      <c r="AQ11" s="219">
        <v>0</v>
      </c>
      <c r="AR11" s="170">
        <v>0</v>
      </c>
    </row>
    <row r="12" spans="1:44" ht="15" x14ac:dyDescent="0.25">
      <c r="A12" s="24">
        <v>890</v>
      </c>
      <c r="B12" s="24" t="s">
        <v>11</v>
      </c>
      <c r="C12" s="24" t="s">
        <v>350</v>
      </c>
      <c r="D12" s="160">
        <v>23227234.870000001</v>
      </c>
      <c r="E12" s="161">
        <v>7800</v>
      </c>
      <c r="F12" s="161">
        <v>6910</v>
      </c>
      <c r="G12" s="165">
        <v>-0.11410256410256414</v>
      </c>
      <c r="H12" s="169">
        <v>8707</v>
      </c>
      <c r="I12" s="161">
        <v>7492</v>
      </c>
      <c r="J12" s="161">
        <v>0</v>
      </c>
      <c r="K12" s="170">
        <v>300</v>
      </c>
      <c r="L12" s="169">
        <v>6373</v>
      </c>
      <c r="M12" s="161">
        <v>6680</v>
      </c>
      <c r="N12" s="175">
        <v>4.817197552E-2</v>
      </c>
      <c r="O12" s="161">
        <v>6969</v>
      </c>
      <c r="P12" s="176">
        <v>9.3519535540000004E-2</v>
      </c>
      <c r="Q12" s="182">
        <v>79.400000000000006</v>
      </c>
      <c r="R12" s="183">
        <v>9.8000000000000007</v>
      </c>
      <c r="S12" s="183">
        <v>2.9</v>
      </c>
      <c r="T12" s="184">
        <v>92</v>
      </c>
      <c r="U12" s="169">
        <v>0</v>
      </c>
      <c r="V12" s="161">
        <v>94</v>
      </c>
      <c r="W12" s="161">
        <v>0</v>
      </c>
      <c r="X12" s="161">
        <v>0</v>
      </c>
      <c r="Y12" s="161">
        <v>0</v>
      </c>
      <c r="Z12" s="161">
        <v>0</v>
      </c>
      <c r="AA12" s="161">
        <v>2150</v>
      </c>
      <c r="AB12" s="161">
        <v>485</v>
      </c>
      <c r="AC12" s="161">
        <v>3642</v>
      </c>
      <c r="AD12" s="170">
        <v>0</v>
      </c>
      <c r="AE12" s="169">
        <v>0</v>
      </c>
      <c r="AF12" s="161">
        <v>0</v>
      </c>
      <c r="AG12" s="161">
        <v>94</v>
      </c>
      <c r="AH12" s="161">
        <v>0</v>
      </c>
      <c r="AI12" s="161">
        <v>0</v>
      </c>
      <c r="AJ12" s="161">
        <v>1200</v>
      </c>
      <c r="AK12" s="161">
        <v>5077</v>
      </c>
      <c r="AL12" s="170">
        <v>0</v>
      </c>
      <c r="AM12" s="216">
        <v>0</v>
      </c>
      <c r="AN12" s="161">
        <v>0</v>
      </c>
      <c r="AO12" s="219">
        <v>0</v>
      </c>
      <c r="AP12" s="161">
        <v>0</v>
      </c>
      <c r="AQ12" s="219">
        <v>0</v>
      </c>
      <c r="AR12" s="170">
        <v>0</v>
      </c>
    </row>
    <row r="13" spans="1:44" ht="15" x14ac:dyDescent="0.25">
      <c r="A13" s="24">
        <v>350</v>
      </c>
      <c r="B13" s="24" t="s">
        <v>13</v>
      </c>
      <c r="C13" s="24" t="s">
        <v>350</v>
      </c>
      <c r="D13" s="160">
        <v>40506602.560000002</v>
      </c>
      <c r="E13" s="161">
        <v>15728</v>
      </c>
      <c r="F13" s="161">
        <v>17219</v>
      </c>
      <c r="G13" s="165">
        <v>9.4799084435401859E-2</v>
      </c>
      <c r="H13" s="169">
        <v>19330</v>
      </c>
      <c r="I13" s="161">
        <v>20733</v>
      </c>
      <c r="J13" s="161">
        <v>430</v>
      </c>
      <c r="K13" s="170">
        <v>0</v>
      </c>
      <c r="L13" s="169">
        <v>16436</v>
      </c>
      <c r="M13" s="161">
        <v>15916</v>
      </c>
      <c r="N13" s="175">
        <v>-3.163786809E-2</v>
      </c>
      <c r="O13" s="161">
        <v>16409</v>
      </c>
      <c r="P13" s="176">
        <v>-1.6427354499999999E-3</v>
      </c>
      <c r="Q13" s="182">
        <v>85.6</v>
      </c>
      <c r="R13" s="183">
        <v>8.3000000000000007</v>
      </c>
      <c r="S13" s="183">
        <v>2</v>
      </c>
      <c r="T13" s="184">
        <v>95.9</v>
      </c>
      <c r="U13" s="169">
        <v>20</v>
      </c>
      <c r="V13" s="161">
        <v>21</v>
      </c>
      <c r="W13" s="161">
        <v>0</v>
      </c>
      <c r="X13" s="161">
        <v>0</v>
      </c>
      <c r="Y13" s="161">
        <v>0</v>
      </c>
      <c r="Z13" s="161">
        <v>3152</v>
      </c>
      <c r="AA13" s="161">
        <v>11464</v>
      </c>
      <c r="AB13" s="161">
        <v>5376</v>
      </c>
      <c r="AC13" s="161">
        <v>0</v>
      </c>
      <c r="AD13" s="170">
        <v>0</v>
      </c>
      <c r="AE13" s="169">
        <v>0</v>
      </c>
      <c r="AF13" s="161">
        <v>20</v>
      </c>
      <c r="AG13" s="161">
        <v>21</v>
      </c>
      <c r="AH13" s="161">
        <v>0</v>
      </c>
      <c r="AI13" s="161">
        <v>3721</v>
      </c>
      <c r="AJ13" s="161">
        <v>6264</v>
      </c>
      <c r="AK13" s="161">
        <v>10007</v>
      </c>
      <c r="AL13" s="170">
        <v>0</v>
      </c>
      <c r="AM13" s="216">
        <v>0</v>
      </c>
      <c r="AN13" s="161">
        <v>0</v>
      </c>
      <c r="AO13" s="219">
        <v>0</v>
      </c>
      <c r="AP13" s="161">
        <v>0</v>
      </c>
      <c r="AQ13" s="219">
        <v>0</v>
      </c>
      <c r="AR13" s="170">
        <v>0</v>
      </c>
    </row>
    <row r="14" spans="1:44" ht="15" x14ac:dyDescent="0.25">
      <c r="A14" s="24">
        <v>837</v>
      </c>
      <c r="B14" s="24" t="s">
        <v>14</v>
      </c>
      <c r="C14" s="24" t="s">
        <v>347</v>
      </c>
      <c r="D14" s="160">
        <v>40531127.950000003</v>
      </c>
      <c r="E14" s="161">
        <v>8542</v>
      </c>
      <c r="F14" s="161">
        <v>8071</v>
      </c>
      <c r="G14" s="165">
        <v>-5.5139311636619004E-2</v>
      </c>
      <c r="H14" s="169">
        <v>10287</v>
      </c>
      <c r="I14" s="161">
        <v>11749</v>
      </c>
      <c r="J14" s="161">
        <v>0</v>
      </c>
      <c r="K14" s="170">
        <v>0</v>
      </c>
      <c r="L14" s="169">
        <v>7914</v>
      </c>
      <c r="M14" s="161">
        <v>7886</v>
      </c>
      <c r="N14" s="175">
        <v>-3.5380338599999999E-3</v>
      </c>
      <c r="O14" s="161">
        <v>7990</v>
      </c>
      <c r="P14" s="176">
        <v>9.6032347699999999E-3</v>
      </c>
      <c r="Q14" s="182">
        <v>85.7</v>
      </c>
      <c r="R14" s="183">
        <v>9.1999999999999993</v>
      </c>
      <c r="S14" s="183">
        <v>1.5</v>
      </c>
      <c r="T14" s="184">
        <v>96.3</v>
      </c>
      <c r="U14" s="169">
        <v>0</v>
      </c>
      <c r="V14" s="161">
        <v>0</v>
      </c>
      <c r="W14" s="161">
        <v>0</v>
      </c>
      <c r="X14" s="161">
        <v>0</v>
      </c>
      <c r="Y14" s="161">
        <v>0</v>
      </c>
      <c r="Z14" s="161">
        <v>2270</v>
      </c>
      <c r="AA14" s="161">
        <v>8699</v>
      </c>
      <c r="AB14" s="161">
        <v>0</v>
      </c>
      <c r="AC14" s="161">
        <v>0</v>
      </c>
      <c r="AD14" s="170">
        <v>0</v>
      </c>
      <c r="AE14" s="169">
        <v>0</v>
      </c>
      <c r="AF14" s="161">
        <v>0</v>
      </c>
      <c r="AG14" s="161">
        <v>0</v>
      </c>
      <c r="AH14" s="161">
        <v>0</v>
      </c>
      <c r="AI14" s="161">
        <v>5437</v>
      </c>
      <c r="AJ14" s="161">
        <v>1800</v>
      </c>
      <c r="AK14" s="161">
        <v>3732</v>
      </c>
      <c r="AL14" s="170">
        <v>0</v>
      </c>
      <c r="AM14" s="216">
        <v>0</v>
      </c>
      <c r="AN14" s="161">
        <v>0</v>
      </c>
      <c r="AO14" s="219">
        <v>0</v>
      </c>
      <c r="AP14" s="161">
        <v>0</v>
      </c>
      <c r="AQ14" s="219">
        <v>0</v>
      </c>
      <c r="AR14" s="170">
        <v>0</v>
      </c>
    </row>
    <row r="15" spans="1:44" ht="15" x14ac:dyDescent="0.25">
      <c r="A15" s="24">
        <v>867</v>
      </c>
      <c r="B15" s="24" t="s">
        <v>15</v>
      </c>
      <c r="C15" s="24" t="s">
        <v>351</v>
      </c>
      <c r="D15" s="160">
        <v>50731502.770000003</v>
      </c>
      <c r="E15" s="161">
        <v>5532</v>
      </c>
      <c r="F15" s="161">
        <v>6204</v>
      </c>
      <c r="G15" s="165">
        <v>0.12147505422993499</v>
      </c>
      <c r="H15" s="169">
        <v>7494</v>
      </c>
      <c r="I15" s="161">
        <v>7873</v>
      </c>
      <c r="J15" s="161">
        <v>1410</v>
      </c>
      <c r="K15" s="170">
        <v>0</v>
      </c>
      <c r="L15" s="169">
        <v>5501</v>
      </c>
      <c r="M15" s="161">
        <v>5732</v>
      </c>
      <c r="N15" s="175">
        <v>4.1992365019999998E-2</v>
      </c>
      <c r="O15" s="161">
        <v>5825</v>
      </c>
      <c r="P15" s="176">
        <v>5.8898382110000001E-2</v>
      </c>
      <c r="Q15" s="182">
        <v>77.5</v>
      </c>
      <c r="R15" s="183">
        <v>10.3</v>
      </c>
      <c r="S15" s="183">
        <v>4.4000000000000004</v>
      </c>
      <c r="T15" s="184">
        <v>92.2</v>
      </c>
      <c r="U15" s="169">
        <v>86</v>
      </c>
      <c r="V15" s="161">
        <v>0</v>
      </c>
      <c r="W15" s="161">
        <v>181</v>
      </c>
      <c r="X15" s="161">
        <v>0</v>
      </c>
      <c r="Y15" s="161">
        <v>0</v>
      </c>
      <c r="Z15" s="161">
        <v>2394</v>
      </c>
      <c r="AA15" s="161">
        <v>2756</v>
      </c>
      <c r="AB15" s="161">
        <v>2456</v>
      </c>
      <c r="AC15" s="161">
        <v>0</v>
      </c>
      <c r="AD15" s="170">
        <v>0</v>
      </c>
      <c r="AE15" s="169">
        <v>86</v>
      </c>
      <c r="AF15" s="161">
        <v>181</v>
      </c>
      <c r="AG15" s="161">
        <v>0</v>
      </c>
      <c r="AH15" s="161">
        <v>0</v>
      </c>
      <c r="AI15" s="161">
        <v>2394</v>
      </c>
      <c r="AJ15" s="161">
        <v>3850</v>
      </c>
      <c r="AK15" s="161">
        <v>1362</v>
      </c>
      <c r="AL15" s="170">
        <v>0</v>
      </c>
      <c r="AM15" s="216">
        <v>12199610</v>
      </c>
      <c r="AN15" s="161">
        <v>739</v>
      </c>
      <c r="AO15" s="219">
        <v>0</v>
      </c>
      <c r="AP15" s="161">
        <v>0</v>
      </c>
      <c r="AQ15" s="219">
        <v>0</v>
      </c>
      <c r="AR15" s="170">
        <v>0</v>
      </c>
    </row>
    <row r="16" spans="1:44" ht="15" x14ac:dyDescent="0.25">
      <c r="A16" s="24">
        <v>380</v>
      </c>
      <c r="B16" s="24" t="s">
        <v>16</v>
      </c>
      <c r="C16" s="24" t="s">
        <v>346</v>
      </c>
      <c r="D16" s="160">
        <v>112702431.56</v>
      </c>
      <c r="E16" s="161">
        <v>25485</v>
      </c>
      <c r="F16" s="161">
        <v>33252</v>
      </c>
      <c r="G16" s="165">
        <v>0.30476751030017657</v>
      </c>
      <c r="H16" s="169">
        <v>38591</v>
      </c>
      <c r="I16" s="161">
        <v>40783</v>
      </c>
      <c r="J16" s="161">
        <v>1050</v>
      </c>
      <c r="K16" s="170">
        <v>940</v>
      </c>
      <c r="L16" s="169">
        <v>30205</v>
      </c>
      <c r="M16" s="161">
        <v>30448</v>
      </c>
      <c r="N16" s="175">
        <v>8.0450256500000008E-3</v>
      </c>
      <c r="O16" s="161">
        <v>30851</v>
      </c>
      <c r="P16" s="176">
        <v>2.1387187549999999E-2</v>
      </c>
      <c r="Q16" s="182">
        <v>75.2</v>
      </c>
      <c r="R16" s="183">
        <v>10.7</v>
      </c>
      <c r="S16" s="183">
        <v>4.8</v>
      </c>
      <c r="T16" s="184">
        <v>90.7</v>
      </c>
      <c r="U16" s="169">
        <v>0</v>
      </c>
      <c r="V16" s="161">
        <v>43</v>
      </c>
      <c r="W16" s="161">
        <v>0</v>
      </c>
      <c r="X16" s="161">
        <v>0</v>
      </c>
      <c r="Y16" s="161">
        <v>0</v>
      </c>
      <c r="Z16" s="161">
        <v>2317</v>
      </c>
      <c r="AA16" s="161">
        <v>11394</v>
      </c>
      <c r="AB16" s="161">
        <v>13262</v>
      </c>
      <c r="AC16" s="161">
        <v>8261</v>
      </c>
      <c r="AD16" s="170">
        <v>1950</v>
      </c>
      <c r="AE16" s="169">
        <v>0</v>
      </c>
      <c r="AF16" s="161">
        <v>43</v>
      </c>
      <c r="AG16" s="161">
        <v>0</v>
      </c>
      <c r="AH16" s="161">
        <v>0</v>
      </c>
      <c r="AI16" s="161">
        <v>1907</v>
      </c>
      <c r="AJ16" s="161">
        <v>13157</v>
      </c>
      <c r="AK16" s="161">
        <v>22120</v>
      </c>
      <c r="AL16" s="170">
        <v>0</v>
      </c>
      <c r="AM16" s="216">
        <v>0</v>
      </c>
      <c r="AN16" s="161">
        <v>0</v>
      </c>
      <c r="AO16" s="219">
        <v>0</v>
      </c>
      <c r="AP16" s="161">
        <v>0</v>
      </c>
      <c r="AQ16" s="219">
        <v>0</v>
      </c>
      <c r="AR16" s="170">
        <v>0</v>
      </c>
    </row>
    <row r="17" spans="1:44" ht="15" x14ac:dyDescent="0.25">
      <c r="A17" s="24">
        <v>304</v>
      </c>
      <c r="B17" s="24" t="s">
        <v>17</v>
      </c>
      <c r="C17" s="24" t="s">
        <v>345</v>
      </c>
      <c r="D17" s="160">
        <v>158717223.17000002</v>
      </c>
      <c r="E17" s="161">
        <v>11993</v>
      </c>
      <c r="F17" s="161">
        <v>16402</v>
      </c>
      <c r="G17" s="165">
        <v>0.36763111815225558</v>
      </c>
      <c r="H17" s="169">
        <v>19671</v>
      </c>
      <c r="I17" s="161">
        <v>21185</v>
      </c>
      <c r="J17" s="161">
        <v>0</v>
      </c>
      <c r="K17" s="170">
        <v>0</v>
      </c>
      <c r="L17" s="169">
        <v>15110</v>
      </c>
      <c r="M17" s="161">
        <v>14885</v>
      </c>
      <c r="N17" s="175">
        <v>-1.489080079E-2</v>
      </c>
      <c r="O17" s="161">
        <v>15739</v>
      </c>
      <c r="P17" s="176">
        <v>4.1628060879999998E-2</v>
      </c>
      <c r="Q17" s="182">
        <v>64.3</v>
      </c>
      <c r="R17" s="183">
        <v>14.4</v>
      </c>
      <c r="S17" s="183">
        <v>6.4</v>
      </c>
      <c r="T17" s="184">
        <v>85.2</v>
      </c>
      <c r="U17" s="169">
        <v>0</v>
      </c>
      <c r="V17" s="161">
        <v>0</v>
      </c>
      <c r="W17" s="161">
        <v>125</v>
      </c>
      <c r="X17" s="161">
        <v>0</v>
      </c>
      <c r="Y17" s="161">
        <v>156</v>
      </c>
      <c r="Z17" s="161">
        <v>4426</v>
      </c>
      <c r="AA17" s="161">
        <v>7764</v>
      </c>
      <c r="AB17" s="161">
        <v>3448</v>
      </c>
      <c r="AC17" s="161">
        <v>1208</v>
      </c>
      <c r="AD17" s="170">
        <v>1745</v>
      </c>
      <c r="AE17" s="169">
        <v>125</v>
      </c>
      <c r="AF17" s="161">
        <v>156</v>
      </c>
      <c r="AG17" s="161">
        <v>0</v>
      </c>
      <c r="AH17" s="161">
        <v>0</v>
      </c>
      <c r="AI17" s="161">
        <v>14775</v>
      </c>
      <c r="AJ17" s="161">
        <v>3816</v>
      </c>
      <c r="AK17" s="161">
        <v>0</v>
      </c>
      <c r="AL17" s="170">
        <v>0</v>
      </c>
      <c r="AM17" s="216">
        <v>0</v>
      </c>
      <c r="AN17" s="161">
        <v>0</v>
      </c>
      <c r="AO17" s="219">
        <v>0</v>
      </c>
      <c r="AP17" s="161">
        <v>0</v>
      </c>
      <c r="AQ17" s="219">
        <v>45634373</v>
      </c>
      <c r="AR17" s="170">
        <v>1930</v>
      </c>
    </row>
    <row r="18" spans="1:44" ht="15" x14ac:dyDescent="0.25">
      <c r="A18" s="24">
        <v>846</v>
      </c>
      <c r="B18" s="24" t="s">
        <v>18</v>
      </c>
      <c r="C18" s="24" t="s">
        <v>351</v>
      </c>
      <c r="D18" s="160">
        <v>54421446.170000002</v>
      </c>
      <c r="E18" s="161">
        <v>11417</v>
      </c>
      <c r="F18" s="161">
        <v>11736</v>
      </c>
      <c r="G18" s="165">
        <v>2.7940790049925557E-2</v>
      </c>
      <c r="H18" s="169">
        <v>12622</v>
      </c>
      <c r="I18" s="161">
        <v>14740</v>
      </c>
      <c r="J18" s="161">
        <v>0</v>
      </c>
      <c r="K18" s="170">
        <v>190</v>
      </c>
      <c r="L18" s="169">
        <v>10989</v>
      </c>
      <c r="M18" s="161">
        <v>11198</v>
      </c>
      <c r="N18" s="175">
        <v>1.9019019009999999E-2</v>
      </c>
      <c r="O18" s="161">
        <v>11113</v>
      </c>
      <c r="P18" s="176">
        <v>1.1284011280000001E-2</v>
      </c>
      <c r="Q18" s="182">
        <v>82</v>
      </c>
      <c r="R18" s="183">
        <v>10.6</v>
      </c>
      <c r="S18" s="183">
        <v>3.2</v>
      </c>
      <c r="T18" s="184">
        <v>95.8</v>
      </c>
      <c r="U18" s="169">
        <v>0</v>
      </c>
      <c r="V18" s="161">
        <v>211</v>
      </c>
      <c r="W18" s="161">
        <v>90</v>
      </c>
      <c r="X18" s="161">
        <v>0</v>
      </c>
      <c r="Y18" s="161">
        <v>0</v>
      </c>
      <c r="Z18" s="161">
        <v>0</v>
      </c>
      <c r="AA18" s="161">
        <v>9426</v>
      </c>
      <c r="AB18" s="161">
        <v>3963</v>
      </c>
      <c r="AC18" s="161">
        <v>0</v>
      </c>
      <c r="AD18" s="170">
        <v>0</v>
      </c>
      <c r="AE18" s="169">
        <v>184</v>
      </c>
      <c r="AF18" s="161">
        <v>117</v>
      </c>
      <c r="AG18" s="161">
        <v>0</v>
      </c>
      <c r="AH18" s="161">
        <v>0</v>
      </c>
      <c r="AI18" s="161">
        <v>3733</v>
      </c>
      <c r="AJ18" s="161">
        <v>6093</v>
      </c>
      <c r="AK18" s="161">
        <v>3563</v>
      </c>
      <c r="AL18" s="170">
        <v>0</v>
      </c>
      <c r="AM18" s="216">
        <v>2840000</v>
      </c>
      <c r="AN18" s="161">
        <v>150</v>
      </c>
      <c r="AO18" s="219">
        <v>0</v>
      </c>
      <c r="AP18" s="161">
        <v>0</v>
      </c>
      <c r="AQ18" s="219">
        <v>0</v>
      </c>
      <c r="AR18" s="170">
        <v>0</v>
      </c>
    </row>
    <row r="19" spans="1:44" ht="15" x14ac:dyDescent="0.25">
      <c r="A19" s="24">
        <v>801</v>
      </c>
      <c r="B19" s="24" t="s">
        <v>2</v>
      </c>
      <c r="C19" s="24" t="s">
        <v>347</v>
      </c>
      <c r="D19" s="160">
        <v>147735388.75999999</v>
      </c>
      <c r="E19" s="161">
        <v>10680</v>
      </c>
      <c r="F19" s="161">
        <v>17937</v>
      </c>
      <c r="G19" s="165">
        <v>0.67949438202247192</v>
      </c>
      <c r="H19" s="169">
        <v>20878</v>
      </c>
      <c r="I19" s="161">
        <v>22822</v>
      </c>
      <c r="J19" s="161">
        <v>0</v>
      </c>
      <c r="K19" s="170">
        <v>40</v>
      </c>
      <c r="L19" s="169">
        <v>16157</v>
      </c>
      <c r="M19" s="161">
        <v>16073</v>
      </c>
      <c r="N19" s="175">
        <v>-5.1989849599999999E-3</v>
      </c>
      <c r="O19" s="161">
        <v>16348</v>
      </c>
      <c r="P19" s="176">
        <v>1.182150151E-2</v>
      </c>
      <c r="Q19" s="182">
        <v>75.400000000000006</v>
      </c>
      <c r="R19" s="183">
        <v>12.1</v>
      </c>
      <c r="S19" s="183">
        <v>5.0999999999999996</v>
      </c>
      <c r="T19" s="184">
        <v>92.5</v>
      </c>
      <c r="U19" s="169">
        <v>0</v>
      </c>
      <c r="V19" s="161">
        <v>224</v>
      </c>
      <c r="W19" s="161">
        <v>0</v>
      </c>
      <c r="X19" s="161">
        <v>0</v>
      </c>
      <c r="Y19" s="161">
        <v>0</v>
      </c>
      <c r="Z19" s="161">
        <v>3730</v>
      </c>
      <c r="AA19" s="161">
        <v>14380</v>
      </c>
      <c r="AB19" s="161">
        <v>925</v>
      </c>
      <c r="AC19" s="161">
        <v>1250</v>
      </c>
      <c r="AD19" s="170">
        <v>0</v>
      </c>
      <c r="AE19" s="169">
        <v>224</v>
      </c>
      <c r="AF19" s="161">
        <v>0</v>
      </c>
      <c r="AG19" s="161">
        <v>0</v>
      </c>
      <c r="AH19" s="161">
        <v>0</v>
      </c>
      <c r="AI19" s="161">
        <v>8790</v>
      </c>
      <c r="AJ19" s="161">
        <v>5995</v>
      </c>
      <c r="AK19" s="161">
        <v>5500</v>
      </c>
      <c r="AL19" s="170">
        <v>0</v>
      </c>
      <c r="AM19" s="216">
        <v>0</v>
      </c>
      <c r="AN19" s="161">
        <v>0</v>
      </c>
      <c r="AO19" s="219">
        <v>0</v>
      </c>
      <c r="AP19" s="161">
        <v>0</v>
      </c>
      <c r="AQ19" s="219">
        <v>0</v>
      </c>
      <c r="AR19" s="170">
        <v>0</v>
      </c>
    </row>
    <row r="20" spans="1:44" ht="15" x14ac:dyDescent="0.25">
      <c r="A20" s="24">
        <v>305</v>
      </c>
      <c r="B20" s="24" t="s">
        <v>19</v>
      </c>
      <c r="C20" s="24" t="s">
        <v>345</v>
      </c>
      <c r="D20" s="160">
        <v>70877377.109999999</v>
      </c>
      <c r="E20" s="161">
        <v>17353</v>
      </c>
      <c r="F20" s="161">
        <v>17569</v>
      </c>
      <c r="G20" s="165">
        <v>1.2447415432490061E-2</v>
      </c>
      <c r="H20" s="169">
        <v>22681</v>
      </c>
      <c r="I20" s="161">
        <v>24097</v>
      </c>
      <c r="J20" s="161">
        <v>0</v>
      </c>
      <c r="K20" s="170">
        <v>0</v>
      </c>
      <c r="L20" s="169">
        <v>16359</v>
      </c>
      <c r="M20" s="161">
        <v>16814</v>
      </c>
      <c r="N20" s="175">
        <v>2.7813436019999999E-2</v>
      </c>
      <c r="O20" s="161">
        <v>17128</v>
      </c>
      <c r="P20" s="176">
        <v>4.7007763309999999E-2</v>
      </c>
      <c r="Q20" s="182">
        <v>73.3</v>
      </c>
      <c r="R20" s="183">
        <v>12.8</v>
      </c>
      <c r="S20" s="183">
        <v>5.0999999999999996</v>
      </c>
      <c r="T20" s="184">
        <v>91.2</v>
      </c>
      <c r="U20" s="169">
        <v>0</v>
      </c>
      <c r="V20" s="161">
        <v>0</v>
      </c>
      <c r="W20" s="161">
        <v>0</v>
      </c>
      <c r="X20" s="161">
        <v>0</v>
      </c>
      <c r="Y20" s="161">
        <v>0</v>
      </c>
      <c r="Z20" s="161">
        <v>8375</v>
      </c>
      <c r="AA20" s="161">
        <v>15722</v>
      </c>
      <c r="AB20" s="161">
        <v>0</v>
      </c>
      <c r="AC20" s="161">
        <v>0</v>
      </c>
      <c r="AD20" s="170">
        <v>0</v>
      </c>
      <c r="AE20" s="169">
        <v>0</v>
      </c>
      <c r="AF20" s="161">
        <v>0</v>
      </c>
      <c r="AG20" s="161">
        <v>0</v>
      </c>
      <c r="AH20" s="161">
        <v>0</v>
      </c>
      <c r="AI20" s="161">
        <v>12657</v>
      </c>
      <c r="AJ20" s="161">
        <v>8210</v>
      </c>
      <c r="AK20" s="161">
        <v>3230</v>
      </c>
      <c r="AL20" s="170">
        <v>0</v>
      </c>
      <c r="AM20" s="216">
        <v>0</v>
      </c>
      <c r="AN20" s="161">
        <v>0</v>
      </c>
      <c r="AO20" s="219">
        <v>0</v>
      </c>
      <c r="AP20" s="161">
        <v>0</v>
      </c>
      <c r="AQ20" s="219">
        <v>0</v>
      </c>
      <c r="AR20" s="170">
        <v>0</v>
      </c>
    </row>
    <row r="21" spans="1:44" ht="15" x14ac:dyDescent="0.25">
      <c r="A21" s="24">
        <v>825</v>
      </c>
      <c r="B21" s="24" t="s">
        <v>20</v>
      </c>
      <c r="C21" s="24" t="s">
        <v>351</v>
      </c>
      <c r="D21" s="160">
        <v>82733548.909999996</v>
      </c>
      <c r="E21" s="161">
        <v>27109</v>
      </c>
      <c r="F21" s="161">
        <v>29534</v>
      </c>
      <c r="G21" s="165">
        <v>8.9453686967427837E-2</v>
      </c>
      <c r="H21" s="169">
        <v>35521</v>
      </c>
      <c r="I21" s="161">
        <v>39136</v>
      </c>
      <c r="J21" s="161">
        <v>466</v>
      </c>
      <c r="K21" s="170">
        <v>310</v>
      </c>
      <c r="L21" s="169">
        <v>28254</v>
      </c>
      <c r="M21" s="161">
        <v>28398</v>
      </c>
      <c r="N21" s="175">
        <v>5.0966234799999996E-3</v>
      </c>
      <c r="O21" s="161">
        <v>27750</v>
      </c>
      <c r="P21" s="176">
        <v>-1.78381822E-2</v>
      </c>
      <c r="Q21" s="182">
        <v>74.599999999999994</v>
      </c>
      <c r="R21" s="183">
        <v>12</v>
      </c>
      <c r="S21" s="183">
        <v>5.3</v>
      </c>
      <c r="T21" s="184">
        <v>91.9</v>
      </c>
      <c r="U21" s="169">
        <v>51</v>
      </c>
      <c r="V21" s="161">
        <v>66</v>
      </c>
      <c r="W21" s="161">
        <v>158</v>
      </c>
      <c r="X21" s="161">
        <v>139</v>
      </c>
      <c r="Y21" s="161">
        <v>0</v>
      </c>
      <c r="Z21" s="161">
        <v>14145</v>
      </c>
      <c r="AA21" s="161">
        <v>11894</v>
      </c>
      <c r="AB21" s="161">
        <v>8992</v>
      </c>
      <c r="AC21" s="161">
        <v>1001</v>
      </c>
      <c r="AD21" s="170">
        <v>0</v>
      </c>
      <c r="AE21" s="169">
        <v>51</v>
      </c>
      <c r="AF21" s="161">
        <v>88</v>
      </c>
      <c r="AG21" s="161">
        <v>275</v>
      </c>
      <c r="AH21" s="161">
        <v>0</v>
      </c>
      <c r="AI21" s="161">
        <v>19790</v>
      </c>
      <c r="AJ21" s="161">
        <v>9048</v>
      </c>
      <c r="AK21" s="161">
        <v>7194</v>
      </c>
      <c r="AL21" s="170">
        <v>0</v>
      </c>
      <c r="AM21" s="216">
        <v>6253808</v>
      </c>
      <c r="AN21" s="161">
        <v>369</v>
      </c>
      <c r="AO21" s="219">
        <v>0</v>
      </c>
      <c r="AP21" s="161">
        <v>0</v>
      </c>
      <c r="AQ21" s="219">
        <v>12092055</v>
      </c>
      <c r="AR21" s="170">
        <v>621</v>
      </c>
    </row>
    <row r="22" spans="1:44" ht="15" x14ac:dyDescent="0.25">
      <c r="A22" s="24">
        <v>351</v>
      </c>
      <c r="B22" s="24" t="s">
        <v>21</v>
      </c>
      <c r="C22" s="24" t="s">
        <v>350</v>
      </c>
      <c r="D22" s="160">
        <v>17186638.399999999</v>
      </c>
      <c r="E22" s="161">
        <v>11116</v>
      </c>
      <c r="F22" s="161">
        <v>11170</v>
      </c>
      <c r="G22" s="165">
        <v>4.8578625404822606E-3</v>
      </c>
      <c r="H22" s="169">
        <v>11788</v>
      </c>
      <c r="I22" s="161">
        <v>11941</v>
      </c>
      <c r="J22" s="161">
        <v>0</v>
      </c>
      <c r="K22" s="170">
        <v>50</v>
      </c>
      <c r="L22" s="169">
        <v>10709</v>
      </c>
      <c r="M22" s="161">
        <v>10819</v>
      </c>
      <c r="N22" s="175">
        <v>1.027173405E-2</v>
      </c>
      <c r="O22" s="161">
        <v>10909</v>
      </c>
      <c r="P22" s="176">
        <v>1.86758801E-2</v>
      </c>
      <c r="Q22" s="182">
        <v>89.3</v>
      </c>
      <c r="R22" s="183">
        <v>6.3</v>
      </c>
      <c r="S22" s="183">
        <v>1.5</v>
      </c>
      <c r="T22" s="184">
        <v>97</v>
      </c>
      <c r="U22" s="169">
        <v>0</v>
      </c>
      <c r="V22" s="161">
        <v>0</v>
      </c>
      <c r="W22" s="161">
        <v>0</v>
      </c>
      <c r="X22" s="161">
        <v>0</v>
      </c>
      <c r="Y22" s="161">
        <v>0</v>
      </c>
      <c r="Z22" s="161">
        <v>3395</v>
      </c>
      <c r="AA22" s="161">
        <v>4351</v>
      </c>
      <c r="AB22" s="161">
        <v>3285</v>
      </c>
      <c r="AC22" s="161">
        <v>0</v>
      </c>
      <c r="AD22" s="170">
        <v>910</v>
      </c>
      <c r="AE22" s="169">
        <v>0</v>
      </c>
      <c r="AF22" s="161">
        <v>0</v>
      </c>
      <c r="AG22" s="161">
        <v>0</v>
      </c>
      <c r="AH22" s="161">
        <v>0</v>
      </c>
      <c r="AI22" s="161">
        <v>2787</v>
      </c>
      <c r="AJ22" s="161">
        <v>7489</v>
      </c>
      <c r="AK22" s="161">
        <v>1665</v>
      </c>
      <c r="AL22" s="170">
        <v>0</v>
      </c>
      <c r="AM22" s="216">
        <v>0</v>
      </c>
      <c r="AN22" s="161">
        <v>0</v>
      </c>
      <c r="AO22" s="219">
        <v>0</v>
      </c>
      <c r="AP22" s="161">
        <v>0</v>
      </c>
      <c r="AQ22" s="219">
        <v>0</v>
      </c>
      <c r="AR22" s="170">
        <v>0</v>
      </c>
    </row>
    <row r="23" spans="1:44" ht="15" x14ac:dyDescent="0.25">
      <c r="A23" s="24">
        <v>381</v>
      </c>
      <c r="B23" s="24" t="s">
        <v>22</v>
      </c>
      <c r="C23" s="24" t="s">
        <v>346</v>
      </c>
      <c r="D23" s="160">
        <v>26437160.869999997</v>
      </c>
      <c r="E23" s="161">
        <v>13167</v>
      </c>
      <c r="F23" s="161">
        <v>13865</v>
      </c>
      <c r="G23" s="165">
        <v>5.3011316169210954E-2</v>
      </c>
      <c r="H23" s="169">
        <v>15914</v>
      </c>
      <c r="I23" s="161">
        <v>16868</v>
      </c>
      <c r="J23" s="161">
        <v>0</v>
      </c>
      <c r="K23" s="170">
        <v>180</v>
      </c>
      <c r="L23" s="169">
        <v>12691</v>
      </c>
      <c r="M23" s="161">
        <v>12943</v>
      </c>
      <c r="N23" s="175">
        <v>1.9856591279999999E-2</v>
      </c>
      <c r="O23" s="161">
        <v>13004</v>
      </c>
      <c r="P23" s="176">
        <v>2.4663147109999999E-2</v>
      </c>
      <c r="Q23" s="182">
        <v>83.6</v>
      </c>
      <c r="R23" s="183">
        <v>8.1999999999999993</v>
      </c>
      <c r="S23" s="183">
        <v>3.7</v>
      </c>
      <c r="T23" s="184">
        <v>95.5</v>
      </c>
      <c r="U23" s="169">
        <v>0</v>
      </c>
      <c r="V23" s="161">
        <v>62</v>
      </c>
      <c r="W23" s="161">
        <v>0</v>
      </c>
      <c r="X23" s="161">
        <v>0</v>
      </c>
      <c r="Y23" s="161">
        <v>0</v>
      </c>
      <c r="Z23" s="161">
        <v>4180</v>
      </c>
      <c r="AA23" s="161">
        <v>8658</v>
      </c>
      <c r="AB23" s="161">
        <v>2318</v>
      </c>
      <c r="AC23" s="161">
        <v>1650</v>
      </c>
      <c r="AD23" s="170">
        <v>0</v>
      </c>
      <c r="AE23" s="169">
        <v>0</v>
      </c>
      <c r="AF23" s="161">
        <v>62</v>
      </c>
      <c r="AG23" s="161">
        <v>0</v>
      </c>
      <c r="AH23" s="161">
        <v>0</v>
      </c>
      <c r="AI23" s="161">
        <v>7063</v>
      </c>
      <c r="AJ23" s="161">
        <v>6188</v>
      </c>
      <c r="AK23" s="161">
        <v>3555</v>
      </c>
      <c r="AL23" s="170">
        <v>0</v>
      </c>
      <c r="AM23" s="216">
        <v>0</v>
      </c>
      <c r="AN23" s="161">
        <v>0</v>
      </c>
      <c r="AO23" s="219">
        <v>0</v>
      </c>
      <c r="AP23" s="161">
        <v>0</v>
      </c>
      <c r="AQ23" s="219">
        <v>2032000</v>
      </c>
      <c r="AR23" s="170">
        <v>600</v>
      </c>
    </row>
    <row r="24" spans="1:44" ht="15" x14ac:dyDescent="0.25">
      <c r="A24" s="24">
        <v>873</v>
      </c>
      <c r="B24" s="24" t="s">
        <v>23</v>
      </c>
      <c r="C24" s="24" t="s">
        <v>348</v>
      </c>
      <c r="D24" s="160">
        <v>137751006.57999998</v>
      </c>
      <c r="E24" s="161">
        <v>29796</v>
      </c>
      <c r="F24" s="161">
        <v>29412</v>
      </c>
      <c r="G24" s="165">
        <v>-1.2887635924285101E-2</v>
      </c>
      <c r="H24" s="169">
        <v>36251</v>
      </c>
      <c r="I24" s="161">
        <v>38811</v>
      </c>
      <c r="J24" s="161">
        <v>450</v>
      </c>
      <c r="K24" s="170">
        <v>460</v>
      </c>
      <c r="L24" s="169">
        <v>28315</v>
      </c>
      <c r="M24" s="161">
        <v>28579</v>
      </c>
      <c r="N24" s="175">
        <v>9.3236800200000008E-3</v>
      </c>
      <c r="O24" s="161">
        <v>28641</v>
      </c>
      <c r="P24" s="176">
        <v>1.151333215E-2</v>
      </c>
      <c r="Q24" s="182">
        <v>92</v>
      </c>
      <c r="R24" s="183">
        <v>4.5999999999999996</v>
      </c>
      <c r="S24" s="183">
        <v>0.7</v>
      </c>
      <c r="T24" s="184">
        <v>97.4</v>
      </c>
      <c r="U24" s="169">
        <v>0</v>
      </c>
      <c r="V24" s="161">
        <v>0</v>
      </c>
      <c r="W24" s="161">
        <v>0</v>
      </c>
      <c r="X24" s="161">
        <v>150</v>
      </c>
      <c r="Y24" s="161">
        <v>0</v>
      </c>
      <c r="Z24" s="161">
        <v>5870</v>
      </c>
      <c r="AA24" s="161">
        <v>9518</v>
      </c>
      <c r="AB24" s="161">
        <v>19057</v>
      </c>
      <c r="AC24" s="161">
        <v>2796</v>
      </c>
      <c r="AD24" s="170">
        <v>0</v>
      </c>
      <c r="AE24" s="169">
        <v>0</v>
      </c>
      <c r="AF24" s="161">
        <v>0</v>
      </c>
      <c r="AG24" s="161">
        <v>150</v>
      </c>
      <c r="AH24" s="161">
        <v>0</v>
      </c>
      <c r="AI24" s="161">
        <v>11205</v>
      </c>
      <c r="AJ24" s="161">
        <v>14546</v>
      </c>
      <c r="AK24" s="161">
        <v>11370</v>
      </c>
      <c r="AL24" s="170">
        <v>120</v>
      </c>
      <c r="AM24" s="216">
        <v>1902000</v>
      </c>
      <c r="AN24" s="161">
        <v>150</v>
      </c>
      <c r="AO24" s="219">
        <v>0</v>
      </c>
      <c r="AP24" s="161">
        <v>0</v>
      </c>
      <c r="AQ24" s="219">
        <v>18532000</v>
      </c>
      <c r="AR24" s="170">
        <v>750</v>
      </c>
    </row>
    <row r="25" spans="1:44" ht="15" x14ac:dyDescent="0.25">
      <c r="A25" s="24">
        <v>202</v>
      </c>
      <c r="B25" s="24" t="s">
        <v>24</v>
      </c>
      <c r="C25" s="24" t="s">
        <v>345</v>
      </c>
      <c r="D25" s="160">
        <v>17722852.52</v>
      </c>
      <c r="E25" s="161">
        <v>7414</v>
      </c>
      <c r="F25" s="161">
        <v>7990</v>
      </c>
      <c r="G25" s="165">
        <v>7.7690855138926374E-2</v>
      </c>
      <c r="H25" s="169">
        <v>10137</v>
      </c>
      <c r="I25" s="161">
        <v>11592</v>
      </c>
      <c r="J25" s="161">
        <v>75</v>
      </c>
      <c r="K25" s="170">
        <v>0</v>
      </c>
      <c r="L25" s="169">
        <v>7499</v>
      </c>
      <c r="M25" s="161">
        <v>7520</v>
      </c>
      <c r="N25" s="175">
        <v>2.8003733799999999E-3</v>
      </c>
      <c r="O25" s="161">
        <v>7750</v>
      </c>
      <c r="P25" s="176">
        <v>3.347112948E-2</v>
      </c>
      <c r="Q25" s="182">
        <v>71.400000000000006</v>
      </c>
      <c r="R25" s="183">
        <v>13.7</v>
      </c>
      <c r="S25" s="183">
        <v>6.4</v>
      </c>
      <c r="T25" s="184">
        <v>91.4</v>
      </c>
      <c r="U25" s="169">
        <v>0</v>
      </c>
      <c r="V25" s="161">
        <v>0</v>
      </c>
      <c r="W25" s="161">
        <v>0</v>
      </c>
      <c r="X25" s="161">
        <v>0</v>
      </c>
      <c r="Y25" s="161">
        <v>0</v>
      </c>
      <c r="Z25" s="161">
        <v>1063</v>
      </c>
      <c r="AA25" s="161">
        <v>8012</v>
      </c>
      <c r="AB25" s="161">
        <v>2517</v>
      </c>
      <c r="AC25" s="161">
        <v>0</v>
      </c>
      <c r="AD25" s="170">
        <v>0</v>
      </c>
      <c r="AE25" s="169">
        <v>0</v>
      </c>
      <c r="AF25" s="161">
        <v>0</v>
      </c>
      <c r="AG25" s="161">
        <v>0</v>
      </c>
      <c r="AH25" s="161">
        <v>0</v>
      </c>
      <c r="AI25" s="161">
        <v>5807</v>
      </c>
      <c r="AJ25" s="161">
        <v>4635</v>
      </c>
      <c r="AK25" s="161">
        <v>0</v>
      </c>
      <c r="AL25" s="170">
        <v>1150</v>
      </c>
      <c r="AM25" s="216">
        <v>0</v>
      </c>
      <c r="AN25" s="161">
        <v>0</v>
      </c>
      <c r="AO25" s="219">
        <v>0</v>
      </c>
      <c r="AP25" s="161">
        <v>0</v>
      </c>
      <c r="AQ25" s="219">
        <v>0</v>
      </c>
      <c r="AR25" s="170">
        <v>0</v>
      </c>
    </row>
    <row r="26" spans="1:44" ht="15" x14ac:dyDescent="0.25">
      <c r="A26" s="24">
        <v>823</v>
      </c>
      <c r="B26" s="24" t="s">
        <v>25</v>
      </c>
      <c r="C26" s="24" t="s">
        <v>348</v>
      </c>
      <c r="D26" s="160">
        <v>72001748.170000002</v>
      </c>
      <c r="E26" s="161">
        <v>13842</v>
      </c>
      <c r="F26" s="161">
        <v>14287</v>
      </c>
      <c r="G26" s="165">
        <v>3.2148533448923544E-2</v>
      </c>
      <c r="H26" s="169">
        <v>19559</v>
      </c>
      <c r="I26" s="161">
        <v>20174</v>
      </c>
      <c r="J26" s="161">
        <v>1365</v>
      </c>
      <c r="K26" s="170">
        <v>10</v>
      </c>
      <c r="L26" s="169">
        <v>13265</v>
      </c>
      <c r="M26" s="161">
        <v>13609</v>
      </c>
      <c r="N26" s="175">
        <v>2.593290614E-2</v>
      </c>
      <c r="O26" s="161">
        <v>14683</v>
      </c>
      <c r="P26" s="176">
        <v>0.10689785148</v>
      </c>
      <c r="Q26" s="182">
        <v>99.7</v>
      </c>
      <c r="R26" s="183">
        <v>0.1</v>
      </c>
      <c r="S26" s="183">
        <v>0</v>
      </c>
      <c r="T26" s="184">
        <v>99.8</v>
      </c>
      <c r="U26" s="169">
        <v>70</v>
      </c>
      <c r="V26" s="161">
        <v>60</v>
      </c>
      <c r="W26" s="161">
        <v>267</v>
      </c>
      <c r="X26" s="161">
        <v>0</v>
      </c>
      <c r="Y26" s="161">
        <v>0</v>
      </c>
      <c r="Z26" s="161">
        <v>2196</v>
      </c>
      <c r="AA26" s="161">
        <v>12768</v>
      </c>
      <c r="AB26" s="161">
        <v>3163</v>
      </c>
      <c r="AC26" s="161">
        <v>1050</v>
      </c>
      <c r="AD26" s="170">
        <v>0</v>
      </c>
      <c r="AE26" s="169">
        <v>337</v>
      </c>
      <c r="AF26" s="161">
        <v>0</v>
      </c>
      <c r="AG26" s="161">
        <v>0</v>
      </c>
      <c r="AH26" s="161">
        <v>60</v>
      </c>
      <c r="AI26" s="161">
        <v>4790</v>
      </c>
      <c r="AJ26" s="161">
        <v>4124</v>
      </c>
      <c r="AK26" s="161">
        <v>3620</v>
      </c>
      <c r="AL26" s="170">
        <v>6643</v>
      </c>
      <c r="AM26" s="216">
        <v>4089508</v>
      </c>
      <c r="AN26" s="161">
        <v>319</v>
      </c>
      <c r="AO26" s="219">
        <v>0</v>
      </c>
      <c r="AP26" s="161">
        <v>0</v>
      </c>
      <c r="AQ26" s="219">
        <v>0</v>
      </c>
      <c r="AR26" s="170">
        <v>0</v>
      </c>
    </row>
    <row r="27" spans="1:44" ht="15" x14ac:dyDescent="0.25">
      <c r="A27" s="24">
        <v>895</v>
      </c>
      <c r="B27" s="24" t="s">
        <v>26</v>
      </c>
      <c r="C27" s="24" t="s">
        <v>350</v>
      </c>
      <c r="D27" s="160">
        <v>37694681.350000001</v>
      </c>
      <c r="E27" s="161">
        <v>19022</v>
      </c>
      <c r="F27" s="161">
        <v>19104</v>
      </c>
      <c r="G27" s="165">
        <v>4.3107980233414445E-3</v>
      </c>
      <c r="H27" s="169">
        <v>22920</v>
      </c>
      <c r="I27" s="161">
        <v>25003</v>
      </c>
      <c r="J27" s="161">
        <v>0</v>
      </c>
      <c r="K27" s="170">
        <v>440</v>
      </c>
      <c r="L27" s="169">
        <v>18459</v>
      </c>
      <c r="M27" s="161">
        <v>18378</v>
      </c>
      <c r="N27" s="175">
        <v>-4.3881033600000003E-3</v>
      </c>
      <c r="O27" s="161">
        <v>18362</v>
      </c>
      <c r="P27" s="176">
        <v>-5.2548892099999996E-3</v>
      </c>
      <c r="Q27" s="182">
        <v>95</v>
      </c>
      <c r="R27" s="183">
        <v>2.6</v>
      </c>
      <c r="S27" s="183">
        <v>0.5</v>
      </c>
      <c r="T27" s="184">
        <v>98</v>
      </c>
      <c r="U27" s="169">
        <v>0</v>
      </c>
      <c r="V27" s="161">
        <v>0</v>
      </c>
      <c r="W27" s="161">
        <v>0</v>
      </c>
      <c r="X27" s="161">
        <v>0</v>
      </c>
      <c r="Y27" s="161">
        <v>0</v>
      </c>
      <c r="Z27" s="161">
        <v>6717</v>
      </c>
      <c r="AA27" s="161">
        <v>14354</v>
      </c>
      <c r="AB27" s="161">
        <v>1552</v>
      </c>
      <c r="AC27" s="161">
        <v>780</v>
      </c>
      <c r="AD27" s="170">
        <v>0</v>
      </c>
      <c r="AE27" s="169">
        <v>0</v>
      </c>
      <c r="AF27" s="161">
        <v>0</v>
      </c>
      <c r="AG27" s="161">
        <v>0</v>
      </c>
      <c r="AH27" s="161">
        <v>0</v>
      </c>
      <c r="AI27" s="161">
        <v>8078</v>
      </c>
      <c r="AJ27" s="161">
        <v>11427</v>
      </c>
      <c r="AK27" s="161">
        <v>3898</v>
      </c>
      <c r="AL27" s="170">
        <v>0</v>
      </c>
      <c r="AM27" s="216">
        <v>0</v>
      </c>
      <c r="AN27" s="161">
        <v>0</v>
      </c>
      <c r="AO27" s="219">
        <v>0</v>
      </c>
      <c r="AP27" s="161">
        <v>0</v>
      </c>
      <c r="AQ27" s="219">
        <v>0</v>
      </c>
      <c r="AR27" s="170">
        <v>0</v>
      </c>
    </row>
    <row r="28" spans="1:44" ht="15" x14ac:dyDescent="0.25">
      <c r="A28" s="24">
        <v>896</v>
      </c>
      <c r="B28" s="24" t="s">
        <v>27</v>
      </c>
      <c r="C28" s="24" t="s">
        <v>350</v>
      </c>
      <c r="D28" s="160">
        <v>52436725.219999999</v>
      </c>
      <c r="E28" s="161">
        <v>17764</v>
      </c>
      <c r="F28" s="161">
        <v>17653</v>
      </c>
      <c r="G28" s="165">
        <v>-6.2485926593109919E-3</v>
      </c>
      <c r="H28" s="169">
        <v>22998</v>
      </c>
      <c r="I28" s="161">
        <v>23399</v>
      </c>
      <c r="J28" s="161">
        <v>510</v>
      </c>
      <c r="K28" s="170">
        <v>260</v>
      </c>
      <c r="L28" s="169">
        <v>16726</v>
      </c>
      <c r="M28" s="161">
        <v>16990</v>
      </c>
      <c r="N28" s="175">
        <v>1.5783809629999999E-2</v>
      </c>
      <c r="O28" s="161">
        <v>16711</v>
      </c>
      <c r="P28" s="176">
        <v>-8.9680735999999998E-4</v>
      </c>
      <c r="Q28" s="182">
        <v>92.2</v>
      </c>
      <c r="R28" s="183">
        <v>5.0999999999999996</v>
      </c>
      <c r="S28" s="183">
        <v>0.9</v>
      </c>
      <c r="T28" s="184">
        <v>98.2</v>
      </c>
      <c r="U28" s="169">
        <v>59</v>
      </c>
      <c r="V28" s="161">
        <v>0</v>
      </c>
      <c r="W28" s="161">
        <v>0</v>
      </c>
      <c r="X28" s="161">
        <v>0</v>
      </c>
      <c r="Y28" s="161">
        <v>0</v>
      </c>
      <c r="Z28" s="161">
        <v>4649</v>
      </c>
      <c r="AA28" s="161">
        <v>12884</v>
      </c>
      <c r="AB28" s="161">
        <v>4967</v>
      </c>
      <c r="AC28" s="161">
        <v>840</v>
      </c>
      <c r="AD28" s="170">
        <v>0</v>
      </c>
      <c r="AE28" s="169">
        <v>59</v>
      </c>
      <c r="AF28" s="161">
        <v>0</v>
      </c>
      <c r="AG28" s="161">
        <v>0</v>
      </c>
      <c r="AH28" s="161">
        <v>0</v>
      </c>
      <c r="AI28" s="161">
        <v>9629</v>
      </c>
      <c r="AJ28" s="161">
        <v>9022</v>
      </c>
      <c r="AK28" s="161">
        <v>4689</v>
      </c>
      <c r="AL28" s="170">
        <v>0</v>
      </c>
      <c r="AM28" s="216">
        <v>0</v>
      </c>
      <c r="AN28" s="161">
        <v>0</v>
      </c>
      <c r="AO28" s="219">
        <v>0</v>
      </c>
      <c r="AP28" s="161">
        <v>0</v>
      </c>
      <c r="AQ28" s="219">
        <v>0</v>
      </c>
      <c r="AR28" s="170">
        <v>0</v>
      </c>
    </row>
    <row r="29" spans="1:44" ht="15" x14ac:dyDescent="0.25">
      <c r="A29" s="24">
        <v>201</v>
      </c>
      <c r="B29" s="24" t="s">
        <v>28</v>
      </c>
      <c r="C29" s="24" t="s">
        <v>345</v>
      </c>
      <c r="D29" s="160">
        <v>3270832.07</v>
      </c>
      <c r="E29" s="161">
        <v>0</v>
      </c>
      <c r="F29" s="161">
        <v>0</v>
      </c>
      <c r="G29" s="165" t="s">
        <v>157</v>
      </c>
      <c r="H29" s="169">
        <v>0</v>
      </c>
      <c r="I29" s="161">
        <v>0</v>
      </c>
      <c r="J29" s="161">
        <v>0</v>
      </c>
      <c r="K29" s="170" t="s">
        <v>157</v>
      </c>
      <c r="L29" s="169">
        <v>0</v>
      </c>
      <c r="M29" s="161">
        <v>0</v>
      </c>
      <c r="N29" s="175">
        <v>0</v>
      </c>
      <c r="O29" s="161">
        <v>0</v>
      </c>
      <c r="P29" s="176">
        <v>0</v>
      </c>
      <c r="Q29" s="182">
        <v>61.9</v>
      </c>
      <c r="R29" s="183">
        <v>14.3</v>
      </c>
      <c r="S29" s="183">
        <v>9.5</v>
      </c>
      <c r="T29" s="184">
        <v>85.7</v>
      </c>
      <c r="U29" s="169">
        <v>0</v>
      </c>
      <c r="V29" s="161">
        <v>0</v>
      </c>
      <c r="W29" s="161">
        <v>0</v>
      </c>
      <c r="X29" s="161">
        <v>0</v>
      </c>
      <c r="Y29" s="161">
        <v>0</v>
      </c>
      <c r="Z29" s="161">
        <v>0</v>
      </c>
      <c r="AA29" s="161">
        <v>0</v>
      </c>
      <c r="AB29" s="161">
        <v>0</v>
      </c>
      <c r="AC29" s="161">
        <v>0</v>
      </c>
      <c r="AD29" s="170">
        <v>0</v>
      </c>
      <c r="AE29" s="169">
        <v>0</v>
      </c>
      <c r="AF29" s="161">
        <v>0</v>
      </c>
      <c r="AG29" s="161">
        <v>0</v>
      </c>
      <c r="AH29" s="161">
        <v>0</v>
      </c>
      <c r="AI29" s="161">
        <v>0</v>
      </c>
      <c r="AJ29" s="161">
        <v>0</v>
      </c>
      <c r="AK29" s="161">
        <v>0</v>
      </c>
      <c r="AL29" s="170">
        <v>0</v>
      </c>
      <c r="AM29" s="216">
        <v>0</v>
      </c>
      <c r="AN29" s="161">
        <v>0</v>
      </c>
      <c r="AO29" s="219">
        <v>0</v>
      </c>
      <c r="AP29" s="161">
        <v>0</v>
      </c>
      <c r="AQ29" s="219">
        <v>0</v>
      </c>
      <c r="AR29" s="170">
        <v>0</v>
      </c>
    </row>
    <row r="30" spans="1:44" ht="15" x14ac:dyDescent="0.25">
      <c r="A30" s="24">
        <v>908</v>
      </c>
      <c r="B30" s="24" t="s">
        <v>29</v>
      </c>
      <c r="C30" s="24" t="s">
        <v>347</v>
      </c>
      <c r="D30" s="160">
        <v>46925075.150000006</v>
      </c>
      <c r="E30" s="161">
        <v>28768</v>
      </c>
      <c r="F30" s="161">
        <v>27053</v>
      </c>
      <c r="G30" s="165">
        <v>-5.9614849833147909E-2</v>
      </c>
      <c r="H30" s="169">
        <v>34812</v>
      </c>
      <c r="I30" s="161">
        <v>34960</v>
      </c>
      <c r="J30" s="161">
        <v>0</v>
      </c>
      <c r="K30" s="170">
        <v>90</v>
      </c>
      <c r="L30" s="169">
        <v>26628</v>
      </c>
      <c r="M30" s="161">
        <v>26869</v>
      </c>
      <c r="N30" s="175">
        <v>9.0506234000000008E-3</v>
      </c>
      <c r="O30" s="161">
        <v>27002</v>
      </c>
      <c r="P30" s="176">
        <v>1.4045365779999999E-2</v>
      </c>
      <c r="Q30" s="182">
        <v>97.3</v>
      </c>
      <c r="R30" s="183">
        <v>1.5</v>
      </c>
      <c r="S30" s="183">
        <v>0.2</v>
      </c>
      <c r="T30" s="184">
        <v>99</v>
      </c>
      <c r="U30" s="169">
        <v>28</v>
      </c>
      <c r="V30" s="161">
        <v>0</v>
      </c>
      <c r="W30" s="161">
        <v>0</v>
      </c>
      <c r="X30" s="161">
        <v>0</v>
      </c>
      <c r="Y30" s="161">
        <v>0</v>
      </c>
      <c r="Z30" s="161">
        <v>4048</v>
      </c>
      <c r="AA30" s="161">
        <v>22397</v>
      </c>
      <c r="AB30" s="161">
        <v>4962</v>
      </c>
      <c r="AC30" s="161">
        <v>1445</v>
      </c>
      <c r="AD30" s="170">
        <v>0</v>
      </c>
      <c r="AE30" s="169">
        <v>28</v>
      </c>
      <c r="AF30" s="161">
        <v>0</v>
      </c>
      <c r="AG30" s="161">
        <v>0</v>
      </c>
      <c r="AH30" s="161">
        <v>0</v>
      </c>
      <c r="AI30" s="161">
        <v>11106</v>
      </c>
      <c r="AJ30" s="161">
        <v>13264</v>
      </c>
      <c r="AK30" s="161">
        <v>8482</v>
      </c>
      <c r="AL30" s="170">
        <v>0</v>
      </c>
      <c r="AM30" s="216">
        <v>0</v>
      </c>
      <c r="AN30" s="161">
        <v>0</v>
      </c>
      <c r="AO30" s="219">
        <v>0</v>
      </c>
      <c r="AP30" s="161">
        <v>0</v>
      </c>
      <c r="AQ30" s="219">
        <v>0</v>
      </c>
      <c r="AR30" s="170">
        <v>0</v>
      </c>
    </row>
    <row r="31" spans="1:44" ht="15" x14ac:dyDescent="0.25">
      <c r="A31" s="24">
        <v>331</v>
      </c>
      <c r="B31" s="24" t="s">
        <v>30</v>
      </c>
      <c r="C31" s="24" t="s">
        <v>349</v>
      </c>
      <c r="D31" s="160">
        <v>48445861.100000001</v>
      </c>
      <c r="E31" s="161">
        <v>16915</v>
      </c>
      <c r="F31" s="161">
        <v>18332</v>
      </c>
      <c r="G31" s="165">
        <v>8.3771800177357303E-2</v>
      </c>
      <c r="H31" s="169">
        <v>22524</v>
      </c>
      <c r="I31" s="161">
        <v>25409</v>
      </c>
      <c r="J31" s="161">
        <v>2285</v>
      </c>
      <c r="K31" s="170">
        <v>20</v>
      </c>
      <c r="L31" s="169">
        <v>17031</v>
      </c>
      <c r="M31" s="161">
        <v>16929</v>
      </c>
      <c r="N31" s="175">
        <v>-5.9890787299999998E-3</v>
      </c>
      <c r="O31" s="161">
        <v>17060</v>
      </c>
      <c r="P31" s="176">
        <v>1.7027772799999999E-3</v>
      </c>
      <c r="Q31" s="182">
        <v>84.6</v>
      </c>
      <c r="R31" s="183">
        <v>8.1</v>
      </c>
      <c r="S31" s="183">
        <v>2.8</v>
      </c>
      <c r="T31" s="184">
        <v>95.6</v>
      </c>
      <c r="U31" s="169">
        <v>0</v>
      </c>
      <c r="V31" s="161">
        <v>0</v>
      </c>
      <c r="W31" s="161">
        <v>46</v>
      </c>
      <c r="X31" s="161">
        <v>0</v>
      </c>
      <c r="Y31" s="161">
        <v>0</v>
      </c>
      <c r="Z31" s="161">
        <v>6795</v>
      </c>
      <c r="AA31" s="161">
        <v>5094</v>
      </c>
      <c r="AB31" s="161">
        <v>7593</v>
      </c>
      <c r="AC31" s="161">
        <v>2766</v>
      </c>
      <c r="AD31" s="170">
        <v>0</v>
      </c>
      <c r="AE31" s="169">
        <v>46</v>
      </c>
      <c r="AF31" s="161">
        <v>0</v>
      </c>
      <c r="AG31" s="161">
        <v>0</v>
      </c>
      <c r="AH31" s="161">
        <v>0</v>
      </c>
      <c r="AI31" s="161">
        <v>7904</v>
      </c>
      <c r="AJ31" s="161">
        <v>9023</v>
      </c>
      <c r="AK31" s="161">
        <v>5321</v>
      </c>
      <c r="AL31" s="170">
        <v>0</v>
      </c>
      <c r="AM31" s="216">
        <v>0</v>
      </c>
      <c r="AN31" s="161">
        <v>0</v>
      </c>
      <c r="AO31" s="219">
        <v>0</v>
      </c>
      <c r="AP31" s="161">
        <v>0</v>
      </c>
      <c r="AQ31" s="219">
        <v>0</v>
      </c>
      <c r="AR31" s="170">
        <v>0</v>
      </c>
    </row>
    <row r="32" spans="1:44" x14ac:dyDescent="0.3">
      <c r="A32" s="24">
        <v>306</v>
      </c>
      <c r="B32" s="24" t="s">
        <v>31</v>
      </c>
      <c r="C32" s="24" t="s">
        <v>345</v>
      </c>
      <c r="D32" s="160">
        <v>202942529.62</v>
      </c>
      <c r="E32" s="161">
        <v>13704</v>
      </c>
      <c r="F32" s="161">
        <v>18191</v>
      </c>
      <c r="G32" s="165">
        <v>0.3274226503210742</v>
      </c>
      <c r="H32" s="169">
        <v>22364</v>
      </c>
      <c r="I32" s="161">
        <v>26986</v>
      </c>
      <c r="J32" s="161">
        <v>1481</v>
      </c>
      <c r="K32" s="170">
        <v>0</v>
      </c>
      <c r="L32" s="169">
        <v>17438</v>
      </c>
      <c r="M32" s="161">
        <v>17432</v>
      </c>
      <c r="N32" s="175">
        <v>-3.4407615000000001E-4</v>
      </c>
      <c r="O32" s="161">
        <v>19363</v>
      </c>
      <c r="P32" s="176">
        <v>0.11039109989</v>
      </c>
      <c r="Q32" s="182">
        <v>66.3</v>
      </c>
      <c r="R32" s="183">
        <v>15.6</v>
      </c>
      <c r="S32" s="183">
        <v>6.6</v>
      </c>
      <c r="T32" s="184">
        <v>88.6</v>
      </c>
      <c r="U32" s="169">
        <v>1098</v>
      </c>
      <c r="V32" s="161">
        <v>122</v>
      </c>
      <c r="W32" s="161">
        <v>55</v>
      </c>
      <c r="X32" s="161">
        <v>0</v>
      </c>
      <c r="Y32" s="161">
        <v>0</v>
      </c>
      <c r="Z32" s="161">
        <v>7024</v>
      </c>
      <c r="AA32" s="161">
        <v>10858</v>
      </c>
      <c r="AB32" s="161">
        <v>5610</v>
      </c>
      <c r="AC32" s="161">
        <v>0</v>
      </c>
      <c r="AD32" s="170">
        <v>0</v>
      </c>
      <c r="AE32" s="169">
        <v>165</v>
      </c>
      <c r="AF32" s="161">
        <v>1110</v>
      </c>
      <c r="AG32" s="161">
        <v>0</v>
      </c>
      <c r="AH32" s="161">
        <v>0</v>
      </c>
      <c r="AI32" s="161">
        <v>11927</v>
      </c>
      <c r="AJ32" s="161">
        <v>10585</v>
      </c>
      <c r="AK32" s="161">
        <v>980</v>
      </c>
      <c r="AL32" s="170">
        <v>0</v>
      </c>
      <c r="AM32" s="216">
        <v>0</v>
      </c>
      <c r="AN32" s="161">
        <v>0</v>
      </c>
      <c r="AO32" s="219">
        <v>0</v>
      </c>
      <c r="AP32" s="161">
        <v>0</v>
      </c>
      <c r="AQ32" s="219">
        <v>6264407</v>
      </c>
      <c r="AR32" s="170">
        <v>900</v>
      </c>
    </row>
    <row r="33" spans="1:44" x14ac:dyDescent="0.3">
      <c r="A33" s="24">
        <v>909</v>
      </c>
      <c r="B33" s="24" t="s">
        <v>32</v>
      </c>
      <c r="C33" s="24" t="s">
        <v>350</v>
      </c>
      <c r="D33" s="160">
        <v>20374236.330000002</v>
      </c>
      <c r="E33" s="161">
        <v>24428</v>
      </c>
      <c r="F33" s="161">
        <v>25240</v>
      </c>
      <c r="G33" s="165">
        <v>3.324054363844775E-2</v>
      </c>
      <c r="H33" s="169">
        <v>35343</v>
      </c>
      <c r="I33" s="161">
        <v>37450</v>
      </c>
      <c r="J33" s="161">
        <v>334</v>
      </c>
      <c r="K33" s="170">
        <v>0</v>
      </c>
      <c r="L33" s="169">
        <v>25206</v>
      </c>
      <c r="M33" s="161">
        <v>25319</v>
      </c>
      <c r="N33" s="175">
        <v>4.4830595799999996E-3</v>
      </c>
      <c r="O33" s="161">
        <v>25638</v>
      </c>
      <c r="P33" s="176">
        <v>1.7138776479999999E-2</v>
      </c>
      <c r="Q33" s="182">
        <v>93.1</v>
      </c>
      <c r="R33" s="183">
        <v>4.3</v>
      </c>
      <c r="S33" s="183">
        <v>0.7</v>
      </c>
      <c r="T33" s="184">
        <v>98.1</v>
      </c>
      <c r="U33" s="169">
        <v>111</v>
      </c>
      <c r="V33" s="161">
        <v>280</v>
      </c>
      <c r="W33" s="161">
        <v>94</v>
      </c>
      <c r="X33" s="161">
        <v>0</v>
      </c>
      <c r="Y33" s="161">
        <v>0</v>
      </c>
      <c r="Z33" s="161">
        <v>6239</v>
      </c>
      <c r="AA33" s="161">
        <v>17084</v>
      </c>
      <c r="AB33" s="161">
        <v>8877</v>
      </c>
      <c r="AC33" s="161">
        <v>1500</v>
      </c>
      <c r="AD33" s="170">
        <v>0</v>
      </c>
      <c r="AE33" s="169">
        <v>0</v>
      </c>
      <c r="AF33" s="161">
        <v>428</v>
      </c>
      <c r="AG33" s="161">
        <v>57</v>
      </c>
      <c r="AH33" s="161">
        <v>0</v>
      </c>
      <c r="AI33" s="161">
        <v>1950</v>
      </c>
      <c r="AJ33" s="161">
        <v>22215</v>
      </c>
      <c r="AK33" s="161">
        <v>9535</v>
      </c>
      <c r="AL33" s="170">
        <v>0</v>
      </c>
      <c r="AM33" s="216">
        <v>0</v>
      </c>
      <c r="AN33" s="161">
        <v>0</v>
      </c>
      <c r="AO33" s="219">
        <v>0</v>
      </c>
      <c r="AP33" s="161">
        <v>0</v>
      </c>
      <c r="AQ33" s="219">
        <v>0</v>
      </c>
      <c r="AR33" s="170">
        <v>0</v>
      </c>
    </row>
    <row r="34" spans="1:44" x14ac:dyDescent="0.3">
      <c r="A34" s="24">
        <v>841</v>
      </c>
      <c r="B34" s="24" t="s">
        <v>33</v>
      </c>
      <c r="C34" s="24" t="s">
        <v>352</v>
      </c>
      <c r="D34" s="160">
        <v>9492317.3399999999</v>
      </c>
      <c r="E34" s="161">
        <v>5109</v>
      </c>
      <c r="F34" s="161">
        <v>5946</v>
      </c>
      <c r="G34" s="165">
        <v>0.16382853787433937</v>
      </c>
      <c r="H34" s="169">
        <v>6433</v>
      </c>
      <c r="I34" s="161">
        <v>6435</v>
      </c>
      <c r="J34" s="161">
        <v>338</v>
      </c>
      <c r="K34" s="170">
        <v>0</v>
      </c>
      <c r="L34" s="169">
        <v>5517</v>
      </c>
      <c r="M34" s="161">
        <v>5547</v>
      </c>
      <c r="N34" s="175">
        <v>5.4377378999999997E-3</v>
      </c>
      <c r="O34" s="161">
        <v>5555</v>
      </c>
      <c r="P34" s="176">
        <v>6.8878013400000002E-3</v>
      </c>
      <c r="Q34" s="182">
        <v>85.7</v>
      </c>
      <c r="R34" s="183">
        <v>6.5</v>
      </c>
      <c r="S34" s="183">
        <v>1.7</v>
      </c>
      <c r="T34" s="184">
        <v>93.9</v>
      </c>
      <c r="U34" s="169">
        <v>0</v>
      </c>
      <c r="V34" s="161">
        <v>0</v>
      </c>
      <c r="W34" s="161">
        <v>0</v>
      </c>
      <c r="X34" s="161">
        <v>0</v>
      </c>
      <c r="Y34" s="161">
        <v>0</v>
      </c>
      <c r="Z34" s="161">
        <v>1835</v>
      </c>
      <c r="AA34" s="161">
        <v>2100</v>
      </c>
      <c r="AB34" s="161">
        <v>1800</v>
      </c>
      <c r="AC34" s="161">
        <v>700</v>
      </c>
      <c r="AD34" s="170">
        <v>0</v>
      </c>
      <c r="AE34" s="169">
        <v>0</v>
      </c>
      <c r="AF34" s="161">
        <v>0</v>
      </c>
      <c r="AG34" s="161">
        <v>0</v>
      </c>
      <c r="AH34" s="161">
        <v>0</v>
      </c>
      <c r="AI34" s="161">
        <v>1835</v>
      </c>
      <c r="AJ34" s="161">
        <v>3000</v>
      </c>
      <c r="AK34" s="161">
        <v>1600</v>
      </c>
      <c r="AL34" s="170">
        <v>0</v>
      </c>
      <c r="AM34" s="216">
        <v>0</v>
      </c>
      <c r="AN34" s="161">
        <v>0</v>
      </c>
      <c r="AO34" s="219">
        <v>0</v>
      </c>
      <c r="AP34" s="161">
        <v>0</v>
      </c>
      <c r="AQ34" s="219">
        <v>0</v>
      </c>
      <c r="AR34" s="170">
        <v>0</v>
      </c>
    </row>
    <row r="35" spans="1:44" x14ac:dyDescent="0.3">
      <c r="A35" s="24">
        <v>831</v>
      </c>
      <c r="B35" s="24" t="s">
        <v>34</v>
      </c>
      <c r="C35" s="24" t="s">
        <v>353</v>
      </c>
      <c r="D35" s="160">
        <v>43547509.969999999</v>
      </c>
      <c r="E35" s="161">
        <v>13675</v>
      </c>
      <c r="F35" s="161">
        <v>14839</v>
      </c>
      <c r="G35" s="165">
        <v>8.5118829981718491E-2</v>
      </c>
      <c r="H35" s="169">
        <v>17340</v>
      </c>
      <c r="I35" s="161">
        <v>17905</v>
      </c>
      <c r="J35" s="161">
        <v>231</v>
      </c>
      <c r="K35" s="170">
        <v>40</v>
      </c>
      <c r="L35" s="169">
        <v>13988</v>
      </c>
      <c r="M35" s="161">
        <v>14315</v>
      </c>
      <c r="N35" s="175">
        <v>2.3377180439999999E-2</v>
      </c>
      <c r="O35" s="161">
        <v>14081</v>
      </c>
      <c r="P35" s="176">
        <v>6.6485559000000003E-3</v>
      </c>
      <c r="Q35" s="182">
        <v>87</v>
      </c>
      <c r="R35" s="183">
        <v>8</v>
      </c>
      <c r="S35" s="183">
        <v>2.6</v>
      </c>
      <c r="T35" s="184">
        <v>97.6</v>
      </c>
      <c r="U35" s="169">
        <v>214</v>
      </c>
      <c r="V35" s="161">
        <v>65</v>
      </c>
      <c r="W35" s="161">
        <v>0</v>
      </c>
      <c r="X35" s="161">
        <v>0</v>
      </c>
      <c r="Y35" s="161">
        <v>0</v>
      </c>
      <c r="Z35" s="161">
        <v>3945</v>
      </c>
      <c r="AA35" s="161">
        <v>7896</v>
      </c>
      <c r="AB35" s="161">
        <v>4525</v>
      </c>
      <c r="AC35" s="161">
        <v>1260</v>
      </c>
      <c r="AD35" s="170">
        <v>0</v>
      </c>
      <c r="AE35" s="169">
        <v>214</v>
      </c>
      <c r="AF35" s="161">
        <v>0</v>
      </c>
      <c r="AG35" s="161">
        <v>65</v>
      </c>
      <c r="AH35" s="161">
        <v>0</v>
      </c>
      <c r="AI35" s="161">
        <v>2820</v>
      </c>
      <c r="AJ35" s="161">
        <v>4943</v>
      </c>
      <c r="AK35" s="161">
        <v>9863</v>
      </c>
      <c r="AL35" s="170">
        <v>0</v>
      </c>
      <c r="AM35" s="216">
        <v>2510000</v>
      </c>
      <c r="AN35" s="161">
        <v>228</v>
      </c>
      <c r="AO35" s="219">
        <v>0</v>
      </c>
      <c r="AP35" s="161">
        <v>0</v>
      </c>
      <c r="AQ35" s="219">
        <v>0</v>
      </c>
      <c r="AR35" s="170">
        <v>0</v>
      </c>
    </row>
    <row r="36" spans="1:44" x14ac:dyDescent="0.3">
      <c r="A36" s="24">
        <v>830</v>
      </c>
      <c r="B36" s="24" t="s">
        <v>35</v>
      </c>
      <c r="C36" s="24" t="s">
        <v>353</v>
      </c>
      <c r="D36" s="160">
        <v>36094277.909999996</v>
      </c>
      <c r="E36" s="161">
        <v>42802</v>
      </c>
      <c r="F36" s="161">
        <v>37754</v>
      </c>
      <c r="G36" s="165">
        <v>-0.11793841409279937</v>
      </c>
      <c r="H36" s="169">
        <v>51881</v>
      </c>
      <c r="I36" s="161">
        <v>50539</v>
      </c>
      <c r="J36" s="161">
        <v>145</v>
      </c>
      <c r="K36" s="170">
        <v>40</v>
      </c>
      <c r="L36" s="169">
        <v>37878</v>
      </c>
      <c r="M36" s="161">
        <v>38175</v>
      </c>
      <c r="N36" s="175">
        <v>7.8409630899999999E-3</v>
      </c>
      <c r="O36" s="161">
        <v>38057</v>
      </c>
      <c r="P36" s="176">
        <v>4.7256982900000001E-3</v>
      </c>
      <c r="Q36" s="182">
        <v>95.8</v>
      </c>
      <c r="R36" s="183">
        <v>2.7</v>
      </c>
      <c r="S36" s="183">
        <v>0.7</v>
      </c>
      <c r="T36" s="184">
        <v>99.2</v>
      </c>
      <c r="U36" s="169">
        <v>0</v>
      </c>
      <c r="V36" s="161">
        <v>0</v>
      </c>
      <c r="W36" s="161">
        <v>0</v>
      </c>
      <c r="X36" s="161">
        <v>0</v>
      </c>
      <c r="Y36" s="161">
        <v>0</v>
      </c>
      <c r="Z36" s="161">
        <v>3599</v>
      </c>
      <c r="AA36" s="161">
        <v>19965</v>
      </c>
      <c r="AB36" s="161">
        <v>22550</v>
      </c>
      <c r="AC36" s="161">
        <v>3286</v>
      </c>
      <c r="AD36" s="170">
        <v>0</v>
      </c>
      <c r="AE36" s="169">
        <v>0</v>
      </c>
      <c r="AF36" s="161">
        <v>0</v>
      </c>
      <c r="AG36" s="161">
        <v>0</v>
      </c>
      <c r="AH36" s="161">
        <v>0</v>
      </c>
      <c r="AI36" s="161">
        <v>6703</v>
      </c>
      <c r="AJ36" s="161">
        <v>13571</v>
      </c>
      <c r="AK36" s="161">
        <v>29126</v>
      </c>
      <c r="AL36" s="170">
        <v>0</v>
      </c>
      <c r="AM36" s="216">
        <v>0</v>
      </c>
      <c r="AN36" s="161">
        <v>0</v>
      </c>
      <c r="AO36" s="219">
        <v>420000</v>
      </c>
      <c r="AP36" s="161">
        <v>120</v>
      </c>
      <c r="AQ36" s="219">
        <v>0</v>
      </c>
      <c r="AR36" s="170">
        <v>0</v>
      </c>
    </row>
    <row r="37" spans="1:44" x14ac:dyDescent="0.3">
      <c r="A37" s="24">
        <v>878</v>
      </c>
      <c r="B37" s="24" t="s">
        <v>36</v>
      </c>
      <c r="C37" s="24" t="s">
        <v>347</v>
      </c>
      <c r="D37" s="160">
        <v>71389066.010000005</v>
      </c>
      <c r="E37" s="161">
        <v>37748</v>
      </c>
      <c r="F37" s="161">
        <v>35810</v>
      </c>
      <c r="G37" s="165">
        <v>-5.1340468369185155E-2</v>
      </c>
      <c r="H37" s="169">
        <v>44311</v>
      </c>
      <c r="I37" s="161">
        <v>47365</v>
      </c>
      <c r="J37" s="161">
        <v>1338</v>
      </c>
      <c r="K37" s="170">
        <v>430</v>
      </c>
      <c r="L37" s="169">
        <v>34231</v>
      </c>
      <c r="M37" s="161">
        <v>34671</v>
      </c>
      <c r="N37" s="175">
        <v>1.2853845920000001E-2</v>
      </c>
      <c r="O37" s="161">
        <v>34681</v>
      </c>
      <c r="P37" s="176">
        <v>1.314597879E-2</v>
      </c>
      <c r="Q37" s="182">
        <v>96</v>
      </c>
      <c r="R37" s="183">
        <v>2.2999999999999998</v>
      </c>
      <c r="S37" s="183">
        <v>0.5</v>
      </c>
      <c r="T37" s="184">
        <v>98.8</v>
      </c>
      <c r="U37" s="169">
        <v>57</v>
      </c>
      <c r="V37" s="161">
        <v>528</v>
      </c>
      <c r="W37" s="161">
        <v>104</v>
      </c>
      <c r="X37" s="161">
        <v>0</v>
      </c>
      <c r="Y37" s="161">
        <v>0</v>
      </c>
      <c r="Z37" s="161">
        <v>8045</v>
      </c>
      <c r="AA37" s="161">
        <v>29600</v>
      </c>
      <c r="AB37" s="161">
        <v>4859</v>
      </c>
      <c r="AC37" s="161">
        <v>2232</v>
      </c>
      <c r="AD37" s="170">
        <v>0</v>
      </c>
      <c r="AE37" s="169">
        <v>57</v>
      </c>
      <c r="AF37" s="161">
        <v>528</v>
      </c>
      <c r="AG37" s="161">
        <v>104</v>
      </c>
      <c r="AH37" s="161">
        <v>0</v>
      </c>
      <c r="AI37" s="161">
        <v>12576</v>
      </c>
      <c r="AJ37" s="161">
        <v>18387</v>
      </c>
      <c r="AK37" s="161">
        <v>13773</v>
      </c>
      <c r="AL37" s="170">
        <v>0</v>
      </c>
      <c r="AM37" s="216">
        <v>7362346.1400210001</v>
      </c>
      <c r="AN37" s="161">
        <v>1033</v>
      </c>
      <c r="AO37" s="219">
        <v>0</v>
      </c>
      <c r="AP37" s="161">
        <v>0</v>
      </c>
      <c r="AQ37" s="219">
        <v>2843566.7415769999</v>
      </c>
      <c r="AR37" s="170">
        <v>518</v>
      </c>
    </row>
    <row r="38" spans="1:44" x14ac:dyDescent="0.3">
      <c r="A38" s="24">
        <v>371</v>
      </c>
      <c r="B38" s="24" t="s">
        <v>37</v>
      </c>
      <c r="C38" s="24" t="s">
        <v>346</v>
      </c>
      <c r="D38" s="160">
        <v>34736235.740000002</v>
      </c>
      <c r="E38" s="161">
        <v>14688</v>
      </c>
      <c r="F38" s="161">
        <v>16353</v>
      </c>
      <c r="G38" s="165">
        <v>0.11335784313725483</v>
      </c>
      <c r="H38" s="169">
        <v>23264</v>
      </c>
      <c r="I38" s="161">
        <v>23991</v>
      </c>
      <c r="J38" s="161">
        <v>0</v>
      </c>
      <c r="K38" s="170">
        <v>190</v>
      </c>
      <c r="L38" s="169">
        <v>15509</v>
      </c>
      <c r="M38" s="161">
        <v>15515</v>
      </c>
      <c r="N38" s="175">
        <v>3.8687212999999999E-4</v>
      </c>
      <c r="O38" s="161">
        <v>15373</v>
      </c>
      <c r="P38" s="176">
        <v>-8.7691018100000007E-3</v>
      </c>
      <c r="Q38" s="182">
        <v>94.3</v>
      </c>
      <c r="R38" s="183">
        <v>3.9</v>
      </c>
      <c r="S38" s="183">
        <v>0.5</v>
      </c>
      <c r="T38" s="184">
        <v>98.7</v>
      </c>
      <c r="U38" s="169">
        <v>0</v>
      </c>
      <c r="V38" s="161">
        <v>0</v>
      </c>
      <c r="W38" s="161">
        <v>0</v>
      </c>
      <c r="X38" s="161">
        <v>0</v>
      </c>
      <c r="Y38" s="161">
        <v>0</v>
      </c>
      <c r="Z38" s="161">
        <v>2875</v>
      </c>
      <c r="AA38" s="161">
        <v>4311</v>
      </c>
      <c r="AB38" s="161">
        <v>8947</v>
      </c>
      <c r="AC38" s="161">
        <v>6207</v>
      </c>
      <c r="AD38" s="170">
        <v>0</v>
      </c>
      <c r="AE38" s="169">
        <v>0</v>
      </c>
      <c r="AF38" s="161">
        <v>0</v>
      </c>
      <c r="AG38" s="161">
        <v>0</v>
      </c>
      <c r="AH38" s="161">
        <v>0</v>
      </c>
      <c r="AI38" s="161">
        <v>6307</v>
      </c>
      <c r="AJ38" s="161">
        <v>3847</v>
      </c>
      <c r="AK38" s="161">
        <v>12186</v>
      </c>
      <c r="AL38" s="170">
        <v>0</v>
      </c>
      <c r="AM38" s="216">
        <v>0</v>
      </c>
      <c r="AN38" s="161">
        <v>0</v>
      </c>
      <c r="AO38" s="219">
        <v>0</v>
      </c>
      <c r="AP38" s="161">
        <v>0</v>
      </c>
      <c r="AQ38" s="219">
        <v>0</v>
      </c>
      <c r="AR38" s="170">
        <v>0</v>
      </c>
    </row>
    <row r="39" spans="1:44" x14ac:dyDescent="0.3">
      <c r="A39" s="24">
        <v>835</v>
      </c>
      <c r="B39" s="24" t="s">
        <v>38</v>
      </c>
      <c r="C39" s="24" t="s">
        <v>347</v>
      </c>
      <c r="D39" s="160">
        <v>30382951.769999996</v>
      </c>
      <c r="E39" s="161">
        <v>22247</v>
      </c>
      <c r="F39" s="161">
        <v>21087</v>
      </c>
      <c r="G39" s="165">
        <v>-5.2141861824066216E-2</v>
      </c>
      <c r="H39" s="169">
        <v>30129</v>
      </c>
      <c r="I39" s="161">
        <v>30369</v>
      </c>
      <c r="J39" s="161">
        <v>535</v>
      </c>
      <c r="K39" s="170">
        <v>80</v>
      </c>
      <c r="L39" s="169">
        <v>20695</v>
      </c>
      <c r="M39" s="161">
        <v>20707</v>
      </c>
      <c r="N39" s="175">
        <v>5.7985019999999999E-4</v>
      </c>
      <c r="O39" s="161">
        <v>21022</v>
      </c>
      <c r="P39" s="176">
        <v>1.5800918090000001E-2</v>
      </c>
      <c r="Q39" s="182">
        <v>93.2</v>
      </c>
      <c r="R39" s="183">
        <v>3.5</v>
      </c>
      <c r="S39" s="183">
        <v>0.4</v>
      </c>
      <c r="T39" s="184">
        <v>97.1</v>
      </c>
      <c r="U39" s="169">
        <v>71</v>
      </c>
      <c r="V39" s="161">
        <v>202</v>
      </c>
      <c r="W39" s="161">
        <v>0</v>
      </c>
      <c r="X39" s="161">
        <v>0</v>
      </c>
      <c r="Y39" s="161">
        <v>0</v>
      </c>
      <c r="Z39" s="161">
        <v>7313</v>
      </c>
      <c r="AA39" s="161">
        <v>18640</v>
      </c>
      <c r="AB39" s="161">
        <v>1350</v>
      </c>
      <c r="AC39" s="161">
        <v>1229</v>
      </c>
      <c r="AD39" s="170">
        <v>0</v>
      </c>
      <c r="AE39" s="169">
        <v>154</v>
      </c>
      <c r="AF39" s="161">
        <v>48</v>
      </c>
      <c r="AG39" s="161">
        <v>71</v>
      </c>
      <c r="AH39" s="161">
        <v>0</v>
      </c>
      <c r="AI39" s="161">
        <v>8637</v>
      </c>
      <c r="AJ39" s="161">
        <v>12226</v>
      </c>
      <c r="AK39" s="161">
        <v>4931</v>
      </c>
      <c r="AL39" s="170">
        <v>2738</v>
      </c>
      <c r="AM39" s="216">
        <v>705000</v>
      </c>
      <c r="AN39" s="161">
        <v>150</v>
      </c>
      <c r="AO39" s="219">
        <v>0</v>
      </c>
      <c r="AP39" s="161">
        <v>0</v>
      </c>
      <c r="AQ39" s="219">
        <v>0</v>
      </c>
      <c r="AR39" s="170">
        <v>0</v>
      </c>
    </row>
    <row r="40" spans="1:44" x14ac:dyDescent="0.3">
      <c r="A40" s="24">
        <v>332</v>
      </c>
      <c r="B40" s="24" t="s">
        <v>39</v>
      </c>
      <c r="C40" s="24" t="s">
        <v>349</v>
      </c>
      <c r="D40" s="160">
        <v>23762767.969999999</v>
      </c>
      <c r="E40" s="161">
        <v>19265</v>
      </c>
      <c r="F40" s="161">
        <v>17429</v>
      </c>
      <c r="G40" s="165">
        <v>-9.5302361796003154E-2</v>
      </c>
      <c r="H40" s="169">
        <v>20684</v>
      </c>
      <c r="I40" s="161">
        <v>20772</v>
      </c>
      <c r="J40" s="161">
        <v>0</v>
      </c>
      <c r="K40" s="170">
        <v>90</v>
      </c>
      <c r="L40" s="169">
        <v>16718</v>
      </c>
      <c r="M40" s="161">
        <v>17468</v>
      </c>
      <c r="N40" s="175">
        <v>4.486182557E-2</v>
      </c>
      <c r="O40" s="161">
        <v>18114</v>
      </c>
      <c r="P40" s="176">
        <v>8.3502811339999997E-2</v>
      </c>
      <c r="Q40" s="182">
        <v>84.3</v>
      </c>
      <c r="R40" s="183">
        <v>9.1</v>
      </c>
      <c r="S40" s="183">
        <v>2.2000000000000002</v>
      </c>
      <c r="T40" s="184">
        <v>95.6</v>
      </c>
      <c r="U40" s="169">
        <v>0</v>
      </c>
      <c r="V40" s="161">
        <v>0</v>
      </c>
      <c r="W40" s="161">
        <v>35</v>
      </c>
      <c r="X40" s="161">
        <v>0</v>
      </c>
      <c r="Y40" s="161">
        <v>0</v>
      </c>
      <c r="Z40" s="161">
        <v>3396</v>
      </c>
      <c r="AA40" s="161">
        <v>8158</v>
      </c>
      <c r="AB40" s="161">
        <v>7212</v>
      </c>
      <c r="AC40" s="161">
        <v>1210</v>
      </c>
      <c r="AD40" s="170">
        <v>0</v>
      </c>
      <c r="AE40" s="169">
        <v>0</v>
      </c>
      <c r="AF40" s="161">
        <v>0</v>
      </c>
      <c r="AG40" s="161">
        <v>35</v>
      </c>
      <c r="AH40" s="161">
        <v>0</v>
      </c>
      <c r="AI40" s="161">
        <v>0</v>
      </c>
      <c r="AJ40" s="161">
        <v>8604</v>
      </c>
      <c r="AK40" s="161">
        <v>11372</v>
      </c>
      <c r="AL40" s="170">
        <v>0</v>
      </c>
      <c r="AM40" s="216">
        <v>0</v>
      </c>
      <c r="AN40" s="161">
        <v>0</v>
      </c>
      <c r="AO40" s="219">
        <v>0</v>
      </c>
      <c r="AP40" s="161">
        <v>0</v>
      </c>
      <c r="AQ40" s="219">
        <v>0</v>
      </c>
      <c r="AR40" s="170">
        <v>0</v>
      </c>
    </row>
    <row r="41" spans="1:44" x14ac:dyDescent="0.3">
      <c r="A41" s="24">
        <v>840</v>
      </c>
      <c r="B41" s="24" t="s">
        <v>40</v>
      </c>
      <c r="C41" s="24" t="s">
        <v>352</v>
      </c>
      <c r="D41" s="160">
        <v>15970903.65</v>
      </c>
      <c r="E41" s="161">
        <v>26745</v>
      </c>
      <c r="F41" s="161">
        <v>24667</v>
      </c>
      <c r="G41" s="165">
        <v>-7.7696765750607577E-2</v>
      </c>
      <c r="H41" s="169">
        <v>35964</v>
      </c>
      <c r="I41" s="161">
        <v>34125</v>
      </c>
      <c r="J41" s="161">
        <v>120</v>
      </c>
      <c r="K41" s="170">
        <v>30</v>
      </c>
      <c r="L41" s="169">
        <v>23680</v>
      </c>
      <c r="M41" s="161">
        <v>23818</v>
      </c>
      <c r="N41" s="175">
        <v>5.8277027000000004E-3</v>
      </c>
      <c r="O41" s="161">
        <v>24239</v>
      </c>
      <c r="P41" s="176">
        <v>2.360641891E-2</v>
      </c>
      <c r="Q41" s="182">
        <v>95.6</v>
      </c>
      <c r="R41" s="183">
        <v>2.4</v>
      </c>
      <c r="S41" s="183">
        <v>0.3</v>
      </c>
      <c r="T41" s="184">
        <v>98.3</v>
      </c>
      <c r="U41" s="169">
        <v>0</v>
      </c>
      <c r="V41" s="161">
        <v>0</v>
      </c>
      <c r="W41" s="161">
        <v>0</v>
      </c>
      <c r="X41" s="161">
        <v>0</v>
      </c>
      <c r="Y41" s="161">
        <v>0</v>
      </c>
      <c r="Z41" s="161">
        <v>7532</v>
      </c>
      <c r="AA41" s="161">
        <v>15962</v>
      </c>
      <c r="AB41" s="161">
        <v>7173</v>
      </c>
      <c r="AC41" s="161">
        <v>1404</v>
      </c>
      <c r="AD41" s="170">
        <v>1754</v>
      </c>
      <c r="AE41" s="169">
        <v>0</v>
      </c>
      <c r="AF41" s="161">
        <v>0</v>
      </c>
      <c r="AG41" s="161">
        <v>0</v>
      </c>
      <c r="AH41" s="161">
        <v>0</v>
      </c>
      <c r="AI41" s="161">
        <v>6163</v>
      </c>
      <c r="AJ41" s="161">
        <v>14050</v>
      </c>
      <c r="AK41" s="161">
        <v>13612</v>
      </c>
      <c r="AL41" s="170">
        <v>0</v>
      </c>
      <c r="AM41" s="216">
        <v>0</v>
      </c>
      <c r="AN41" s="161">
        <v>0</v>
      </c>
      <c r="AO41" s="219">
        <v>0</v>
      </c>
      <c r="AP41" s="161">
        <v>0</v>
      </c>
      <c r="AQ41" s="219">
        <v>0</v>
      </c>
      <c r="AR41" s="170">
        <v>0</v>
      </c>
    </row>
    <row r="42" spans="1:44" x14ac:dyDescent="0.3">
      <c r="A42" s="24">
        <v>307</v>
      </c>
      <c r="B42" s="24" t="s">
        <v>41</v>
      </c>
      <c r="C42" s="24" t="s">
        <v>345</v>
      </c>
      <c r="D42" s="160">
        <v>123341863.08</v>
      </c>
      <c r="E42" s="161">
        <v>13535</v>
      </c>
      <c r="F42" s="161">
        <v>15741</v>
      </c>
      <c r="G42" s="165">
        <v>0.16298485408200958</v>
      </c>
      <c r="H42" s="169">
        <v>17073</v>
      </c>
      <c r="I42" s="161">
        <v>20422</v>
      </c>
      <c r="J42" s="161">
        <v>640</v>
      </c>
      <c r="K42" s="170">
        <v>340</v>
      </c>
      <c r="L42" s="169">
        <v>14150</v>
      </c>
      <c r="M42" s="161">
        <v>14245</v>
      </c>
      <c r="N42" s="175">
        <v>6.7137809099999998E-3</v>
      </c>
      <c r="O42" s="161">
        <v>14494</v>
      </c>
      <c r="P42" s="176">
        <v>2.4310954060000001E-2</v>
      </c>
      <c r="Q42" s="182">
        <v>66</v>
      </c>
      <c r="R42" s="183">
        <v>13.2</v>
      </c>
      <c r="S42" s="183">
        <v>6.3</v>
      </c>
      <c r="T42" s="184">
        <v>85.5</v>
      </c>
      <c r="U42" s="169">
        <v>0</v>
      </c>
      <c r="V42" s="161">
        <v>70</v>
      </c>
      <c r="W42" s="161">
        <v>0</v>
      </c>
      <c r="X42" s="161">
        <v>0</v>
      </c>
      <c r="Y42" s="161">
        <v>0</v>
      </c>
      <c r="Z42" s="161">
        <v>6445</v>
      </c>
      <c r="AA42" s="161">
        <v>12457</v>
      </c>
      <c r="AB42" s="161">
        <v>0</v>
      </c>
      <c r="AC42" s="161">
        <v>0</v>
      </c>
      <c r="AD42" s="170">
        <v>0</v>
      </c>
      <c r="AE42" s="169">
        <v>70</v>
      </c>
      <c r="AF42" s="161">
        <v>0</v>
      </c>
      <c r="AG42" s="161">
        <v>0</v>
      </c>
      <c r="AH42" s="161">
        <v>0</v>
      </c>
      <c r="AI42" s="161">
        <v>14986</v>
      </c>
      <c r="AJ42" s="161">
        <v>3916</v>
      </c>
      <c r="AK42" s="161">
        <v>0</v>
      </c>
      <c r="AL42" s="170">
        <v>0</v>
      </c>
      <c r="AM42" s="216">
        <v>0</v>
      </c>
      <c r="AN42" s="161">
        <v>0</v>
      </c>
      <c r="AO42" s="219">
        <v>0</v>
      </c>
      <c r="AP42" s="161">
        <v>0</v>
      </c>
      <c r="AQ42" s="219">
        <v>0</v>
      </c>
      <c r="AR42" s="170">
        <v>0</v>
      </c>
    </row>
    <row r="43" spans="1:44" x14ac:dyDescent="0.3">
      <c r="A43" s="24">
        <v>811</v>
      </c>
      <c r="B43" s="24" t="s">
        <v>42</v>
      </c>
      <c r="C43" s="24" t="s">
        <v>346</v>
      </c>
      <c r="D43" s="160">
        <v>14995081</v>
      </c>
      <c r="E43" s="161">
        <v>19437</v>
      </c>
      <c r="F43" s="161">
        <v>16385</v>
      </c>
      <c r="G43" s="165">
        <v>-0.15702011627308743</v>
      </c>
      <c r="H43" s="169">
        <v>24640</v>
      </c>
      <c r="I43" s="161">
        <v>25421</v>
      </c>
      <c r="J43" s="161">
        <v>0</v>
      </c>
      <c r="K43" s="170">
        <v>240</v>
      </c>
      <c r="L43" s="169">
        <v>17102</v>
      </c>
      <c r="M43" s="161">
        <v>17185</v>
      </c>
      <c r="N43" s="175">
        <v>4.8532335299999998E-3</v>
      </c>
      <c r="O43" s="161">
        <v>17861</v>
      </c>
      <c r="P43" s="176">
        <v>4.4380774169999998E-2</v>
      </c>
      <c r="Q43" s="182">
        <v>97.1</v>
      </c>
      <c r="R43" s="183">
        <v>2.4</v>
      </c>
      <c r="S43" s="183">
        <v>0.2</v>
      </c>
      <c r="T43" s="184">
        <v>99.7</v>
      </c>
      <c r="U43" s="169">
        <v>0</v>
      </c>
      <c r="V43" s="161">
        <v>19</v>
      </c>
      <c r="W43" s="161">
        <v>33</v>
      </c>
      <c r="X43" s="161">
        <v>0</v>
      </c>
      <c r="Y43" s="161">
        <v>0</v>
      </c>
      <c r="Z43" s="161">
        <v>1877</v>
      </c>
      <c r="AA43" s="161">
        <v>14073</v>
      </c>
      <c r="AB43" s="161">
        <v>7905</v>
      </c>
      <c r="AC43" s="161">
        <v>1214</v>
      </c>
      <c r="AD43" s="170">
        <v>0</v>
      </c>
      <c r="AE43" s="169">
        <v>0</v>
      </c>
      <c r="AF43" s="161">
        <v>19</v>
      </c>
      <c r="AG43" s="161">
        <v>33</v>
      </c>
      <c r="AH43" s="161">
        <v>0</v>
      </c>
      <c r="AI43" s="161">
        <v>7351</v>
      </c>
      <c r="AJ43" s="161">
        <v>12403</v>
      </c>
      <c r="AK43" s="161">
        <v>5315</v>
      </c>
      <c r="AL43" s="170">
        <v>0</v>
      </c>
      <c r="AM43" s="216">
        <v>3662980</v>
      </c>
      <c r="AN43" s="161">
        <v>300</v>
      </c>
      <c r="AO43" s="219">
        <v>139000</v>
      </c>
      <c r="AP43" s="161">
        <v>60</v>
      </c>
      <c r="AQ43" s="219">
        <v>0</v>
      </c>
      <c r="AR43" s="170">
        <v>0</v>
      </c>
    </row>
    <row r="44" spans="1:44" x14ac:dyDescent="0.3">
      <c r="A44" s="24">
        <v>845</v>
      </c>
      <c r="B44" s="24" t="s">
        <v>43</v>
      </c>
      <c r="C44" s="24" t="s">
        <v>351</v>
      </c>
      <c r="D44" s="160">
        <v>70664672.909999996</v>
      </c>
      <c r="E44" s="161">
        <v>25890</v>
      </c>
      <c r="F44" s="161">
        <v>24785</v>
      </c>
      <c r="G44" s="165">
        <v>-4.2680571649285404E-2</v>
      </c>
      <c r="H44" s="169">
        <v>30088</v>
      </c>
      <c r="I44" s="161">
        <v>30849</v>
      </c>
      <c r="J44" s="161">
        <v>250</v>
      </c>
      <c r="K44" s="170">
        <v>120</v>
      </c>
      <c r="L44" s="169">
        <v>24216</v>
      </c>
      <c r="M44" s="161">
        <v>24350</v>
      </c>
      <c r="N44" s="175">
        <v>5.53353154E-3</v>
      </c>
      <c r="O44" s="161">
        <v>25018</v>
      </c>
      <c r="P44" s="176">
        <v>3.311859927E-2</v>
      </c>
      <c r="Q44" s="182">
        <v>92.4</v>
      </c>
      <c r="R44" s="183">
        <v>4</v>
      </c>
      <c r="S44" s="183">
        <v>1</v>
      </c>
      <c r="T44" s="184">
        <v>97.5</v>
      </c>
      <c r="U44" s="169">
        <v>0</v>
      </c>
      <c r="V44" s="161">
        <v>355</v>
      </c>
      <c r="W44" s="161">
        <v>50</v>
      </c>
      <c r="X44" s="161">
        <v>0</v>
      </c>
      <c r="Y44" s="161">
        <v>0</v>
      </c>
      <c r="Z44" s="161">
        <v>2020</v>
      </c>
      <c r="AA44" s="161">
        <v>20354</v>
      </c>
      <c r="AB44" s="161">
        <v>6180</v>
      </c>
      <c r="AC44" s="161">
        <v>0</v>
      </c>
      <c r="AD44" s="170">
        <v>0</v>
      </c>
      <c r="AE44" s="169">
        <v>355</v>
      </c>
      <c r="AF44" s="161">
        <v>0</v>
      </c>
      <c r="AG44" s="161">
        <v>50</v>
      </c>
      <c r="AH44" s="161">
        <v>0</v>
      </c>
      <c r="AI44" s="161">
        <v>11936</v>
      </c>
      <c r="AJ44" s="161">
        <v>9973</v>
      </c>
      <c r="AK44" s="161">
        <v>6645</v>
      </c>
      <c r="AL44" s="170">
        <v>0</v>
      </c>
      <c r="AM44" s="216">
        <v>0</v>
      </c>
      <c r="AN44" s="161">
        <v>0</v>
      </c>
      <c r="AO44" s="219">
        <v>0</v>
      </c>
      <c r="AP44" s="161">
        <v>0</v>
      </c>
      <c r="AQ44" s="219">
        <v>0</v>
      </c>
      <c r="AR44" s="170">
        <v>0</v>
      </c>
    </row>
    <row r="45" spans="1:44" x14ac:dyDescent="0.3">
      <c r="A45" s="24">
        <v>308</v>
      </c>
      <c r="B45" s="24" t="s">
        <v>44</v>
      </c>
      <c r="C45" s="24" t="s">
        <v>345</v>
      </c>
      <c r="D45" s="160">
        <v>110696806.63999999</v>
      </c>
      <c r="E45" s="161">
        <v>17004</v>
      </c>
      <c r="F45" s="161">
        <v>18561</v>
      </c>
      <c r="G45" s="165">
        <v>9.1566690190543421E-2</v>
      </c>
      <c r="H45" s="169">
        <v>23919</v>
      </c>
      <c r="I45" s="161">
        <v>26611</v>
      </c>
      <c r="J45" s="161">
        <v>0</v>
      </c>
      <c r="K45" s="170">
        <v>80</v>
      </c>
      <c r="L45" s="169">
        <v>17780</v>
      </c>
      <c r="M45" s="161">
        <v>18473</v>
      </c>
      <c r="N45" s="175">
        <v>3.8976377950000002E-2</v>
      </c>
      <c r="O45" s="161">
        <v>18468</v>
      </c>
      <c r="P45" s="176">
        <v>3.8695163099999999E-2</v>
      </c>
      <c r="Q45" s="182">
        <v>74.5</v>
      </c>
      <c r="R45" s="183">
        <v>12.7</v>
      </c>
      <c r="S45" s="183">
        <v>4.5999999999999996</v>
      </c>
      <c r="T45" s="184">
        <v>91.7</v>
      </c>
      <c r="U45" s="169">
        <v>0</v>
      </c>
      <c r="V45" s="161">
        <v>0</v>
      </c>
      <c r="W45" s="161">
        <v>0</v>
      </c>
      <c r="X45" s="161">
        <v>0</v>
      </c>
      <c r="Y45" s="161">
        <v>0</v>
      </c>
      <c r="Z45" s="161">
        <v>5598</v>
      </c>
      <c r="AA45" s="161">
        <v>15609</v>
      </c>
      <c r="AB45" s="161">
        <v>2344</v>
      </c>
      <c r="AC45" s="161">
        <v>0</v>
      </c>
      <c r="AD45" s="170">
        <v>0</v>
      </c>
      <c r="AE45" s="169">
        <v>0</v>
      </c>
      <c r="AF45" s="161">
        <v>0</v>
      </c>
      <c r="AG45" s="161">
        <v>0</v>
      </c>
      <c r="AH45" s="161">
        <v>0</v>
      </c>
      <c r="AI45" s="161">
        <v>10933</v>
      </c>
      <c r="AJ45" s="161">
        <v>10366</v>
      </c>
      <c r="AK45" s="161">
        <v>2252</v>
      </c>
      <c r="AL45" s="170">
        <v>0</v>
      </c>
      <c r="AM45" s="216">
        <v>0</v>
      </c>
      <c r="AN45" s="161">
        <v>0</v>
      </c>
      <c r="AO45" s="219">
        <v>0</v>
      </c>
      <c r="AP45" s="161">
        <v>0</v>
      </c>
      <c r="AQ45" s="219">
        <v>37689000</v>
      </c>
      <c r="AR45" s="170">
        <v>1320</v>
      </c>
    </row>
    <row r="46" spans="1:44" x14ac:dyDescent="0.3">
      <c r="A46" s="24">
        <v>881</v>
      </c>
      <c r="B46" s="24" t="s">
        <v>45</v>
      </c>
      <c r="C46" s="24" t="s">
        <v>348</v>
      </c>
      <c r="D46" s="160">
        <v>215377559.16</v>
      </c>
      <c r="E46" s="161">
        <v>72331</v>
      </c>
      <c r="F46" s="161">
        <v>76091</v>
      </c>
      <c r="G46" s="165">
        <v>5.1983243699105453E-2</v>
      </c>
      <c r="H46" s="169">
        <v>96542</v>
      </c>
      <c r="I46" s="161">
        <v>95119</v>
      </c>
      <c r="J46" s="161">
        <v>1991</v>
      </c>
      <c r="K46" s="170">
        <v>310</v>
      </c>
      <c r="L46" s="169">
        <v>72885</v>
      </c>
      <c r="M46" s="161">
        <v>73561</v>
      </c>
      <c r="N46" s="175">
        <v>9.2748850900000006E-3</v>
      </c>
      <c r="O46" s="161">
        <v>73971</v>
      </c>
      <c r="P46" s="176">
        <v>1.4900185220000001E-2</v>
      </c>
      <c r="Q46" s="182">
        <v>85.7</v>
      </c>
      <c r="R46" s="183">
        <v>7.3</v>
      </c>
      <c r="S46" s="183">
        <v>2.2999999999999998</v>
      </c>
      <c r="T46" s="184">
        <v>95.4</v>
      </c>
      <c r="U46" s="169">
        <v>610</v>
      </c>
      <c r="V46" s="161">
        <v>97</v>
      </c>
      <c r="W46" s="161">
        <v>79</v>
      </c>
      <c r="X46" s="161">
        <v>0</v>
      </c>
      <c r="Y46" s="161">
        <v>0</v>
      </c>
      <c r="Z46" s="161">
        <v>21125</v>
      </c>
      <c r="AA46" s="161">
        <v>52575</v>
      </c>
      <c r="AB46" s="161">
        <v>13299</v>
      </c>
      <c r="AC46" s="161">
        <v>2250</v>
      </c>
      <c r="AD46" s="170">
        <v>0</v>
      </c>
      <c r="AE46" s="169">
        <v>280</v>
      </c>
      <c r="AF46" s="161">
        <v>427</v>
      </c>
      <c r="AG46" s="161">
        <v>79</v>
      </c>
      <c r="AH46" s="161">
        <v>0</v>
      </c>
      <c r="AI46" s="161">
        <v>29591</v>
      </c>
      <c r="AJ46" s="161">
        <v>42416</v>
      </c>
      <c r="AK46" s="161">
        <v>15892</v>
      </c>
      <c r="AL46" s="170">
        <v>1350</v>
      </c>
      <c r="AM46" s="216">
        <v>0</v>
      </c>
      <c r="AN46" s="161">
        <v>0</v>
      </c>
      <c r="AO46" s="219">
        <v>0</v>
      </c>
      <c r="AP46" s="161">
        <v>0</v>
      </c>
      <c r="AQ46" s="219">
        <v>0</v>
      </c>
      <c r="AR46" s="170">
        <v>0</v>
      </c>
    </row>
    <row r="47" spans="1:44" x14ac:dyDescent="0.3">
      <c r="A47" s="24">
        <v>390</v>
      </c>
      <c r="B47" s="24" t="s">
        <v>46</v>
      </c>
      <c r="C47" s="24" t="s">
        <v>352</v>
      </c>
      <c r="D47" s="160">
        <v>20118052.379999999</v>
      </c>
      <c r="E47" s="161">
        <v>9743</v>
      </c>
      <c r="F47" s="161">
        <v>10353</v>
      </c>
      <c r="G47" s="165">
        <v>6.2609052653186836E-2</v>
      </c>
      <c r="H47" s="169">
        <v>12838</v>
      </c>
      <c r="I47" s="161">
        <v>13125</v>
      </c>
      <c r="J47" s="161">
        <v>33</v>
      </c>
      <c r="K47" s="170">
        <v>80</v>
      </c>
      <c r="L47" s="169">
        <v>9708</v>
      </c>
      <c r="M47" s="161">
        <v>8665</v>
      </c>
      <c r="N47" s="175">
        <v>-0.10743716522000001</v>
      </c>
      <c r="O47" s="161">
        <v>9797</v>
      </c>
      <c r="P47" s="176">
        <v>9.16769674E-3</v>
      </c>
      <c r="Q47" s="182">
        <v>91.5</v>
      </c>
      <c r="R47" s="183">
        <v>7.1</v>
      </c>
      <c r="S47" s="183">
        <v>0.2</v>
      </c>
      <c r="T47" s="184">
        <v>98.8</v>
      </c>
      <c r="U47" s="169">
        <v>0</v>
      </c>
      <c r="V47" s="161">
        <v>0</v>
      </c>
      <c r="W47" s="161">
        <v>0</v>
      </c>
      <c r="X47" s="161">
        <v>0</v>
      </c>
      <c r="Y47" s="161">
        <v>0</v>
      </c>
      <c r="Z47" s="161">
        <v>3961</v>
      </c>
      <c r="AA47" s="161">
        <v>4511</v>
      </c>
      <c r="AB47" s="161">
        <v>2271</v>
      </c>
      <c r="AC47" s="161">
        <v>0</v>
      </c>
      <c r="AD47" s="170">
        <v>0</v>
      </c>
      <c r="AE47" s="169">
        <v>0</v>
      </c>
      <c r="AF47" s="161">
        <v>0</v>
      </c>
      <c r="AG47" s="161">
        <v>0</v>
      </c>
      <c r="AH47" s="161">
        <v>0</v>
      </c>
      <c r="AI47" s="161">
        <v>2761</v>
      </c>
      <c r="AJ47" s="161">
        <v>2516</v>
      </c>
      <c r="AK47" s="161">
        <v>5466</v>
      </c>
      <c r="AL47" s="170">
        <v>0</v>
      </c>
      <c r="AM47" s="216">
        <v>2525000</v>
      </c>
      <c r="AN47" s="161">
        <v>175</v>
      </c>
      <c r="AO47" s="219">
        <v>0</v>
      </c>
      <c r="AP47" s="161">
        <v>0</v>
      </c>
      <c r="AQ47" s="219">
        <v>0</v>
      </c>
      <c r="AR47" s="170">
        <v>0</v>
      </c>
    </row>
    <row r="48" spans="1:44" x14ac:dyDescent="0.3">
      <c r="A48" s="24">
        <v>916</v>
      </c>
      <c r="B48" s="24" t="s">
        <v>47</v>
      </c>
      <c r="C48" s="24" t="s">
        <v>347</v>
      </c>
      <c r="D48" s="160">
        <v>72576217.320000008</v>
      </c>
      <c r="E48" s="161">
        <v>27475</v>
      </c>
      <c r="F48" s="161">
        <v>32319</v>
      </c>
      <c r="G48" s="165">
        <v>0.17630573248407644</v>
      </c>
      <c r="H48" s="169">
        <v>41832</v>
      </c>
      <c r="I48" s="161">
        <v>41657</v>
      </c>
      <c r="J48" s="161">
        <v>0</v>
      </c>
      <c r="K48" s="170">
        <v>170</v>
      </c>
      <c r="L48" s="169">
        <v>31550</v>
      </c>
      <c r="M48" s="161">
        <v>31682</v>
      </c>
      <c r="N48" s="175">
        <v>4.1838351799999996E-3</v>
      </c>
      <c r="O48" s="161">
        <v>32254</v>
      </c>
      <c r="P48" s="176">
        <v>2.2313787630000002E-2</v>
      </c>
      <c r="Q48" s="182">
        <v>87</v>
      </c>
      <c r="R48" s="183">
        <v>7.9</v>
      </c>
      <c r="S48" s="183">
        <v>1.7</v>
      </c>
      <c r="T48" s="184">
        <v>96.6</v>
      </c>
      <c r="U48" s="169">
        <v>210</v>
      </c>
      <c r="V48" s="161">
        <v>52</v>
      </c>
      <c r="W48" s="161">
        <v>0</v>
      </c>
      <c r="X48" s="161">
        <v>0</v>
      </c>
      <c r="Y48" s="161">
        <v>0</v>
      </c>
      <c r="Z48" s="161">
        <v>8146</v>
      </c>
      <c r="AA48" s="161">
        <v>23651</v>
      </c>
      <c r="AB48" s="161">
        <v>5595</v>
      </c>
      <c r="AC48" s="161">
        <v>1700</v>
      </c>
      <c r="AD48" s="170">
        <v>0</v>
      </c>
      <c r="AE48" s="169">
        <v>185</v>
      </c>
      <c r="AF48" s="161">
        <v>25</v>
      </c>
      <c r="AG48" s="161">
        <v>52</v>
      </c>
      <c r="AH48" s="161">
        <v>0</v>
      </c>
      <c r="AI48" s="161">
        <v>17879</v>
      </c>
      <c r="AJ48" s="161">
        <v>11866</v>
      </c>
      <c r="AK48" s="161">
        <v>9347</v>
      </c>
      <c r="AL48" s="170">
        <v>0</v>
      </c>
      <c r="AM48" s="216">
        <v>1392309</v>
      </c>
      <c r="AN48" s="161">
        <v>181</v>
      </c>
      <c r="AO48" s="219">
        <v>0</v>
      </c>
      <c r="AP48" s="161">
        <v>0</v>
      </c>
      <c r="AQ48" s="219">
        <v>0</v>
      </c>
      <c r="AR48" s="170">
        <v>0</v>
      </c>
    </row>
    <row r="49" spans="1:44" x14ac:dyDescent="0.3">
      <c r="A49" s="24">
        <v>203</v>
      </c>
      <c r="B49" s="24" t="s">
        <v>48</v>
      </c>
      <c r="C49" s="24" t="s">
        <v>345</v>
      </c>
      <c r="D49" s="160">
        <v>131870396.11</v>
      </c>
      <c r="E49" s="161">
        <v>10496</v>
      </c>
      <c r="F49" s="161">
        <v>12851</v>
      </c>
      <c r="G49" s="165">
        <v>0.22437118902439024</v>
      </c>
      <c r="H49" s="169">
        <v>15792</v>
      </c>
      <c r="I49" s="161">
        <v>15932</v>
      </c>
      <c r="J49" s="161">
        <v>1140</v>
      </c>
      <c r="K49" s="170">
        <v>0</v>
      </c>
      <c r="L49" s="169">
        <v>11182</v>
      </c>
      <c r="M49" s="161">
        <v>11252</v>
      </c>
      <c r="N49" s="175">
        <v>6.2600608099999998E-3</v>
      </c>
      <c r="O49" s="161">
        <v>10948</v>
      </c>
      <c r="P49" s="176">
        <v>-2.0926489E-2</v>
      </c>
      <c r="Q49" s="182">
        <v>67</v>
      </c>
      <c r="R49" s="183">
        <v>13.9</v>
      </c>
      <c r="S49" s="183">
        <v>5.7</v>
      </c>
      <c r="T49" s="184">
        <v>86.6</v>
      </c>
      <c r="U49" s="169">
        <v>132</v>
      </c>
      <c r="V49" s="161">
        <v>0</v>
      </c>
      <c r="W49" s="161">
        <v>129</v>
      </c>
      <c r="X49" s="161">
        <v>0</v>
      </c>
      <c r="Y49" s="161">
        <v>0</v>
      </c>
      <c r="Z49" s="161">
        <v>4871</v>
      </c>
      <c r="AA49" s="161">
        <v>8150</v>
      </c>
      <c r="AB49" s="161">
        <v>1350</v>
      </c>
      <c r="AC49" s="161">
        <v>0</v>
      </c>
      <c r="AD49" s="170">
        <v>0</v>
      </c>
      <c r="AE49" s="169">
        <v>132</v>
      </c>
      <c r="AF49" s="161">
        <v>129</v>
      </c>
      <c r="AG49" s="161">
        <v>0</v>
      </c>
      <c r="AH49" s="161">
        <v>0</v>
      </c>
      <c r="AI49" s="161">
        <v>6671</v>
      </c>
      <c r="AJ49" s="161">
        <v>7700</v>
      </c>
      <c r="AK49" s="161">
        <v>0</v>
      </c>
      <c r="AL49" s="170">
        <v>0</v>
      </c>
      <c r="AM49" s="216">
        <v>0</v>
      </c>
      <c r="AN49" s="161">
        <v>0</v>
      </c>
      <c r="AO49" s="219">
        <v>0</v>
      </c>
      <c r="AP49" s="161">
        <v>0</v>
      </c>
      <c r="AQ49" s="219">
        <v>0</v>
      </c>
      <c r="AR49" s="170">
        <v>0</v>
      </c>
    </row>
    <row r="50" spans="1:44" x14ac:dyDescent="0.3">
      <c r="A50" s="24">
        <v>204</v>
      </c>
      <c r="B50" s="24" t="s">
        <v>49</v>
      </c>
      <c r="C50" s="24" t="s">
        <v>345</v>
      </c>
      <c r="D50" s="160">
        <v>47590725.32</v>
      </c>
      <c r="E50" s="161">
        <v>5360</v>
      </c>
      <c r="F50" s="161">
        <v>11715</v>
      </c>
      <c r="G50" s="165">
        <v>1.1856343283582089</v>
      </c>
      <c r="H50" s="169">
        <v>9184</v>
      </c>
      <c r="I50" s="161">
        <v>15302</v>
      </c>
      <c r="J50" s="161">
        <v>330</v>
      </c>
      <c r="K50" s="170">
        <v>0</v>
      </c>
      <c r="L50" s="169">
        <v>10557</v>
      </c>
      <c r="M50" s="161">
        <v>10660</v>
      </c>
      <c r="N50" s="175">
        <v>9.7565596200000007E-3</v>
      </c>
      <c r="O50" s="161">
        <v>10367</v>
      </c>
      <c r="P50" s="176">
        <v>-1.7997537170000001E-2</v>
      </c>
      <c r="Q50" s="182">
        <v>65</v>
      </c>
      <c r="R50" s="183">
        <v>14.8</v>
      </c>
      <c r="S50" s="183">
        <v>7.6</v>
      </c>
      <c r="T50" s="184">
        <v>87.5</v>
      </c>
      <c r="U50" s="169">
        <v>0</v>
      </c>
      <c r="V50" s="161">
        <v>198</v>
      </c>
      <c r="W50" s="161">
        <v>0</v>
      </c>
      <c r="X50" s="161">
        <v>0</v>
      </c>
      <c r="Y50" s="161">
        <v>0</v>
      </c>
      <c r="Z50" s="161">
        <v>3755</v>
      </c>
      <c r="AA50" s="161">
        <v>9299</v>
      </c>
      <c r="AB50" s="161">
        <v>150</v>
      </c>
      <c r="AC50" s="161">
        <v>0</v>
      </c>
      <c r="AD50" s="170">
        <v>0</v>
      </c>
      <c r="AE50" s="169">
        <v>198</v>
      </c>
      <c r="AF50" s="161">
        <v>0</v>
      </c>
      <c r="AG50" s="161">
        <v>0</v>
      </c>
      <c r="AH50" s="161">
        <v>0</v>
      </c>
      <c r="AI50" s="161">
        <v>9694</v>
      </c>
      <c r="AJ50" s="161">
        <v>3510</v>
      </c>
      <c r="AK50" s="161">
        <v>0</v>
      </c>
      <c r="AL50" s="170">
        <v>0</v>
      </c>
      <c r="AM50" s="216">
        <v>0</v>
      </c>
      <c r="AN50" s="161">
        <v>0</v>
      </c>
      <c r="AO50" s="219">
        <v>0</v>
      </c>
      <c r="AP50" s="161">
        <v>0</v>
      </c>
      <c r="AQ50" s="219">
        <v>13870126</v>
      </c>
      <c r="AR50" s="170">
        <v>800</v>
      </c>
    </row>
    <row r="51" spans="1:44" x14ac:dyDescent="0.3">
      <c r="A51" s="24">
        <v>876</v>
      </c>
      <c r="B51" s="24" t="s">
        <v>50</v>
      </c>
      <c r="C51" s="24" t="s">
        <v>350</v>
      </c>
      <c r="D51" s="160">
        <v>5755053.1499999994</v>
      </c>
      <c r="E51" s="161">
        <v>7199</v>
      </c>
      <c r="F51" s="161">
        <v>7180</v>
      </c>
      <c r="G51" s="165">
        <v>-2.6392554521461609E-3</v>
      </c>
      <c r="H51" s="169">
        <v>7705</v>
      </c>
      <c r="I51" s="161">
        <v>9534</v>
      </c>
      <c r="J51" s="161">
        <v>245</v>
      </c>
      <c r="K51" s="170">
        <v>0</v>
      </c>
      <c r="L51" s="169">
        <v>6849</v>
      </c>
      <c r="M51" s="161">
        <v>6921</v>
      </c>
      <c r="N51" s="175">
        <v>1.051248357E-2</v>
      </c>
      <c r="O51" s="161">
        <v>6853</v>
      </c>
      <c r="P51" s="176">
        <v>5.8402686E-4</v>
      </c>
      <c r="Q51" s="182">
        <v>94</v>
      </c>
      <c r="R51" s="183">
        <v>4.4000000000000004</v>
      </c>
      <c r="S51" s="183">
        <v>0.1</v>
      </c>
      <c r="T51" s="184">
        <v>98.6</v>
      </c>
      <c r="U51" s="169">
        <v>200</v>
      </c>
      <c r="V51" s="161">
        <v>0</v>
      </c>
      <c r="W51" s="161">
        <v>0</v>
      </c>
      <c r="X51" s="161">
        <v>0</v>
      </c>
      <c r="Y51" s="161">
        <v>0</v>
      </c>
      <c r="Z51" s="161">
        <v>2700</v>
      </c>
      <c r="AA51" s="161">
        <v>2777</v>
      </c>
      <c r="AB51" s="161">
        <v>900</v>
      </c>
      <c r="AC51" s="161">
        <v>1107</v>
      </c>
      <c r="AD51" s="170">
        <v>0</v>
      </c>
      <c r="AE51" s="169">
        <v>0</v>
      </c>
      <c r="AF51" s="161">
        <v>200</v>
      </c>
      <c r="AG51" s="161">
        <v>0</v>
      </c>
      <c r="AH51" s="161">
        <v>0</v>
      </c>
      <c r="AI51" s="161">
        <v>0</v>
      </c>
      <c r="AJ51" s="161">
        <v>3600</v>
      </c>
      <c r="AK51" s="161">
        <v>3884</v>
      </c>
      <c r="AL51" s="170">
        <v>0</v>
      </c>
      <c r="AM51" s="216">
        <v>0</v>
      </c>
      <c r="AN51" s="161">
        <v>0</v>
      </c>
      <c r="AO51" s="219">
        <v>0</v>
      </c>
      <c r="AP51" s="161">
        <v>0</v>
      </c>
      <c r="AQ51" s="219">
        <v>0</v>
      </c>
      <c r="AR51" s="170">
        <v>0</v>
      </c>
    </row>
    <row r="52" spans="1:44" x14ac:dyDescent="0.3">
      <c r="A52" s="24">
        <v>205</v>
      </c>
      <c r="B52" s="24" t="s">
        <v>51</v>
      </c>
      <c r="C52" s="24" t="s">
        <v>345</v>
      </c>
      <c r="D52" s="160">
        <v>63395297.469999999</v>
      </c>
      <c r="E52" s="161">
        <v>4765</v>
      </c>
      <c r="F52" s="161">
        <v>7088</v>
      </c>
      <c r="G52" s="165">
        <v>0.48751311647429163</v>
      </c>
      <c r="H52" s="169">
        <v>7536</v>
      </c>
      <c r="I52" s="161">
        <v>10286</v>
      </c>
      <c r="J52" s="161">
        <v>150</v>
      </c>
      <c r="K52" s="170">
        <v>0</v>
      </c>
      <c r="L52" s="169">
        <v>6323</v>
      </c>
      <c r="M52" s="161">
        <v>6495</v>
      </c>
      <c r="N52" s="175">
        <v>2.7202277390000001E-2</v>
      </c>
      <c r="O52" s="161">
        <v>7305</v>
      </c>
      <c r="P52" s="176">
        <v>0.15530602562000001</v>
      </c>
      <c r="Q52" s="182">
        <v>55.3</v>
      </c>
      <c r="R52" s="183">
        <v>14.5</v>
      </c>
      <c r="S52" s="183">
        <v>9.1999999999999993</v>
      </c>
      <c r="T52" s="184">
        <v>79.099999999999994</v>
      </c>
      <c r="U52" s="169">
        <v>0</v>
      </c>
      <c r="V52" s="161">
        <v>0</v>
      </c>
      <c r="W52" s="161">
        <v>0</v>
      </c>
      <c r="X52" s="161">
        <v>0</v>
      </c>
      <c r="Y52" s="161">
        <v>0</v>
      </c>
      <c r="Z52" s="161">
        <v>4433</v>
      </c>
      <c r="AA52" s="161">
        <v>1635</v>
      </c>
      <c r="AB52" s="161">
        <v>1490</v>
      </c>
      <c r="AC52" s="161">
        <v>0</v>
      </c>
      <c r="AD52" s="170">
        <v>0</v>
      </c>
      <c r="AE52" s="169">
        <v>0</v>
      </c>
      <c r="AF52" s="161">
        <v>0</v>
      </c>
      <c r="AG52" s="161">
        <v>0</v>
      </c>
      <c r="AH52" s="161">
        <v>0</v>
      </c>
      <c r="AI52" s="161">
        <v>3766</v>
      </c>
      <c r="AJ52" s="161">
        <v>855</v>
      </c>
      <c r="AK52" s="161">
        <v>2157</v>
      </c>
      <c r="AL52" s="170">
        <v>780</v>
      </c>
      <c r="AM52" s="216">
        <v>6700000</v>
      </c>
      <c r="AN52" s="161">
        <v>150</v>
      </c>
      <c r="AO52" s="219">
        <v>300000</v>
      </c>
      <c r="AP52" s="161">
        <v>30</v>
      </c>
      <c r="AQ52" s="219">
        <v>1042191</v>
      </c>
      <c r="AR52" s="170">
        <v>600</v>
      </c>
    </row>
    <row r="53" spans="1:44" x14ac:dyDescent="0.3">
      <c r="A53" s="24">
        <v>850</v>
      </c>
      <c r="B53" s="24" t="s">
        <v>52</v>
      </c>
      <c r="C53" s="24" t="s">
        <v>351</v>
      </c>
      <c r="D53" s="160">
        <v>216445292.60999998</v>
      </c>
      <c r="E53" s="161">
        <v>68525</v>
      </c>
      <c r="F53" s="161">
        <v>65930</v>
      </c>
      <c r="G53" s="165">
        <v>-3.7869390733308972E-2</v>
      </c>
      <c r="H53" s="169">
        <v>78487</v>
      </c>
      <c r="I53" s="161">
        <v>77277</v>
      </c>
      <c r="J53" s="161">
        <v>415</v>
      </c>
      <c r="K53" s="170">
        <v>590</v>
      </c>
      <c r="L53" s="169">
        <v>64503</v>
      </c>
      <c r="M53" s="161">
        <v>64542</v>
      </c>
      <c r="N53" s="175">
        <v>6.0462304000000004E-4</v>
      </c>
      <c r="O53" s="161">
        <v>65573</v>
      </c>
      <c r="P53" s="176">
        <v>1.658837573E-2</v>
      </c>
      <c r="Q53" s="182">
        <v>92.9</v>
      </c>
      <c r="R53" s="183">
        <v>4.7</v>
      </c>
      <c r="S53" s="183">
        <v>0.8</v>
      </c>
      <c r="T53" s="184">
        <v>98.4</v>
      </c>
      <c r="U53" s="169">
        <v>0</v>
      </c>
      <c r="V53" s="161">
        <v>168</v>
      </c>
      <c r="W53" s="161">
        <v>0</v>
      </c>
      <c r="X53" s="161">
        <v>0</v>
      </c>
      <c r="Y53" s="161">
        <v>0</v>
      </c>
      <c r="Z53" s="161">
        <v>10424</v>
      </c>
      <c r="AA53" s="161">
        <v>48580</v>
      </c>
      <c r="AB53" s="161">
        <v>12855</v>
      </c>
      <c r="AC53" s="161">
        <v>4247</v>
      </c>
      <c r="AD53" s="170">
        <v>0</v>
      </c>
      <c r="AE53" s="169">
        <v>37</v>
      </c>
      <c r="AF53" s="161">
        <v>131</v>
      </c>
      <c r="AG53" s="161">
        <v>0</v>
      </c>
      <c r="AH53" s="161">
        <v>0</v>
      </c>
      <c r="AI53" s="161">
        <v>18134</v>
      </c>
      <c r="AJ53" s="161">
        <v>32675</v>
      </c>
      <c r="AK53" s="161">
        <v>25297</v>
      </c>
      <c r="AL53" s="170">
        <v>0</v>
      </c>
      <c r="AM53" s="216">
        <v>0</v>
      </c>
      <c r="AN53" s="161">
        <v>0</v>
      </c>
      <c r="AO53" s="219">
        <v>0</v>
      </c>
      <c r="AP53" s="161">
        <v>0</v>
      </c>
      <c r="AQ53" s="219">
        <v>0</v>
      </c>
      <c r="AR53" s="170">
        <v>0</v>
      </c>
    </row>
    <row r="54" spans="1:44" x14ac:dyDescent="0.3">
      <c r="A54" s="24">
        <v>309</v>
      </c>
      <c r="B54" s="24" t="s">
        <v>53</v>
      </c>
      <c r="C54" s="24" t="s">
        <v>345</v>
      </c>
      <c r="D54" s="160">
        <v>40732244.229999997</v>
      </c>
      <c r="E54" s="161">
        <v>9984</v>
      </c>
      <c r="F54" s="161">
        <v>11456</v>
      </c>
      <c r="G54" s="165">
        <v>0.14743589743589736</v>
      </c>
      <c r="H54" s="169">
        <v>14068</v>
      </c>
      <c r="I54" s="161">
        <v>14562</v>
      </c>
      <c r="J54" s="161">
        <v>0</v>
      </c>
      <c r="K54" s="170">
        <v>0</v>
      </c>
      <c r="L54" s="169">
        <v>11023</v>
      </c>
      <c r="M54" s="161">
        <v>10903</v>
      </c>
      <c r="N54" s="175">
        <v>-1.088632858E-2</v>
      </c>
      <c r="O54" s="161">
        <v>11026</v>
      </c>
      <c r="P54" s="176">
        <v>2.7215821000000002E-4</v>
      </c>
      <c r="Q54" s="182">
        <v>68.400000000000006</v>
      </c>
      <c r="R54" s="183">
        <v>13.4</v>
      </c>
      <c r="S54" s="183">
        <v>6.1</v>
      </c>
      <c r="T54" s="184">
        <v>87.9</v>
      </c>
      <c r="U54" s="169">
        <v>0</v>
      </c>
      <c r="V54" s="161">
        <v>0</v>
      </c>
      <c r="W54" s="161">
        <v>0</v>
      </c>
      <c r="X54" s="161">
        <v>0</v>
      </c>
      <c r="Y54" s="161">
        <v>0</v>
      </c>
      <c r="Z54" s="161">
        <v>6200</v>
      </c>
      <c r="AA54" s="161">
        <v>7242</v>
      </c>
      <c r="AB54" s="161">
        <v>0</v>
      </c>
      <c r="AC54" s="161">
        <v>0</v>
      </c>
      <c r="AD54" s="170">
        <v>0</v>
      </c>
      <c r="AE54" s="169">
        <v>0</v>
      </c>
      <c r="AF54" s="161">
        <v>0</v>
      </c>
      <c r="AG54" s="161">
        <v>0</v>
      </c>
      <c r="AH54" s="161">
        <v>0</v>
      </c>
      <c r="AI54" s="161">
        <v>8847</v>
      </c>
      <c r="AJ54" s="161">
        <v>4595</v>
      </c>
      <c r="AK54" s="161">
        <v>0</v>
      </c>
      <c r="AL54" s="170">
        <v>0</v>
      </c>
      <c r="AM54" s="216">
        <v>0</v>
      </c>
      <c r="AN54" s="161">
        <v>0</v>
      </c>
      <c r="AO54" s="219">
        <v>0</v>
      </c>
      <c r="AP54" s="161">
        <v>0</v>
      </c>
      <c r="AQ54" s="219">
        <v>0</v>
      </c>
      <c r="AR54" s="170">
        <v>0</v>
      </c>
    </row>
    <row r="55" spans="1:44" x14ac:dyDescent="0.3">
      <c r="A55" s="24">
        <v>310</v>
      </c>
      <c r="B55" s="24" t="s">
        <v>54</v>
      </c>
      <c r="C55" s="24" t="s">
        <v>345</v>
      </c>
      <c r="D55" s="160">
        <v>102397970.85000001</v>
      </c>
      <c r="E55" s="161">
        <v>10550</v>
      </c>
      <c r="F55" s="161">
        <v>11423</v>
      </c>
      <c r="G55" s="165">
        <v>8.2748815165876843E-2</v>
      </c>
      <c r="H55" s="169">
        <v>10993</v>
      </c>
      <c r="I55" s="161">
        <v>14548</v>
      </c>
      <c r="J55" s="161">
        <v>1050</v>
      </c>
      <c r="K55" s="170">
        <v>0</v>
      </c>
      <c r="L55" s="169">
        <v>10518</v>
      </c>
      <c r="M55" s="161">
        <v>10727</v>
      </c>
      <c r="N55" s="175">
        <v>1.9870697850000001E-2</v>
      </c>
      <c r="O55" s="161">
        <v>10259</v>
      </c>
      <c r="P55" s="176">
        <v>-2.4624453309999999E-2</v>
      </c>
      <c r="Q55" s="182">
        <v>67.599999999999994</v>
      </c>
      <c r="R55" s="183">
        <v>14.6</v>
      </c>
      <c r="S55" s="183">
        <v>6.6</v>
      </c>
      <c r="T55" s="184">
        <v>88.8</v>
      </c>
      <c r="U55" s="169">
        <v>33</v>
      </c>
      <c r="V55" s="161">
        <v>0</v>
      </c>
      <c r="W55" s="161">
        <v>0</v>
      </c>
      <c r="X55" s="161">
        <v>0</v>
      </c>
      <c r="Y55" s="161">
        <v>0</v>
      </c>
      <c r="Z55" s="161">
        <v>9618</v>
      </c>
      <c r="AA55" s="161">
        <v>2950</v>
      </c>
      <c r="AB55" s="161">
        <v>687</v>
      </c>
      <c r="AC55" s="161">
        <v>0</v>
      </c>
      <c r="AD55" s="170">
        <v>0</v>
      </c>
      <c r="AE55" s="169">
        <v>33</v>
      </c>
      <c r="AF55" s="161">
        <v>0</v>
      </c>
      <c r="AG55" s="161">
        <v>0</v>
      </c>
      <c r="AH55" s="161">
        <v>0</v>
      </c>
      <c r="AI55" s="161">
        <v>9668</v>
      </c>
      <c r="AJ55" s="161">
        <v>2900</v>
      </c>
      <c r="AK55" s="161">
        <v>687</v>
      </c>
      <c r="AL55" s="170">
        <v>0</v>
      </c>
      <c r="AM55" s="216">
        <v>0</v>
      </c>
      <c r="AN55" s="161">
        <v>0</v>
      </c>
      <c r="AO55" s="219">
        <v>0</v>
      </c>
      <c r="AP55" s="161">
        <v>0</v>
      </c>
      <c r="AQ55" s="219">
        <v>0</v>
      </c>
      <c r="AR55" s="170">
        <v>0</v>
      </c>
    </row>
    <row r="56" spans="1:44" x14ac:dyDescent="0.3">
      <c r="A56" s="24">
        <v>805</v>
      </c>
      <c r="B56" s="24" t="s">
        <v>55</v>
      </c>
      <c r="C56" s="24" t="s">
        <v>352</v>
      </c>
      <c r="D56" s="160">
        <v>8197138.4000000004</v>
      </c>
      <c r="E56" s="161">
        <v>5896</v>
      </c>
      <c r="F56" s="161">
        <v>5280</v>
      </c>
      <c r="G56" s="165">
        <v>-0.10447761194029848</v>
      </c>
      <c r="H56" s="169">
        <v>6416</v>
      </c>
      <c r="I56" s="161">
        <v>6146</v>
      </c>
      <c r="J56" s="161">
        <v>0</v>
      </c>
      <c r="K56" s="170">
        <v>220</v>
      </c>
      <c r="L56" s="169">
        <v>5144</v>
      </c>
      <c r="M56" s="161">
        <v>5183</v>
      </c>
      <c r="N56" s="175">
        <v>7.5816485200000004E-3</v>
      </c>
      <c r="O56" s="161">
        <v>5102</v>
      </c>
      <c r="P56" s="176">
        <v>-8.1648522500000001E-3</v>
      </c>
      <c r="Q56" s="182">
        <v>92.9</v>
      </c>
      <c r="R56" s="183">
        <v>5.7</v>
      </c>
      <c r="S56" s="183">
        <v>0.8</v>
      </c>
      <c r="T56" s="184">
        <v>99.3</v>
      </c>
      <c r="U56" s="169">
        <v>0</v>
      </c>
      <c r="V56" s="161">
        <v>0</v>
      </c>
      <c r="W56" s="161">
        <v>0</v>
      </c>
      <c r="X56" s="161">
        <v>0</v>
      </c>
      <c r="Y56" s="161">
        <v>0</v>
      </c>
      <c r="Z56" s="161">
        <v>0</v>
      </c>
      <c r="AA56" s="161">
        <v>1634</v>
      </c>
      <c r="AB56" s="161">
        <v>2086</v>
      </c>
      <c r="AC56" s="161">
        <v>0</v>
      </c>
      <c r="AD56" s="170">
        <v>0</v>
      </c>
      <c r="AE56" s="169">
        <v>0</v>
      </c>
      <c r="AF56" s="161">
        <v>0</v>
      </c>
      <c r="AG56" s="161">
        <v>0</v>
      </c>
      <c r="AH56" s="161">
        <v>0</v>
      </c>
      <c r="AI56" s="161">
        <v>1634</v>
      </c>
      <c r="AJ56" s="161">
        <v>0</v>
      </c>
      <c r="AK56" s="161">
        <v>2086</v>
      </c>
      <c r="AL56" s="170">
        <v>0</v>
      </c>
      <c r="AM56" s="216">
        <v>0</v>
      </c>
      <c r="AN56" s="161">
        <v>0</v>
      </c>
      <c r="AO56" s="219">
        <v>0</v>
      </c>
      <c r="AP56" s="161">
        <v>0</v>
      </c>
      <c r="AQ56" s="219">
        <v>0</v>
      </c>
      <c r="AR56" s="170">
        <v>0</v>
      </c>
    </row>
    <row r="57" spans="1:44" x14ac:dyDescent="0.3">
      <c r="A57" s="24">
        <v>311</v>
      </c>
      <c r="B57" s="24" t="s">
        <v>56</v>
      </c>
      <c r="C57" s="24" t="s">
        <v>345</v>
      </c>
      <c r="D57" s="160">
        <v>81052318.24000001</v>
      </c>
      <c r="E57" s="161">
        <v>15409</v>
      </c>
      <c r="F57" s="161">
        <v>15926</v>
      </c>
      <c r="G57" s="165">
        <v>3.3551820364721818E-2</v>
      </c>
      <c r="H57" s="169">
        <v>17343</v>
      </c>
      <c r="I57" s="161">
        <v>19303</v>
      </c>
      <c r="J57" s="161">
        <v>960</v>
      </c>
      <c r="K57" s="170">
        <v>150</v>
      </c>
      <c r="L57" s="169">
        <v>14781</v>
      </c>
      <c r="M57" s="161">
        <v>15044</v>
      </c>
      <c r="N57" s="175">
        <v>1.7793112770000001E-2</v>
      </c>
      <c r="O57" s="161">
        <v>14570</v>
      </c>
      <c r="P57" s="176">
        <v>-1.4275082870000001E-2</v>
      </c>
      <c r="Q57" s="182">
        <v>76.8</v>
      </c>
      <c r="R57" s="183">
        <v>11.4</v>
      </c>
      <c r="S57" s="183">
        <v>4.2</v>
      </c>
      <c r="T57" s="184">
        <v>92.4</v>
      </c>
      <c r="U57" s="169">
        <v>0</v>
      </c>
      <c r="V57" s="161">
        <v>0</v>
      </c>
      <c r="W57" s="161">
        <v>0</v>
      </c>
      <c r="X57" s="161">
        <v>0</v>
      </c>
      <c r="Y57" s="161">
        <v>0</v>
      </c>
      <c r="Z57" s="161">
        <v>1974</v>
      </c>
      <c r="AA57" s="161">
        <v>8285</v>
      </c>
      <c r="AB57" s="161">
        <v>7544</v>
      </c>
      <c r="AC57" s="161">
        <v>900</v>
      </c>
      <c r="AD57" s="170">
        <v>0</v>
      </c>
      <c r="AE57" s="169">
        <v>0</v>
      </c>
      <c r="AF57" s="161">
        <v>0</v>
      </c>
      <c r="AG57" s="161">
        <v>0</v>
      </c>
      <c r="AH57" s="161">
        <v>0</v>
      </c>
      <c r="AI57" s="161">
        <v>2724</v>
      </c>
      <c r="AJ57" s="161">
        <v>8574</v>
      </c>
      <c r="AK57" s="161">
        <v>7405</v>
      </c>
      <c r="AL57" s="170">
        <v>0</v>
      </c>
      <c r="AM57" s="216">
        <v>0</v>
      </c>
      <c r="AN57" s="161">
        <v>0</v>
      </c>
      <c r="AO57" s="219">
        <v>0</v>
      </c>
      <c r="AP57" s="161">
        <v>0</v>
      </c>
      <c r="AQ57" s="219">
        <v>0</v>
      </c>
      <c r="AR57" s="170">
        <v>0</v>
      </c>
    </row>
    <row r="58" spans="1:44" x14ac:dyDescent="0.3">
      <c r="A58" s="24">
        <v>884</v>
      </c>
      <c r="B58" s="24" t="s">
        <v>57</v>
      </c>
      <c r="C58" s="24" t="s">
        <v>349</v>
      </c>
      <c r="D58" s="160">
        <v>6174627.8999999994</v>
      </c>
      <c r="E58" s="161">
        <v>8570</v>
      </c>
      <c r="F58" s="161">
        <v>8715</v>
      </c>
      <c r="G58" s="165">
        <v>1.6919486581096876E-2</v>
      </c>
      <c r="H58" s="169">
        <v>10950</v>
      </c>
      <c r="I58" s="161">
        <v>11399</v>
      </c>
      <c r="J58" s="161">
        <v>0</v>
      </c>
      <c r="K58" s="170">
        <v>0</v>
      </c>
      <c r="L58" s="169">
        <v>8651</v>
      </c>
      <c r="M58" s="161">
        <v>8689</v>
      </c>
      <c r="N58" s="175">
        <v>4.3925557699999998E-3</v>
      </c>
      <c r="O58" s="161">
        <v>8559</v>
      </c>
      <c r="P58" s="176">
        <v>-1.063460871E-2</v>
      </c>
      <c r="Q58" s="182">
        <v>95.4</v>
      </c>
      <c r="R58" s="183">
        <v>2.7</v>
      </c>
      <c r="S58" s="183">
        <v>0.2</v>
      </c>
      <c r="T58" s="184">
        <v>98.3</v>
      </c>
      <c r="U58" s="169">
        <v>0</v>
      </c>
      <c r="V58" s="161">
        <v>0</v>
      </c>
      <c r="W58" s="161">
        <v>0</v>
      </c>
      <c r="X58" s="161">
        <v>0</v>
      </c>
      <c r="Y58" s="161">
        <v>0</v>
      </c>
      <c r="Z58" s="161">
        <v>900</v>
      </c>
      <c r="AA58" s="161">
        <v>8369</v>
      </c>
      <c r="AB58" s="161">
        <v>510</v>
      </c>
      <c r="AC58" s="161">
        <v>1120</v>
      </c>
      <c r="AD58" s="170">
        <v>0</v>
      </c>
      <c r="AE58" s="169">
        <v>0</v>
      </c>
      <c r="AF58" s="161">
        <v>0</v>
      </c>
      <c r="AG58" s="161">
        <v>0</v>
      </c>
      <c r="AH58" s="161">
        <v>0</v>
      </c>
      <c r="AI58" s="161">
        <v>3935</v>
      </c>
      <c r="AJ58" s="161">
        <v>4814</v>
      </c>
      <c r="AK58" s="161">
        <v>2150</v>
      </c>
      <c r="AL58" s="170">
        <v>0</v>
      </c>
      <c r="AM58" s="216">
        <v>0</v>
      </c>
      <c r="AN58" s="161">
        <v>0</v>
      </c>
      <c r="AO58" s="219">
        <v>0</v>
      </c>
      <c r="AP58" s="161">
        <v>0</v>
      </c>
      <c r="AQ58" s="219">
        <v>0</v>
      </c>
      <c r="AR58" s="170">
        <v>0</v>
      </c>
    </row>
    <row r="59" spans="1:44" x14ac:dyDescent="0.3">
      <c r="A59" s="24">
        <v>919</v>
      </c>
      <c r="B59" s="24" t="s">
        <v>58</v>
      </c>
      <c r="C59" s="24" t="s">
        <v>348</v>
      </c>
      <c r="D59" s="160">
        <v>236189991.71000001</v>
      </c>
      <c r="E59" s="161">
        <v>62881</v>
      </c>
      <c r="F59" s="161">
        <v>67348</v>
      </c>
      <c r="G59" s="165">
        <v>7.103894658163834E-2</v>
      </c>
      <c r="H59" s="169">
        <v>89011</v>
      </c>
      <c r="I59" s="161">
        <v>91995</v>
      </c>
      <c r="J59" s="161">
        <v>1210</v>
      </c>
      <c r="K59" s="170">
        <v>750</v>
      </c>
      <c r="L59" s="169">
        <v>63685</v>
      </c>
      <c r="M59" s="161">
        <v>63693</v>
      </c>
      <c r="N59" s="175">
        <v>1.2561827000000001E-4</v>
      </c>
      <c r="O59" s="161">
        <v>64554</v>
      </c>
      <c r="P59" s="176">
        <v>1.364528538E-2</v>
      </c>
      <c r="Q59" s="182">
        <v>77.8</v>
      </c>
      <c r="R59" s="183">
        <v>11</v>
      </c>
      <c r="S59" s="183">
        <v>4.0999999999999996</v>
      </c>
      <c r="T59" s="184">
        <v>92.9</v>
      </c>
      <c r="U59" s="169">
        <v>84</v>
      </c>
      <c r="V59" s="161">
        <v>373</v>
      </c>
      <c r="W59" s="161">
        <v>369</v>
      </c>
      <c r="X59" s="161">
        <v>0</v>
      </c>
      <c r="Y59" s="161">
        <v>0</v>
      </c>
      <c r="Z59" s="161">
        <v>23562</v>
      </c>
      <c r="AA59" s="161">
        <v>47170</v>
      </c>
      <c r="AB59" s="161">
        <v>16632</v>
      </c>
      <c r="AC59" s="161">
        <v>965</v>
      </c>
      <c r="AD59" s="170">
        <v>0</v>
      </c>
      <c r="AE59" s="169">
        <v>118</v>
      </c>
      <c r="AF59" s="161">
        <v>432</v>
      </c>
      <c r="AG59" s="161">
        <v>276</v>
      </c>
      <c r="AH59" s="161">
        <v>0</v>
      </c>
      <c r="AI59" s="161">
        <v>34344</v>
      </c>
      <c r="AJ59" s="161">
        <v>37921</v>
      </c>
      <c r="AK59" s="161">
        <v>15226</v>
      </c>
      <c r="AL59" s="170">
        <v>838</v>
      </c>
      <c r="AM59" s="216">
        <v>47845966.716352001</v>
      </c>
      <c r="AN59" s="161">
        <v>2900</v>
      </c>
      <c r="AO59" s="219">
        <v>0</v>
      </c>
      <c r="AP59" s="161">
        <v>0</v>
      </c>
      <c r="AQ59" s="219">
        <v>0</v>
      </c>
      <c r="AR59" s="170">
        <v>0</v>
      </c>
    </row>
    <row r="60" spans="1:44" x14ac:dyDescent="0.3">
      <c r="A60" s="24">
        <v>312</v>
      </c>
      <c r="B60" s="24" t="s">
        <v>59</v>
      </c>
      <c r="C60" s="24" t="s">
        <v>345</v>
      </c>
      <c r="D60" s="160">
        <v>97651638.86999999</v>
      </c>
      <c r="E60" s="161">
        <v>13575</v>
      </c>
      <c r="F60" s="161">
        <v>16545</v>
      </c>
      <c r="G60" s="165">
        <v>0.21878453038674039</v>
      </c>
      <c r="H60" s="169">
        <v>21416</v>
      </c>
      <c r="I60" s="161">
        <v>23028</v>
      </c>
      <c r="J60" s="161">
        <v>1012</v>
      </c>
      <c r="K60" s="170">
        <v>50</v>
      </c>
      <c r="L60" s="169">
        <v>15467</v>
      </c>
      <c r="M60" s="161">
        <v>15709</v>
      </c>
      <c r="N60" s="175">
        <v>1.564621452E-2</v>
      </c>
      <c r="O60" s="161">
        <v>15388</v>
      </c>
      <c r="P60" s="176">
        <v>-5.1076485399999998E-3</v>
      </c>
      <c r="Q60" s="182">
        <v>76.7</v>
      </c>
      <c r="R60" s="183">
        <v>13.1</v>
      </c>
      <c r="S60" s="183">
        <v>5.7</v>
      </c>
      <c r="T60" s="184">
        <v>95.5</v>
      </c>
      <c r="U60" s="169">
        <v>138</v>
      </c>
      <c r="V60" s="161">
        <v>400</v>
      </c>
      <c r="W60" s="161">
        <v>0</v>
      </c>
      <c r="X60" s="161">
        <v>0</v>
      </c>
      <c r="Y60" s="161">
        <v>0</v>
      </c>
      <c r="Z60" s="161">
        <v>6866</v>
      </c>
      <c r="AA60" s="161">
        <v>9813</v>
      </c>
      <c r="AB60" s="161">
        <v>3461</v>
      </c>
      <c r="AC60" s="161">
        <v>1150</v>
      </c>
      <c r="AD60" s="170">
        <v>0</v>
      </c>
      <c r="AE60" s="169">
        <v>400</v>
      </c>
      <c r="AF60" s="161">
        <v>138</v>
      </c>
      <c r="AG60" s="161">
        <v>0</v>
      </c>
      <c r="AH60" s="161">
        <v>0</v>
      </c>
      <c r="AI60" s="161">
        <v>8572</v>
      </c>
      <c r="AJ60" s="161">
        <v>8107</v>
      </c>
      <c r="AK60" s="161">
        <v>4611</v>
      </c>
      <c r="AL60" s="170">
        <v>0</v>
      </c>
      <c r="AM60" s="216">
        <v>0</v>
      </c>
      <c r="AN60" s="161">
        <v>0</v>
      </c>
      <c r="AO60" s="219">
        <v>0</v>
      </c>
      <c r="AP60" s="161">
        <v>0</v>
      </c>
      <c r="AQ60" s="219">
        <v>0</v>
      </c>
      <c r="AR60" s="170">
        <v>0</v>
      </c>
    </row>
    <row r="61" spans="1:44" x14ac:dyDescent="0.3">
      <c r="A61" s="24">
        <v>313</v>
      </c>
      <c r="B61" s="24" t="s">
        <v>60</v>
      </c>
      <c r="C61" s="24" t="s">
        <v>345</v>
      </c>
      <c r="D61" s="160">
        <v>126013533.61000001</v>
      </c>
      <c r="E61" s="161">
        <v>13267</v>
      </c>
      <c r="F61" s="161">
        <v>14175</v>
      </c>
      <c r="G61" s="165">
        <v>6.8440491444938578E-2</v>
      </c>
      <c r="H61" s="169">
        <v>17047</v>
      </c>
      <c r="I61" s="161">
        <v>19081</v>
      </c>
      <c r="J61" s="161">
        <v>471</v>
      </c>
      <c r="K61" s="170">
        <v>0</v>
      </c>
      <c r="L61" s="169">
        <v>12987</v>
      </c>
      <c r="M61" s="161">
        <v>12938</v>
      </c>
      <c r="N61" s="175">
        <v>-3.77300377E-3</v>
      </c>
      <c r="O61" s="161">
        <v>13137</v>
      </c>
      <c r="P61" s="176">
        <v>1.1550011549999999E-2</v>
      </c>
      <c r="Q61" s="182">
        <v>67.2</v>
      </c>
      <c r="R61" s="183">
        <v>14.5</v>
      </c>
      <c r="S61" s="183">
        <v>5.8</v>
      </c>
      <c r="T61" s="184">
        <v>87.5</v>
      </c>
      <c r="U61" s="169">
        <v>0</v>
      </c>
      <c r="V61" s="161">
        <v>0</v>
      </c>
      <c r="W61" s="161">
        <v>0</v>
      </c>
      <c r="X61" s="161">
        <v>0</v>
      </c>
      <c r="Y61" s="161">
        <v>0</v>
      </c>
      <c r="Z61" s="161">
        <v>9637</v>
      </c>
      <c r="AA61" s="161">
        <v>7318</v>
      </c>
      <c r="AB61" s="161">
        <v>1006</v>
      </c>
      <c r="AC61" s="161">
        <v>0</v>
      </c>
      <c r="AD61" s="170">
        <v>0</v>
      </c>
      <c r="AE61" s="169">
        <v>0</v>
      </c>
      <c r="AF61" s="161">
        <v>0</v>
      </c>
      <c r="AG61" s="161">
        <v>0</v>
      </c>
      <c r="AH61" s="161">
        <v>0</v>
      </c>
      <c r="AI61" s="161">
        <v>11988</v>
      </c>
      <c r="AJ61" s="161">
        <v>4699</v>
      </c>
      <c r="AK61" s="161">
        <v>1274</v>
      </c>
      <c r="AL61" s="170">
        <v>0</v>
      </c>
      <c r="AM61" s="216">
        <v>0</v>
      </c>
      <c r="AN61" s="161">
        <v>0</v>
      </c>
      <c r="AO61" s="219">
        <v>0</v>
      </c>
      <c r="AP61" s="161">
        <v>0</v>
      </c>
      <c r="AQ61" s="219">
        <v>0</v>
      </c>
      <c r="AR61" s="170">
        <v>0</v>
      </c>
    </row>
    <row r="62" spans="1:44" x14ac:dyDescent="0.3">
      <c r="A62" s="24">
        <v>921</v>
      </c>
      <c r="B62" s="24" t="s">
        <v>61</v>
      </c>
      <c r="C62" s="24" t="s">
        <v>351</v>
      </c>
      <c r="D62" s="160">
        <v>13425011.620000001</v>
      </c>
      <c r="E62" s="161">
        <v>7447</v>
      </c>
      <c r="F62" s="161">
        <v>6064</v>
      </c>
      <c r="G62" s="165">
        <v>-0.18571236739626695</v>
      </c>
      <c r="H62" s="169">
        <v>11206</v>
      </c>
      <c r="I62" s="161">
        <v>11089</v>
      </c>
      <c r="J62" s="161">
        <v>0</v>
      </c>
      <c r="K62" s="170">
        <v>0</v>
      </c>
      <c r="L62" s="169">
        <v>6244</v>
      </c>
      <c r="M62" s="161">
        <v>6345</v>
      </c>
      <c r="N62" s="175">
        <v>1.6175528500000001E-2</v>
      </c>
      <c r="O62" s="161">
        <v>6460</v>
      </c>
      <c r="P62" s="176">
        <v>3.4593209479999998E-2</v>
      </c>
      <c r="Q62" s="182">
        <v>90.6</v>
      </c>
      <c r="R62" s="183">
        <v>7.1</v>
      </c>
      <c r="S62" s="183">
        <v>0.7</v>
      </c>
      <c r="T62" s="184">
        <v>98.4</v>
      </c>
      <c r="U62" s="169">
        <v>0</v>
      </c>
      <c r="V62" s="161">
        <v>0</v>
      </c>
      <c r="W62" s="161">
        <v>0</v>
      </c>
      <c r="X62" s="161">
        <v>0</v>
      </c>
      <c r="Y62" s="161">
        <v>0</v>
      </c>
      <c r="Z62" s="161">
        <v>0</v>
      </c>
      <c r="AA62" s="161">
        <v>1437</v>
      </c>
      <c r="AB62" s="161">
        <v>7067</v>
      </c>
      <c r="AC62" s="161">
        <v>0</v>
      </c>
      <c r="AD62" s="170">
        <v>0</v>
      </c>
      <c r="AE62" s="169">
        <v>0</v>
      </c>
      <c r="AF62" s="161">
        <v>0</v>
      </c>
      <c r="AG62" s="161">
        <v>0</v>
      </c>
      <c r="AH62" s="161">
        <v>0</v>
      </c>
      <c r="AI62" s="161">
        <v>1437</v>
      </c>
      <c r="AJ62" s="161">
        <v>0</v>
      </c>
      <c r="AK62" s="161">
        <v>7067</v>
      </c>
      <c r="AL62" s="170">
        <v>0</v>
      </c>
      <c r="AM62" s="216">
        <v>0</v>
      </c>
      <c r="AN62" s="161">
        <v>0</v>
      </c>
      <c r="AO62" s="219">
        <v>0</v>
      </c>
      <c r="AP62" s="161">
        <v>0</v>
      </c>
      <c r="AQ62" s="219">
        <v>0</v>
      </c>
      <c r="AR62" s="170">
        <v>0</v>
      </c>
    </row>
    <row r="63" spans="1:44" x14ac:dyDescent="0.3">
      <c r="A63" s="24">
        <v>420</v>
      </c>
      <c r="B63" s="24" t="s">
        <v>62</v>
      </c>
      <c r="C63" s="24" t="s">
        <v>347</v>
      </c>
      <c r="D63" s="160">
        <v>621890.89</v>
      </c>
      <c r="E63" s="161">
        <v>107</v>
      </c>
      <c r="F63" s="161">
        <v>99</v>
      </c>
      <c r="G63" s="165">
        <v>-7.4766355140186924E-2</v>
      </c>
      <c r="H63" s="169">
        <v>107</v>
      </c>
      <c r="I63" s="161">
        <v>119</v>
      </c>
      <c r="J63" s="161">
        <v>0</v>
      </c>
      <c r="K63" s="170">
        <v>0</v>
      </c>
      <c r="L63" s="169">
        <v>99</v>
      </c>
      <c r="M63" s="161">
        <v>102</v>
      </c>
      <c r="N63" s="175">
        <v>3.0303030299999999E-2</v>
      </c>
      <c r="O63" s="161">
        <v>97</v>
      </c>
      <c r="P63" s="176">
        <v>-2.02020202E-2</v>
      </c>
      <c r="Q63" s="182" t="s">
        <v>157</v>
      </c>
      <c r="R63" s="183" t="s">
        <v>157</v>
      </c>
      <c r="S63" s="183" t="s">
        <v>157</v>
      </c>
      <c r="T63" s="184" t="s">
        <v>157</v>
      </c>
      <c r="U63" s="169">
        <v>0</v>
      </c>
      <c r="V63" s="161">
        <v>0</v>
      </c>
      <c r="W63" s="161">
        <v>0</v>
      </c>
      <c r="X63" s="161">
        <v>0</v>
      </c>
      <c r="Y63" s="161">
        <v>0</v>
      </c>
      <c r="Z63" s="161">
        <v>0</v>
      </c>
      <c r="AA63" s="161">
        <v>0</v>
      </c>
      <c r="AB63" s="161">
        <v>119</v>
      </c>
      <c r="AC63" s="161">
        <v>0</v>
      </c>
      <c r="AD63" s="170">
        <v>0</v>
      </c>
      <c r="AE63" s="169">
        <v>0</v>
      </c>
      <c r="AF63" s="161">
        <v>0</v>
      </c>
      <c r="AG63" s="161">
        <v>0</v>
      </c>
      <c r="AH63" s="161">
        <v>0</v>
      </c>
      <c r="AI63" s="161">
        <v>119</v>
      </c>
      <c r="AJ63" s="161">
        <v>0</v>
      </c>
      <c r="AK63" s="161">
        <v>0</v>
      </c>
      <c r="AL63" s="170">
        <v>0</v>
      </c>
      <c r="AM63" s="216">
        <v>0</v>
      </c>
      <c r="AN63" s="161">
        <v>0</v>
      </c>
      <c r="AO63" s="219">
        <v>0</v>
      </c>
      <c r="AP63" s="161">
        <v>0</v>
      </c>
      <c r="AQ63" s="219">
        <v>0</v>
      </c>
      <c r="AR63" s="170">
        <v>0</v>
      </c>
    </row>
    <row r="64" spans="1:44" x14ac:dyDescent="0.3">
      <c r="A64" s="24">
        <v>206</v>
      </c>
      <c r="B64" s="24" t="s">
        <v>63</v>
      </c>
      <c r="C64" s="24" t="s">
        <v>345</v>
      </c>
      <c r="D64" s="160">
        <v>24255096.18</v>
      </c>
      <c r="E64" s="161">
        <v>6273</v>
      </c>
      <c r="F64" s="161">
        <v>7643</v>
      </c>
      <c r="G64" s="165">
        <v>0.21839630161007495</v>
      </c>
      <c r="H64" s="169">
        <v>9215</v>
      </c>
      <c r="I64" s="161">
        <v>8975</v>
      </c>
      <c r="J64" s="161">
        <v>0</v>
      </c>
      <c r="K64" s="170">
        <v>0</v>
      </c>
      <c r="L64" s="169">
        <v>7207</v>
      </c>
      <c r="M64" s="161">
        <v>7335</v>
      </c>
      <c r="N64" s="175">
        <v>1.7760510609999999E-2</v>
      </c>
      <c r="O64" s="161">
        <v>7602</v>
      </c>
      <c r="P64" s="176">
        <v>5.4807825720000002E-2</v>
      </c>
      <c r="Q64" s="182">
        <v>70.5</v>
      </c>
      <c r="R64" s="183">
        <v>16.2</v>
      </c>
      <c r="S64" s="183">
        <v>6.4</v>
      </c>
      <c r="T64" s="184">
        <v>93.1</v>
      </c>
      <c r="U64" s="169">
        <v>261</v>
      </c>
      <c r="V64" s="161">
        <v>47</v>
      </c>
      <c r="W64" s="161">
        <v>0</v>
      </c>
      <c r="X64" s="161">
        <v>0</v>
      </c>
      <c r="Y64" s="161">
        <v>0</v>
      </c>
      <c r="Z64" s="161">
        <v>3866</v>
      </c>
      <c r="AA64" s="161">
        <v>4801</v>
      </c>
      <c r="AB64" s="161">
        <v>0</v>
      </c>
      <c r="AC64" s="161">
        <v>0</v>
      </c>
      <c r="AD64" s="170">
        <v>0</v>
      </c>
      <c r="AE64" s="169">
        <v>271</v>
      </c>
      <c r="AF64" s="161">
        <v>37</v>
      </c>
      <c r="AG64" s="161">
        <v>0</v>
      </c>
      <c r="AH64" s="161">
        <v>0</v>
      </c>
      <c r="AI64" s="161">
        <v>6583</v>
      </c>
      <c r="AJ64" s="161">
        <v>2084</v>
      </c>
      <c r="AK64" s="161">
        <v>0</v>
      </c>
      <c r="AL64" s="170">
        <v>0</v>
      </c>
      <c r="AM64" s="216">
        <v>0</v>
      </c>
      <c r="AN64" s="161">
        <v>0</v>
      </c>
      <c r="AO64" s="219">
        <v>0</v>
      </c>
      <c r="AP64" s="161">
        <v>0</v>
      </c>
      <c r="AQ64" s="219">
        <v>0</v>
      </c>
      <c r="AR64" s="170">
        <v>0</v>
      </c>
    </row>
    <row r="65" spans="1:44" x14ac:dyDescent="0.3">
      <c r="A65" s="24">
        <v>207</v>
      </c>
      <c r="B65" s="24" t="s">
        <v>64</v>
      </c>
      <c r="C65" s="24" t="s">
        <v>345</v>
      </c>
      <c r="D65" s="160">
        <v>4728215.59</v>
      </c>
      <c r="E65" s="161">
        <v>2942</v>
      </c>
      <c r="F65" s="161">
        <v>4271</v>
      </c>
      <c r="G65" s="165">
        <v>0.45173351461590761</v>
      </c>
      <c r="H65" s="169">
        <v>4731</v>
      </c>
      <c r="I65" s="161">
        <v>5763</v>
      </c>
      <c r="J65" s="161">
        <v>0</v>
      </c>
      <c r="K65" s="170">
        <v>0</v>
      </c>
      <c r="L65" s="169">
        <v>3919</v>
      </c>
      <c r="M65" s="161">
        <v>3757</v>
      </c>
      <c r="N65" s="175">
        <v>-4.1337075780000003E-2</v>
      </c>
      <c r="O65" s="161">
        <v>3763</v>
      </c>
      <c r="P65" s="176">
        <v>-3.9806072970000002E-2</v>
      </c>
      <c r="Q65" s="182">
        <v>65.3</v>
      </c>
      <c r="R65" s="183">
        <v>14</v>
      </c>
      <c r="S65" s="183">
        <v>6.6</v>
      </c>
      <c r="T65" s="184">
        <v>85.9</v>
      </c>
      <c r="U65" s="169">
        <v>0</v>
      </c>
      <c r="V65" s="161">
        <v>0</v>
      </c>
      <c r="W65" s="161">
        <v>0</v>
      </c>
      <c r="X65" s="161">
        <v>0</v>
      </c>
      <c r="Y65" s="161">
        <v>0</v>
      </c>
      <c r="Z65" s="161">
        <v>3995</v>
      </c>
      <c r="AA65" s="161">
        <v>628</v>
      </c>
      <c r="AB65" s="161">
        <v>0</v>
      </c>
      <c r="AC65" s="161">
        <v>0</v>
      </c>
      <c r="AD65" s="170">
        <v>0</v>
      </c>
      <c r="AE65" s="169">
        <v>0</v>
      </c>
      <c r="AF65" s="161">
        <v>0</v>
      </c>
      <c r="AG65" s="161">
        <v>0</v>
      </c>
      <c r="AH65" s="161">
        <v>0</v>
      </c>
      <c r="AI65" s="161">
        <v>2490</v>
      </c>
      <c r="AJ65" s="161">
        <v>1505</v>
      </c>
      <c r="AK65" s="161">
        <v>628</v>
      </c>
      <c r="AL65" s="170">
        <v>0</v>
      </c>
      <c r="AM65" s="216">
        <v>0</v>
      </c>
      <c r="AN65" s="161">
        <v>0</v>
      </c>
      <c r="AO65" s="219">
        <v>0</v>
      </c>
      <c r="AP65" s="161">
        <v>0</v>
      </c>
      <c r="AQ65" s="219">
        <v>31078426</v>
      </c>
      <c r="AR65" s="170">
        <v>1140</v>
      </c>
    </row>
    <row r="66" spans="1:44" x14ac:dyDescent="0.3">
      <c r="A66" s="24">
        <v>886</v>
      </c>
      <c r="B66" s="24" t="s">
        <v>65</v>
      </c>
      <c r="C66" s="24" t="s">
        <v>351</v>
      </c>
      <c r="D66" s="160">
        <v>259429637.66</v>
      </c>
      <c r="E66" s="161">
        <v>73311</v>
      </c>
      <c r="F66" s="161">
        <v>81174</v>
      </c>
      <c r="G66" s="165">
        <v>0.10725539141465812</v>
      </c>
      <c r="H66" s="169">
        <v>106466</v>
      </c>
      <c r="I66" s="161">
        <v>111710</v>
      </c>
      <c r="J66" s="161">
        <v>1945</v>
      </c>
      <c r="K66" s="170">
        <v>150</v>
      </c>
      <c r="L66" s="169">
        <v>77885</v>
      </c>
      <c r="M66" s="161">
        <v>77852</v>
      </c>
      <c r="N66" s="175">
        <v>-4.2370161000000002E-4</v>
      </c>
      <c r="O66" s="161">
        <v>76636</v>
      </c>
      <c r="P66" s="176">
        <v>-1.6036464010000001E-2</v>
      </c>
      <c r="Q66" s="182">
        <v>80.5</v>
      </c>
      <c r="R66" s="183">
        <v>10.1</v>
      </c>
      <c r="S66" s="183">
        <v>3.8</v>
      </c>
      <c r="T66" s="184">
        <v>94.5</v>
      </c>
      <c r="U66" s="169">
        <v>222</v>
      </c>
      <c r="V66" s="161">
        <v>543</v>
      </c>
      <c r="W66" s="161">
        <v>40</v>
      </c>
      <c r="X66" s="161">
        <v>0</v>
      </c>
      <c r="Y66" s="161">
        <v>0</v>
      </c>
      <c r="Z66" s="161">
        <v>29252</v>
      </c>
      <c r="AA66" s="161">
        <v>58328</v>
      </c>
      <c r="AB66" s="161">
        <v>17645</v>
      </c>
      <c r="AC66" s="161">
        <v>2610</v>
      </c>
      <c r="AD66" s="170">
        <v>0</v>
      </c>
      <c r="AE66" s="169">
        <v>327</v>
      </c>
      <c r="AF66" s="161">
        <v>138</v>
      </c>
      <c r="AG66" s="161">
        <v>340</v>
      </c>
      <c r="AH66" s="161">
        <v>0</v>
      </c>
      <c r="AI66" s="161">
        <v>32845</v>
      </c>
      <c r="AJ66" s="161">
        <v>40063</v>
      </c>
      <c r="AK66" s="161">
        <v>34157</v>
      </c>
      <c r="AL66" s="170">
        <v>770</v>
      </c>
      <c r="AM66" s="216">
        <v>1351712</v>
      </c>
      <c r="AN66" s="161">
        <v>316</v>
      </c>
      <c r="AO66" s="219">
        <v>0</v>
      </c>
      <c r="AP66" s="161">
        <v>0</v>
      </c>
      <c r="AQ66" s="219">
        <v>0</v>
      </c>
      <c r="AR66" s="170">
        <v>0</v>
      </c>
    </row>
    <row r="67" spans="1:44" x14ac:dyDescent="0.3">
      <c r="A67" s="24">
        <v>810</v>
      </c>
      <c r="B67" s="24" t="s">
        <v>66</v>
      </c>
      <c r="C67" s="24" t="s">
        <v>346</v>
      </c>
      <c r="D67" s="160">
        <v>31202346.220000003</v>
      </c>
      <c r="E67" s="161">
        <v>11561</v>
      </c>
      <c r="F67" s="161">
        <v>12984</v>
      </c>
      <c r="G67" s="165">
        <v>0.12308623821468734</v>
      </c>
      <c r="H67" s="169">
        <v>16076</v>
      </c>
      <c r="I67" s="161">
        <v>15620</v>
      </c>
      <c r="J67" s="161">
        <v>0</v>
      </c>
      <c r="K67" s="170">
        <v>0</v>
      </c>
      <c r="L67" s="169">
        <v>11580</v>
      </c>
      <c r="M67" s="161">
        <v>11524</v>
      </c>
      <c r="N67" s="175">
        <v>-4.8359240000000001E-3</v>
      </c>
      <c r="O67" s="161">
        <v>11639</v>
      </c>
      <c r="P67" s="176">
        <v>5.0949913600000004E-3</v>
      </c>
      <c r="Q67" s="182">
        <v>80.099999999999994</v>
      </c>
      <c r="R67" s="183">
        <v>10.7</v>
      </c>
      <c r="S67" s="183">
        <v>3.3</v>
      </c>
      <c r="T67" s="184">
        <v>94.1</v>
      </c>
      <c r="U67" s="169">
        <v>15</v>
      </c>
      <c r="V67" s="161">
        <v>35</v>
      </c>
      <c r="W67" s="161">
        <v>0</v>
      </c>
      <c r="X67" s="161">
        <v>25</v>
      </c>
      <c r="Y67" s="161">
        <v>0</v>
      </c>
      <c r="Z67" s="161">
        <v>4648</v>
      </c>
      <c r="AA67" s="161">
        <v>3650</v>
      </c>
      <c r="AB67" s="161">
        <v>2100</v>
      </c>
      <c r="AC67" s="161">
        <v>4547</v>
      </c>
      <c r="AD67" s="170">
        <v>0</v>
      </c>
      <c r="AE67" s="169">
        <v>50</v>
      </c>
      <c r="AF67" s="161">
        <v>0</v>
      </c>
      <c r="AG67" s="161">
        <v>25</v>
      </c>
      <c r="AH67" s="161">
        <v>0</v>
      </c>
      <c r="AI67" s="161">
        <v>4498</v>
      </c>
      <c r="AJ67" s="161">
        <v>2250</v>
      </c>
      <c r="AK67" s="161">
        <v>8197</v>
      </c>
      <c r="AL67" s="170">
        <v>0</v>
      </c>
      <c r="AM67" s="216">
        <v>0</v>
      </c>
      <c r="AN67" s="161">
        <v>0</v>
      </c>
      <c r="AO67" s="219">
        <v>0</v>
      </c>
      <c r="AP67" s="161">
        <v>0</v>
      </c>
      <c r="AQ67" s="219">
        <v>18266666.666390002</v>
      </c>
      <c r="AR67" s="170">
        <v>1020</v>
      </c>
    </row>
    <row r="68" spans="1:44" x14ac:dyDescent="0.3">
      <c r="A68" s="24">
        <v>314</v>
      </c>
      <c r="B68" s="24" t="s">
        <v>67</v>
      </c>
      <c r="C68" s="24" t="s">
        <v>345</v>
      </c>
      <c r="D68" s="160">
        <v>48500660.579999998</v>
      </c>
      <c r="E68" s="161">
        <v>7594</v>
      </c>
      <c r="F68" s="161">
        <v>8167</v>
      </c>
      <c r="G68" s="165">
        <v>7.5454306031077056E-2</v>
      </c>
      <c r="H68" s="169">
        <v>10431</v>
      </c>
      <c r="I68" s="161">
        <v>10949</v>
      </c>
      <c r="J68" s="161">
        <v>720</v>
      </c>
      <c r="K68" s="170">
        <v>0</v>
      </c>
      <c r="L68" s="169">
        <v>7594</v>
      </c>
      <c r="M68" s="161">
        <v>7634</v>
      </c>
      <c r="N68" s="175">
        <v>5.2673162999999999E-3</v>
      </c>
      <c r="O68" s="161">
        <v>7617</v>
      </c>
      <c r="P68" s="176">
        <v>3.0287068699999999E-3</v>
      </c>
      <c r="Q68" s="182">
        <v>71.900000000000006</v>
      </c>
      <c r="R68" s="183">
        <v>17.2</v>
      </c>
      <c r="S68" s="183">
        <v>6.3</v>
      </c>
      <c r="T68" s="184">
        <v>95.3</v>
      </c>
      <c r="U68" s="169">
        <v>141</v>
      </c>
      <c r="V68" s="161">
        <v>203</v>
      </c>
      <c r="W68" s="161">
        <v>98</v>
      </c>
      <c r="X68" s="161">
        <v>0</v>
      </c>
      <c r="Y68" s="161">
        <v>0</v>
      </c>
      <c r="Z68" s="161">
        <v>5368</v>
      </c>
      <c r="AA68" s="161">
        <v>4087</v>
      </c>
      <c r="AB68" s="161">
        <v>1052</v>
      </c>
      <c r="AC68" s="161">
        <v>0</v>
      </c>
      <c r="AD68" s="170">
        <v>0</v>
      </c>
      <c r="AE68" s="169">
        <v>239</v>
      </c>
      <c r="AF68" s="161">
        <v>203</v>
      </c>
      <c r="AG68" s="161">
        <v>0</v>
      </c>
      <c r="AH68" s="161">
        <v>0</v>
      </c>
      <c r="AI68" s="161">
        <v>7808</v>
      </c>
      <c r="AJ68" s="161">
        <v>2699</v>
      </c>
      <c r="AK68" s="161">
        <v>0</v>
      </c>
      <c r="AL68" s="170">
        <v>0</v>
      </c>
      <c r="AM68" s="216">
        <v>0</v>
      </c>
      <c r="AN68" s="161">
        <v>0</v>
      </c>
      <c r="AO68" s="219">
        <v>0</v>
      </c>
      <c r="AP68" s="161">
        <v>0</v>
      </c>
      <c r="AQ68" s="219">
        <v>0</v>
      </c>
      <c r="AR68" s="170">
        <v>0</v>
      </c>
    </row>
    <row r="69" spans="1:44" x14ac:dyDescent="0.3">
      <c r="A69" s="24">
        <v>382</v>
      </c>
      <c r="B69" s="24" t="s">
        <v>68</v>
      </c>
      <c r="C69" s="24" t="s">
        <v>346</v>
      </c>
      <c r="D69" s="160">
        <v>49605845.68</v>
      </c>
      <c r="E69" s="161">
        <v>23167</v>
      </c>
      <c r="F69" s="161">
        <v>24028</v>
      </c>
      <c r="G69" s="165">
        <v>3.7164932878663626E-2</v>
      </c>
      <c r="H69" s="169">
        <v>27961</v>
      </c>
      <c r="I69" s="161">
        <v>27867</v>
      </c>
      <c r="J69" s="161">
        <v>108</v>
      </c>
      <c r="K69" s="170">
        <v>300</v>
      </c>
      <c r="L69" s="169">
        <v>22503</v>
      </c>
      <c r="M69" s="161">
        <v>22485</v>
      </c>
      <c r="N69" s="175">
        <v>-7.9989334000000003E-4</v>
      </c>
      <c r="O69" s="161">
        <v>22832</v>
      </c>
      <c r="P69" s="176">
        <v>1.4620272849999999E-2</v>
      </c>
      <c r="Q69" s="182">
        <v>82.2</v>
      </c>
      <c r="R69" s="183">
        <v>9.8000000000000007</v>
      </c>
      <c r="S69" s="183">
        <v>3</v>
      </c>
      <c r="T69" s="184">
        <v>95</v>
      </c>
      <c r="U69" s="169">
        <v>213</v>
      </c>
      <c r="V69" s="161">
        <v>0</v>
      </c>
      <c r="W69" s="161">
        <v>0</v>
      </c>
      <c r="X69" s="161">
        <v>0</v>
      </c>
      <c r="Y69" s="161">
        <v>0</v>
      </c>
      <c r="Z69" s="161">
        <v>7656</v>
      </c>
      <c r="AA69" s="161">
        <v>8409</v>
      </c>
      <c r="AB69" s="161">
        <v>7034</v>
      </c>
      <c r="AC69" s="161">
        <v>1641</v>
      </c>
      <c r="AD69" s="170">
        <v>947</v>
      </c>
      <c r="AE69" s="169">
        <v>213</v>
      </c>
      <c r="AF69" s="161">
        <v>0</v>
      </c>
      <c r="AG69" s="161">
        <v>0</v>
      </c>
      <c r="AH69" s="161">
        <v>0</v>
      </c>
      <c r="AI69" s="161">
        <v>5342</v>
      </c>
      <c r="AJ69" s="161">
        <v>11410</v>
      </c>
      <c r="AK69" s="161">
        <v>7473</v>
      </c>
      <c r="AL69" s="170">
        <v>1462</v>
      </c>
      <c r="AM69" s="216">
        <v>960000</v>
      </c>
      <c r="AN69" s="161">
        <v>440</v>
      </c>
      <c r="AO69" s="219">
        <v>0</v>
      </c>
      <c r="AP69" s="161">
        <v>0</v>
      </c>
      <c r="AQ69" s="219">
        <v>0</v>
      </c>
      <c r="AR69" s="170">
        <v>0</v>
      </c>
    </row>
    <row r="70" spans="1:44" x14ac:dyDescent="0.3">
      <c r="A70" s="24">
        <v>340</v>
      </c>
      <c r="B70" s="24" t="s">
        <v>69</v>
      </c>
      <c r="C70" s="24" t="s">
        <v>350</v>
      </c>
      <c r="D70" s="160">
        <v>2412898.8600000003</v>
      </c>
      <c r="E70" s="161">
        <v>7246</v>
      </c>
      <c r="F70" s="161">
        <v>5254</v>
      </c>
      <c r="G70" s="165">
        <v>-0.27491029533535749</v>
      </c>
      <c r="H70" s="169">
        <v>9012</v>
      </c>
      <c r="I70" s="161">
        <v>7273</v>
      </c>
      <c r="J70" s="161">
        <v>0</v>
      </c>
      <c r="K70" s="170">
        <v>0</v>
      </c>
      <c r="L70" s="169">
        <v>5280</v>
      </c>
      <c r="M70" s="161">
        <v>5426</v>
      </c>
      <c r="N70" s="175">
        <v>2.765151515E-2</v>
      </c>
      <c r="O70" s="161">
        <v>5833</v>
      </c>
      <c r="P70" s="176">
        <v>0.10473484848</v>
      </c>
      <c r="Q70" s="182">
        <v>84.4</v>
      </c>
      <c r="R70" s="183">
        <v>10</v>
      </c>
      <c r="S70" s="183">
        <v>2.6</v>
      </c>
      <c r="T70" s="184">
        <v>97</v>
      </c>
      <c r="U70" s="169">
        <v>0</v>
      </c>
      <c r="V70" s="161">
        <v>0</v>
      </c>
      <c r="W70" s="161">
        <v>0</v>
      </c>
      <c r="X70" s="161">
        <v>0</v>
      </c>
      <c r="Y70" s="161">
        <v>0</v>
      </c>
      <c r="Z70" s="161">
        <v>0</v>
      </c>
      <c r="AA70" s="161">
        <v>0</v>
      </c>
      <c r="AB70" s="161">
        <v>3450</v>
      </c>
      <c r="AC70" s="161">
        <v>2522</v>
      </c>
      <c r="AD70" s="170">
        <v>0</v>
      </c>
      <c r="AE70" s="169">
        <v>0</v>
      </c>
      <c r="AF70" s="161">
        <v>0</v>
      </c>
      <c r="AG70" s="161">
        <v>0</v>
      </c>
      <c r="AH70" s="161">
        <v>0</v>
      </c>
      <c r="AI70" s="161">
        <v>0</v>
      </c>
      <c r="AJ70" s="161">
        <v>0</v>
      </c>
      <c r="AK70" s="161">
        <v>5972</v>
      </c>
      <c r="AL70" s="170">
        <v>0</v>
      </c>
      <c r="AM70" s="216">
        <v>1417000</v>
      </c>
      <c r="AN70" s="161">
        <v>120</v>
      </c>
      <c r="AO70" s="219">
        <v>0</v>
      </c>
      <c r="AP70" s="161">
        <v>0</v>
      </c>
      <c r="AQ70" s="219">
        <v>0</v>
      </c>
      <c r="AR70" s="170">
        <v>0</v>
      </c>
    </row>
    <row r="71" spans="1:44" x14ac:dyDescent="0.3">
      <c r="A71" s="24">
        <v>208</v>
      </c>
      <c r="B71" s="24" t="s">
        <v>70</v>
      </c>
      <c r="C71" s="24" t="s">
        <v>345</v>
      </c>
      <c r="D71" s="160">
        <v>114848438.39</v>
      </c>
      <c r="E71" s="161">
        <v>7826</v>
      </c>
      <c r="F71" s="161">
        <v>12552</v>
      </c>
      <c r="G71" s="165">
        <v>0.60388448760541791</v>
      </c>
      <c r="H71" s="169">
        <v>11798</v>
      </c>
      <c r="I71" s="161">
        <v>15255</v>
      </c>
      <c r="J71" s="161">
        <v>150</v>
      </c>
      <c r="K71" s="170">
        <v>180</v>
      </c>
      <c r="L71" s="169">
        <v>10154</v>
      </c>
      <c r="M71" s="161">
        <v>11139</v>
      </c>
      <c r="N71" s="175">
        <v>9.7006105960000005E-2</v>
      </c>
      <c r="O71" s="161">
        <v>10040</v>
      </c>
      <c r="P71" s="176">
        <v>-1.1227102609999999E-2</v>
      </c>
      <c r="Q71" s="182">
        <v>61.8</v>
      </c>
      <c r="R71" s="183">
        <v>15.3</v>
      </c>
      <c r="S71" s="183">
        <v>9.4</v>
      </c>
      <c r="T71" s="184">
        <v>86.4</v>
      </c>
      <c r="U71" s="169">
        <v>260</v>
      </c>
      <c r="V71" s="161">
        <v>395</v>
      </c>
      <c r="W71" s="161">
        <v>0</v>
      </c>
      <c r="X71" s="161">
        <v>0</v>
      </c>
      <c r="Y71" s="161">
        <v>0</v>
      </c>
      <c r="Z71" s="161">
        <v>5170</v>
      </c>
      <c r="AA71" s="161">
        <v>7990</v>
      </c>
      <c r="AB71" s="161">
        <v>0</v>
      </c>
      <c r="AC71" s="161">
        <v>0</v>
      </c>
      <c r="AD71" s="170">
        <v>0</v>
      </c>
      <c r="AE71" s="169">
        <v>410</v>
      </c>
      <c r="AF71" s="161">
        <v>120</v>
      </c>
      <c r="AG71" s="161">
        <v>0</v>
      </c>
      <c r="AH71" s="161">
        <v>125</v>
      </c>
      <c r="AI71" s="161">
        <v>7670</v>
      </c>
      <c r="AJ71" s="161">
        <v>3600</v>
      </c>
      <c r="AK71" s="161">
        <v>540</v>
      </c>
      <c r="AL71" s="170">
        <v>1350</v>
      </c>
      <c r="AM71" s="216">
        <v>10164373</v>
      </c>
      <c r="AN71" s="161">
        <v>475</v>
      </c>
      <c r="AO71" s="219">
        <v>0</v>
      </c>
      <c r="AP71" s="161">
        <v>0</v>
      </c>
      <c r="AQ71" s="219">
        <v>18547076</v>
      </c>
      <c r="AR71" s="170">
        <v>1100</v>
      </c>
    </row>
    <row r="72" spans="1:44" x14ac:dyDescent="0.3">
      <c r="A72" s="24">
        <v>888</v>
      </c>
      <c r="B72" s="24" t="s">
        <v>71</v>
      </c>
      <c r="C72" s="24" t="s">
        <v>350</v>
      </c>
      <c r="D72" s="160">
        <v>114337036.04999998</v>
      </c>
      <c r="E72" s="161">
        <v>62944</v>
      </c>
      <c r="F72" s="161">
        <v>62911</v>
      </c>
      <c r="G72" s="165">
        <v>-5.2427554651757191E-4</v>
      </c>
      <c r="H72" s="169">
        <v>78464</v>
      </c>
      <c r="I72" s="161">
        <v>79673</v>
      </c>
      <c r="J72" s="161">
        <v>500</v>
      </c>
      <c r="K72" s="170">
        <v>60</v>
      </c>
      <c r="L72" s="169">
        <v>60585</v>
      </c>
      <c r="M72" s="161">
        <v>61283</v>
      </c>
      <c r="N72" s="175">
        <v>1.152100354E-2</v>
      </c>
      <c r="O72" s="161">
        <v>60930</v>
      </c>
      <c r="P72" s="176">
        <v>5.6944788300000004E-3</v>
      </c>
      <c r="Q72" s="182">
        <v>87.9</v>
      </c>
      <c r="R72" s="183">
        <v>6.3</v>
      </c>
      <c r="S72" s="183">
        <v>2</v>
      </c>
      <c r="T72" s="184">
        <v>96.1</v>
      </c>
      <c r="U72" s="169">
        <v>17</v>
      </c>
      <c r="V72" s="161">
        <v>146</v>
      </c>
      <c r="W72" s="161">
        <v>0</v>
      </c>
      <c r="X72" s="161">
        <v>0</v>
      </c>
      <c r="Y72" s="161">
        <v>0</v>
      </c>
      <c r="Z72" s="161">
        <v>16727</v>
      </c>
      <c r="AA72" s="161">
        <v>44479</v>
      </c>
      <c r="AB72" s="161">
        <v>12027</v>
      </c>
      <c r="AC72" s="161">
        <v>4952</v>
      </c>
      <c r="AD72" s="170">
        <v>0</v>
      </c>
      <c r="AE72" s="169">
        <v>52</v>
      </c>
      <c r="AF72" s="161">
        <v>76</v>
      </c>
      <c r="AG72" s="161">
        <v>35</v>
      </c>
      <c r="AH72" s="161">
        <v>0</v>
      </c>
      <c r="AI72" s="161">
        <v>21024</v>
      </c>
      <c r="AJ72" s="161">
        <v>32265</v>
      </c>
      <c r="AK72" s="161">
        <v>24896</v>
      </c>
      <c r="AL72" s="170">
        <v>0</v>
      </c>
      <c r="AM72" s="216">
        <v>0</v>
      </c>
      <c r="AN72" s="161">
        <v>0</v>
      </c>
      <c r="AO72" s="219">
        <v>0</v>
      </c>
      <c r="AP72" s="161">
        <v>0</v>
      </c>
      <c r="AQ72" s="219">
        <v>0</v>
      </c>
      <c r="AR72" s="170">
        <v>0</v>
      </c>
    </row>
    <row r="73" spans="1:44" x14ac:dyDescent="0.3">
      <c r="A73" s="24">
        <v>383</v>
      </c>
      <c r="B73" s="24" t="s">
        <v>72</v>
      </c>
      <c r="C73" s="24" t="s">
        <v>346</v>
      </c>
      <c r="D73" s="160">
        <v>193194606.51999998</v>
      </c>
      <c r="E73" s="161">
        <v>36897</v>
      </c>
      <c r="F73" s="161">
        <v>40338</v>
      </c>
      <c r="G73" s="165">
        <v>9.325961460281329E-2</v>
      </c>
      <c r="H73" s="169">
        <v>48110</v>
      </c>
      <c r="I73" s="161">
        <v>52442</v>
      </c>
      <c r="J73" s="161">
        <v>1457</v>
      </c>
      <c r="K73" s="170">
        <v>390</v>
      </c>
      <c r="L73" s="169">
        <v>37619</v>
      </c>
      <c r="M73" s="161">
        <v>37798</v>
      </c>
      <c r="N73" s="175">
        <v>4.7582338699999997E-3</v>
      </c>
      <c r="O73" s="161">
        <v>37856</v>
      </c>
      <c r="P73" s="176">
        <v>6.3000079700000003E-3</v>
      </c>
      <c r="Q73" s="182">
        <v>83.7</v>
      </c>
      <c r="R73" s="183">
        <v>9</v>
      </c>
      <c r="S73" s="183">
        <v>2.2999999999999998</v>
      </c>
      <c r="T73" s="184">
        <v>95</v>
      </c>
      <c r="U73" s="169">
        <v>0</v>
      </c>
      <c r="V73" s="161">
        <v>427</v>
      </c>
      <c r="W73" s="161">
        <v>0</v>
      </c>
      <c r="X73" s="161">
        <v>0</v>
      </c>
      <c r="Y73" s="161">
        <v>0</v>
      </c>
      <c r="Z73" s="161">
        <v>7551</v>
      </c>
      <c r="AA73" s="161">
        <v>28481</v>
      </c>
      <c r="AB73" s="161">
        <v>8328</v>
      </c>
      <c r="AC73" s="161">
        <v>3968</v>
      </c>
      <c r="AD73" s="170">
        <v>0</v>
      </c>
      <c r="AE73" s="169">
        <v>427</v>
      </c>
      <c r="AF73" s="161">
        <v>0</v>
      </c>
      <c r="AG73" s="161">
        <v>0</v>
      </c>
      <c r="AH73" s="161">
        <v>0</v>
      </c>
      <c r="AI73" s="161">
        <v>16277</v>
      </c>
      <c r="AJ73" s="161">
        <v>16048</v>
      </c>
      <c r="AK73" s="161">
        <v>16003</v>
      </c>
      <c r="AL73" s="170">
        <v>0</v>
      </c>
      <c r="AM73" s="216">
        <v>0</v>
      </c>
      <c r="AN73" s="161">
        <v>0</v>
      </c>
      <c r="AO73" s="219">
        <v>0</v>
      </c>
      <c r="AP73" s="161">
        <v>0</v>
      </c>
      <c r="AQ73" s="219">
        <v>0</v>
      </c>
      <c r="AR73" s="170">
        <v>0</v>
      </c>
    </row>
    <row r="74" spans="1:44" x14ac:dyDescent="0.3">
      <c r="A74" s="24">
        <v>856</v>
      </c>
      <c r="B74" s="24" t="s">
        <v>73</v>
      </c>
      <c r="C74" s="24" t="s">
        <v>353</v>
      </c>
      <c r="D74" s="160">
        <v>137399398.83000001</v>
      </c>
      <c r="E74" s="161">
        <v>16527</v>
      </c>
      <c r="F74" s="161">
        <v>19131</v>
      </c>
      <c r="G74" s="165">
        <v>0.15756035578144845</v>
      </c>
      <c r="H74" s="169">
        <v>20348</v>
      </c>
      <c r="I74" s="161">
        <v>18789</v>
      </c>
      <c r="J74" s="161">
        <v>0</v>
      </c>
      <c r="K74" s="170">
        <v>1090</v>
      </c>
      <c r="L74" s="169">
        <v>16925</v>
      </c>
      <c r="M74" s="161">
        <v>16554</v>
      </c>
      <c r="N74" s="175">
        <v>-2.1920236329999999E-2</v>
      </c>
      <c r="O74" s="161">
        <v>16309</v>
      </c>
      <c r="P74" s="176">
        <v>-3.6395864100000001E-2</v>
      </c>
      <c r="Q74" s="182">
        <v>87.9</v>
      </c>
      <c r="R74" s="183">
        <v>7.7</v>
      </c>
      <c r="S74" s="183">
        <v>1.2</v>
      </c>
      <c r="T74" s="184">
        <v>96.8</v>
      </c>
      <c r="U74" s="169">
        <v>0</v>
      </c>
      <c r="V74" s="161">
        <v>99</v>
      </c>
      <c r="W74" s="161">
        <v>42</v>
      </c>
      <c r="X74" s="161">
        <v>0</v>
      </c>
      <c r="Y74" s="161">
        <v>0</v>
      </c>
      <c r="Z74" s="161">
        <v>5027</v>
      </c>
      <c r="AA74" s="161">
        <v>9931</v>
      </c>
      <c r="AB74" s="161">
        <v>3090</v>
      </c>
      <c r="AC74" s="161">
        <v>600</v>
      </c>
      <c r="AD74" s="170">
        <v>0</v>
      </c>
      <c r="AE74" s="169">
        <v>0</v>
      </c>
      <c r="AF74" s="161">
        <v>0</v>
      </c>
      <c r="AG74" s="161">
        <v>141</v>
      </c>
      <c r="AH74" s="161">
        <v>0</v>
      </c>
      <c r="AI74" s="161">
        <v>5327</v>
      </c>
      <c r="AJ74" s="161">
        <v>4650</v>
      </c>
      <c r="AK74" s="161">
        <v>8671</v>
      </c>
      <c r="AL74" s="170">
        <v>0</v>
      </c>
      <c r="AM74" s="216">
        <v>0</v>
      </c>
      <c r="AN74" s="161">
        <v>0</v>
      </c>
      <c r="AO74" s="219">
        <v>0</v>
      </c>
      <c r="AP74" s="161">
        <v>0</v>
      </c>
      <c r="AQ74" s="219">
        <v>0</v>
      </c>
      <c r="AR74" s="170">
        <v>0</v>
      </c>
    </row>
    <row r="75" spans="1:44" x14ac:dyDescent="0.3">
      <c r="A75" s="24">
        <v>855</v>
      </c>
      <c r="B75" s="24" t="s">
        <v>74</v>
      </c>
      <c r="C75" s="24" t="s">
        <v>353</v>
      </c>
      <c r="D75" s="160">
        <v>96809967.63000001</v>
      </c>
      <c r="E75" s="161">
        <v>36480</v>
      </c>
      <c r="F75" s="161">
        <v>36657</v>
      </c>
      <c r="G75" s="165">
        <v>4.851973684210531E-3</v>
      </c>
      <c r="H75" s="169">
        <v>47619</v>
      </c>
      <c r="I75" s="161">
        <v>50392</v>
      </c>
      <c r="J75" s="161">
        <v>879</v>
      </c>
      <c r="K75" s="170">
        <v>970</v>
      </c>
      <c r="L75" s="169">
        <v>34788</v>
      </c>
      <c r="M75" s="161">
        <v>34976</v>
      </c>
      <c r="N75" s="175">
        <v>5.40416235E-3</v>
      </c>
      <c r="O75" s="161">
        <v>36145</v>
      </c>
      <c r="P75" s="176">
        <v>3.9007703800000001E-2</v>
      </c>
      <c r="Q75" s="182">
        <v>94.3</v>
      </c>
      <c r="R75" s="183">
        <v>3.1</v>
      </c>
      <c r="S75" s="183">
        <v>0.4</v>
      </c>
      <c r="T75" s="184">
        <v>97.9</v>
      </c>
      <c r="U75" s="169">
        <v>23</v>
      </c>
      <c r="V75" s="161">
        <v>210</v>
      </c>
      <c r="W75" s="161">
        <v>21</v>
      </c>
      <c r="X75" s="161">
        <v>0</v>
      </c>
      <c r="Y75" s="161">
        <v>0</v>
      </c>
      <c r="Z75" s="161">
        <v>8942</v>
      </c>
      <c r="AA75" s="161">
        <v>27985</v>
      </c>
      <c r="AB75" s="161">
        <v>7164</v>
      </c>
      <c r="AC75" s="161">
        <v>2254</v>
      </c>
      <c r="AD75" s="170">
        <v>0</v>
      </c>
      <c r="AE75" s="169">
        <v>210</v>
      </c>
      <c r="AF75" s="161">
        <v>0</v>
      </c>
      <c r="AG75" s="161">
        <v>21</v>
      </c>
      <c r="AH75" s="161">
        <v>23</v>
      </c>
      <c r="AI75" s="161">
        <v>7581</v>
      </c>
      <c r="AJ75" s="161">
        <v>9581</v>
      </c>
      <c r="AK75" s="161">
        <v>11371</v>
      </c>
      <c r="AL75" s="170">
        <v>17812</v>
      </c>
      <c r="AM75" s="216">
        <v>6999193</v>
      </c>
      <c r="AN75" s="161">
        <v>725</v>
      </c>
      <c r="AO75" s="219">
        <v>91496</v>
      </c>
      <c r="AP75" s="161">
        <v>90</v>
      </c>
      <c r="AQ75" s="219">
        <v>0</v>
      </c>
      <c r="AR75" s="170">
        <v>0</v>
      </c>
    </row>
    <row r="76" spans="1:44" x14ac:dyDescent="0.3">
      <c r="A76" s="24">
        <v>209</v>
      </c>
      <c r="B76" s="24" t="s">
        <v>75</v>
      </c>
      <c r="C76" s="24" t="s">
        <v>345</v>
      </c>
      <c r="D76" s="160">
        <v>121040296.91999999</v>
      </c>
      <c r="E76" s="161">
        <v>8861</v>
      </c>
      <c r="F76" s="161">
        <v>12715</v>
      </c>
      <c r="G76" s="165">
        <v>0.43493962306737388</v>
      </c>
      <c r="H76" s="169">
        <v>14721</v>
      </c>
      <c r="I76" s="161">
        <v>14499</v>
      </c>
      <c r="J76" s="161">
        <v>0</v>
      </c>
      <c r="K76" s="170">
        <v>430</v>
      </c>
      <c r="L76" s="169">
        <v>11393</v>
      </c>
      <c r="M76" s="161">
        <v>11658</v>
      </c>
      <c r="N76" s="175">
        <v>2.3259896419999999E-2</v>
      </c>
      <c r="O76" s="161">
        <v>11407</v>
      </c>
      <c r="P76" s="176">
        <v>1.2288247100000001E-3</v>
      </c>
      <c r="Q76" s="182">
        <v>61.5</v>
      </c>
      <c r="R76" s="183">
        <v>16</v>
      </c>
      <c r="S76" s="183">
        <v>8.1</v>
      </c>
      <c r="T76" s="184">
        <v>85.6</v>
      </c>
      <c r="U76" s="169">
        <v>0</v>
      </c>
      <c r="V76" s="161">
        <v>0</v>
      </c>
      <c r="W76" s="161">
        <v>0</v>
      </c>
      <c r="X76" s="161">
        <v>0</v>
      </c>
      <c r="Y76" s="161">
        <v>0</v>
      </c>
      <c r="Z76" s="161">
        <v>1940</v>
      </c>
      <c r="AA76" s="161">
        <v>6790</v>
      </c>
      <c r="AB76" s="161">
        <v>5769</v>
      </c>
      <c r="AC76" s="161">
        <v>0</v>
      </c>
      <c r="AD76" s="170">
        <v>0</v>
      </c>
      <c r="AE76" s="169">
        <v>0</v>
      </c>
      <c r="AF76" s="161">
        <v>0</v>
      </c>
      <c r="AG76" s="161">
        <v>0</v>
      </c>
      <c r="AH76" s="161">
        <v>0</v>
      </c>
      <c r="AI76" s="161">
        <v>3085</v>
      </c>
      <c r="AJ76" s="161">
        <v>4823</v>
      </c>
      <c r="AK76" s="161">
        <v>5991</v>
      </c>
      <c r="AL76" s="170">
        <v>600</v>
      </c>
      <c r="AM76" s="216">
        <v>0</v>
      </c>
      <c r="AN76" s="161">
        <v>0</v>
      </c>
      <c r="AO76" s="219">
        <v>0</v>
      </c>
      <c r="AP76" s="161">
        <v>0</v>
      </c>
      <c r="AQ76" s="219">
        <v>0</v>
      </c>
      <c r="AR76" s="170">
        <v>0</v>
      </c>
    </row>
    <row r="77" spans="1:44" x14ac:dyDescent="0.3">
      <c r="A77" s="24">
        <v>925</v>
      </c>
      <c r="B77" s="24" t="s">
        <v>76</v>
      </c>
      <c r="C77" s="24" t="s">
        <v>353</v>
      </c>
      <c r="D77" s="160">
        <v>79516645.819999993</v>
      </c>
      <c r="E77" s="161">
        <v>35877</v>
      </c>
      <c r="F77" s="161">
        <v>39066</v>
      </c>
      <c r="G77" s="165">
        <v>8.8887030688184598E-2</v>
      </c>
      <c r="H77" s="169">
        <v>51316</v>
      </c>
      <c r="I77" s="161">
        <v>53419</v>
      </c>
      <c r="J77" s="161">
        <v>0</v>
      </c>
      <c r="K77" s="170">
        <v>570</v>
      </c>
      <c r="L77" s="169">
        <v>38083</v>
      </c>
      <c r="M77" s="161">
        <v>38255</v>
      </c>
      <c r="N77" s="175">
        <v>4.5164508999999999E-3</v>
      </c>
      <c r="O77" s="161">
        <v>39052</v>
      </c>
      <c r="P77" s="176">
        <v>2.5444424019999998E-2</v>
      </c>
      <c r="Q77" s="182">
        <v>92.8</v>
      </c>
      <c r="R77" s="183">
        <v>5.5</v>
      </c>
      <c r="S77" s="183">
        <v>0.5</v>
      </c>
      <c r="T77" s="184">
        <v>98.8</v>
      </c>
      <c r="U77" s="169">
        <v>66</v>
      </c>
      <c r="V77" s="161">
        <v>490</v>
      </c>
      <c r="W77" s="161">
        <v>199</v>
      </c>
      <c r="X77" s="161">
        <v>36</v>
      </c>
      <c r="Y77" s="161">
        <v>0</v>
      </c>
      <c r="Z77" s="161">
        <v>14624</v>
      </c>
      <c r="AA77" s="161">
        <v>22948</v>
      </c>
      <c r="AB77" s="161">
        <v>10719</v>
      </c>
      <c r="AC77" s="161">
        <v>2597</v>
      </c>
      <c r="AD77" s="170">
        <v>0</v>
      </c>
      <c r="AE77" s="169">
        <v>47</v>
      </c>
      <c r="AF77" s="161">
        <v>168</v>
      </c>
      <c r="AG77" s="161">
        <v>576</v>
      </c>
      <c r="AH77" s="161">
        <v>0</v>
      </c>
      <c r="AI77" s="161">
        <v>20053</v>
      </c>
      <c r="AJ77" s="161">
        <v>12314</v>
      </c>
      <c r="AK77" s="161">
        <v>18521</v>
      </c>
      <c r="AL77" s="170">
        <v>0</v>
      </c>
      <c r="AM77" s="216">
        <v>1809200</v>
      </c>
      <c r="AN77" s="161">
        <v>140</v>
      </c>
      <c r="AO77" s="219">
        <v>0</v>
      </c>
      <c r="AP77" s="161">
        <v>0</v>
      </c>
      <c r="AQ77" s="219">
        <v>0</v>
      </c>
      <c r="AR77" s="170">
        <v>0</v>
      </c>
    </row>
    <row r="78" spans="1:44" x14ac:dyDescent="0.3">
      <c r="A78" s="24">
        <v>341</v>
      </c>
      <c r="B78" s="24" t="s">
        <v>77</v>
      </c>
      <c r="C78" s="24" t="s">
        <v>350</v>
      </c>
      <c r="D78" s="160">
        <v>39843475.810000002</v>
      </c>
      <c r="E78" s="161">
        <v>22951</v>
      </c>
      <c r="F78" s="161">
        <v>23812</v>
      </c>
      <c r="G78" s="165">
        <v>3.7514705241601609E-2</v>
      </c>
      <c r="H78" s="169">
        <v>36499</v>
      </c>
      <c r="I78" s="161">
        <v>34428</v>
      </c>
      <c r="J78" s="161">
        <v>550</v>
      </c>
      <c r="K78" s="170">
        <v>0</v>
      </c>
      <c r="L78" s="169">
        <v>23203</v>
      </c>
      <c r="M78" s="161">
        <v>23261</v>
      </c>
      <c r="N78" s="175">
        <v>2.4996767600000002E-3</v>
      </c>
      <c r="O78" s="161">
        <v>22775</v>
      </c>
      <c r="P78" s="176">
        <v>-1.8445890610000001E-2</v>
      </c>
      <c r="Q78" s="182">
        <v>78.5</v>
      </c>
      <c r="R78" s="183">
        <v>12.6</v>
      </c>
      <c r="S78" s="183">
        <v>4.3</v>
      </c>
      <c r="T78" s="184">
        <v>95.3</v>
      </c>
      <c r="U78" s="169">
        <v>0</v>
      </c>
      <c r="V78" s="161">
        <v>0</v>
      </c>
      <c r="W78" s="161">
        <v>0</v>
      </c>
      <c r="X78" s="161">
        <v>0</v>
      </c>
      <c r="Y78" s="161">
        <v>0</v>
      </c>
      <c r="Z78" s="161">
        <v>4776</v>
      </c>
      <c r="AA78" s="161">
        <v>13586</v>
      </c>
      <c r="AB78" s="161">
        <v>12966</v>
      </c>
      <c r="AC78" s="161">
        <v>2000</v>
      </c>
      <c r="AD78" s="170">
        <v>0</v>
      </c>
      <c r="AE78" s="169">
        <v>0</v>
      </c>
      <c r="AF78" s="161">
        <v>0</v>
      </c>
      <c r="AG78" s="161">
        <v>0</v>
      </c>
      <c r="AH78" s="161">
        <v>0</v>
      </c>
      <c r="AI78" s="161">
        <v>1921</v>
      </c>
      <c r="AJ78" s="161">
        <v>8931</v>
      </c>
      <c r="AK78" s="161">
        <v>22476</v>
      </c>
      <c r="AL78" s="170">
        <v>0</v>
      </c>
      <c r="AM78" s="216">
        <v>0</v>
      </c>
      <c r="AN78" s="161">
        <v>0</v>
      </c>
      <c r="AO78" s="219">
        <v>0</v>
      </c>
      <c r="AP78" s="161">
        <v>0</v>
      </c>
      <c r="AQ78" s="219">
        <v>0</v>
      </c>
      <c r="AR78" s="170">
        <v>0</v>
      </c>
    </row>
    <row r="79" spans="1:44" x14ac:dyDescent="0.3">
      <c r="A79" s="24">
        <v>821</v>
      </c>
      <c r="B79" s="24" t="s">
        <v>78</v>
      </c>
      <c r="C79" s="24" t="s">
        <v>348</v>
      </c>
      <c r="D79" s="160">
        <v>61198551.910000004</v>
      </c>
      <c r="E79" s="161">
        <v>10365</v>
      </c>
      <c r="F79" s="161">
        <v>14128</v>
      </c>
      <c r="G79" s="165">
        <v>0.3630487216594307</v>
      </c>
      <c r="H79" s="169">
        <v>14363</v>
      </c>
      <c r="I79" s="161">
        <v>14990</v>
      </c>
      <c r="J79" s="161">
        <v>110</v>
      </c>
      <c r="K79" s="170">
        <v>10</v>
      </c>
      <c r="L79" s="169">
        <v>12712</v>
      </c>
      <c r="M79" s="161">
        <v>12616</v>
      </c>
      <c r="N79" s="175">
        <v>-7.5519194399999998E-3</v>
      </c>
      <c r="O79" s="161">
        <v>12974</v>
      </c>
      <c r="P79" s="176">
        <v>2.0610446819999999E-2</v>
      </c>
      <c r="Q79" s="182">
        <v>84.4</v>
      </c>
      <c r="R79" s="183">
        <v>8.3000000000000007</v>
      </c>
      <c r="S79" s="183">
        <v>2.9</v>
      </c>
      <c r="T79" s="184">
        <v>95.6</v>
      </c>
      <c r="U79" s="169">
        <v>0</v>
      </c>
      <c r="V79" s="161">
        <v>140</v>
      </c>
      <c r="W79" s="161">
        <v>0</v>
      </c>
      <c r="X79" s="161">
        <v>0</v>
      </c>
      <c r="Y79" s="161">
        <v>0</v>
      </c>
      <c r="Z79" s="161">
        <v>1945</v>
      </c>
      <c r="AA79" s="161">
        <v>11555</v>
      </c>
      <c r="AB79" s="161">
        <v>1050</v>
      </c>
      <c r="AC79" s="161">
        <v>0</v>
      </c>
      <c r="AD79" s="170">
        <v>0</v>
      </c>
      <c r="AE79" s="169">
        <v>140</v>
      </c>
      <c r="AF79" s="161">
        <v>0</v>
      </c>
      <c r="AG79" s="161">
        <v>0</v>
      </c>
      <c r="AH79" s="161">
        <v>0</v>
      </c>
      <c r="AI79" s="161">
        <v>4695</v>
      </c>
      <c r="AJ79" s="161">
        <v>5150</v>
      </c>
      <c r="AK79" s="161">
        <v>4705</v>
      </c>
      <c r="AL79" s="170">
        <v>0</v>
      </c>
      <c r="AM79" s="216">
        <v>0</v>
      </c>
      <c r="AN79" s="161">
        <v>0</v>
      </c>
      <c r="AO79" s="219">
        <v>0</v>
      </c>
      <c r="AP79" s="161">
        <v>0</v>
      </c>
      <c r="AQ79" s="219">
        <v>0</v>
      </c>
      <c r="AR79" s="170">
        <v>0</v>
      </c>
    </row>
    <row r="80" spans="1:44" x14ac:dyDescent="0.3">
      <c r="A80" s="24">
        <v>352</v>
      </c>
      <c r="B80" s="24" t="s">
        <v>79</v>
      </c>
      <c r="C80" s="24" t="s">
        <v>350</v>
      </c>
      <c r="D80" s="160">
        <v>285196775.75</v>
      </c>
      <c r="E80" s="161">
        <v>18023</v>
      </c>
      <c r="F80" s="161">
        <v>27543</v>
      </c>
      <c r="G80" s="165">
        <v>0.52821394884314476</v>
      </c>
      <c r="H80" s="169">
        <v>25430</v>
      </c>
      <c r="I80" s="161">
        <v>27272</v>
      </c>
      <c r="J80" s="161">
        <v>1950</v>
      </c>
      <c r="K80" s="170">
        <v>770</v>
      </c>
      <c r="L80" s="169">
        <v>23567</v>
      </c>
      <c r="M80" s="161">
        <v>24285</v>
      </c>
      <c r="N80" s="175">
        <v>3.0466330029999999E-2</v>
      </c>
      <c r="O80" s="161">
        <v>23516</v>
      </c>
      <c r="P80" s="176">
        <v>-2.1640429399999998E-3</v>
      </c>
      <c r="Q80" s="182">
        <v>74.8</v>
      </c>
      <c r="R80" s="183">
        <v>11.1</v>
      </c>
      <c r="S80" s="183">
        <v>4.9000000000000004</v>
      </c>
      <c r="T80" s="184">
        <v>90.8</v>
      </c>
      <c r="U80" s="169">
        <v>0</v>
      </c>
      <c r="V80" s="161">
        <v>135</v>
      </c>
      <c r="W80" s="161">
        <v>0</v>
      </c>
      <c r="X80" s="161">
        <v>0</v>
      </c>
      <c r="Y80" s="161">
        <v>0</v>
      </c>
      <c r="Z80" s="161">
        <v>2000</v>
      </c>
      <c r="AA80" s="161">
        <v>16363</v>
      </c>
      <c r="AB80" s="161">
        <v>3704</v>
      </c>
      <c r="AC80" s="161">
        <v>3000</v>
      </c>
      <c r="AD80" s="170">
        <v>0</v>
      </c>
      <c r="AE80" s="169">
        <v>105</v>
      </c>
      <c r="AF80" s="161">
        <v>0</v>
      </c>
      <c r="AG80" s="161">
        <v>30</v>
      </c>
      <c r="AH80" s="161">
        <v>0</v>
      </c>
      <c r="AI80" s="161">
        <v>10115</v>
      </c>
      <c r="AJ80" s="161">
        <v>5165</v>
      </c>
      <c r="AK80" s="161">
        <v>9787</v>
      </c>
      <c r="AL80" s="170">
        <v>0</v>
      </c>
      <c r="AM80" s="216">
        <v>0</v>
      </c>
      <c r="AN80" s="161">
        <v>0</v>
      </c>
      <c r="AO80" s="219">
        <v>0</v>
      </c>
      <c r="AP80" s="161">
        <v>0</v>
      </c>
      <c r="AQ80" s="219">
        <v>0</v>
      </c>
      <c r="AR80" s="170">
        <v>0</v>
      </c>
    </row>
    <row r="81" spans="1:44" x14ac:dyDescent="0.3">
      <c r="A81" s="24">
        <v>887</v>
      </c>
      <c r="B81" s="24" t="s">
        <v>80</v>
      </c>
      <c r="C81" s="24" t="s">
        <v>351</v>
      </c>
      <c r="D81" s="160">
        <v>38672259.590000004</v>
      </c>
      <c r="E81" s="161">
        <v>15080</v>
      </c>
      <c r="F81" s="161">
        <v>15931</v>
      </c>
      <c r="G81" s="165">
        <v>5.6432360742705523E-2</v>
      </c>
      <c r="H81" s="169">
        <v>21411</v>
      </c>
      <c r="I81" s="161">
        <v>21977</v>
      </c>
      <c r="J81" s="161">
        <v>240</v>
      </c>
      <c r="K81" s="170">
        <v>0</v>
      </c>
      <c r="L81" s="169">
        <v>15182</v>
      </c>
      <c r="M81" s="161">
        <v>15237</v>
      </c>
      <c r="N81" s="175">
        <v>3.6227110999999998E-3</v>
      </c>
      <c r="O81" s="161">
        <v>15086</v>
      </c>
      <c r="P81" s="176">
        <v>-6.3232775599999999E-3</v>
      </c>
      <c r="Q81" s="182">
        <v>80.8</v>
      </c>
      <c r="R81" s="183">
        <v>9.6</v>
      </c>
      <c r="S81" s="183">
        <v>2.9</v>
      </c>
      <c r="T81" s="184">
        <v>93.3</v>
      </c>
      <c r="U81" s="169">
        <v>0</v>
      </c>
      <c r="V81" s="161">
        <v>0</v>
      </c>
      <c r="W81" s="161">
        <v>0</v>
      </c>
      <c r="X81" s="161">
        <v>0</v>
      </c>
      <c r="Y81" s="161">
        <v>0</v>
      </c>
      <c r="Z81" s="161">
        <v>4887</v>
      </c>
      <c r="AA81" s="161">
        <v>14229</v>
      </c>
      <c r="AB81" s="161">
        <v>2861</v>
      </c>
      <c r="AC81" s="161">
        <v>0</v>
      </c>
      <c r="AD81" s="170">
        <v>0</v>
      </c>
      <c r="AE81" s="169">
        <v>0</v>
      </c>
      <c r="AF81" s="161">
        <v>0</v>
      </c>
      <c r="AG81" s="161">
        <v>0</v>
      </c>
      <c r="AH81" s="161">
        <v>0</v>
      </c>
      <c r="AI81" s="161">
        <v>10807</v>
      </c>
      <c r="AJ81" s="161">
        <v>5646</v>
      </c>
      <c r="AK81" s="161">
        <v>5524</v>
      </c>
      <c r="AL81" s="170">
        <v>0</v>
      </c>
      <c r="AM81" s="216">
        <v>0</v>
      </c>
      <c r="AN81" s="161">
        <v>0</v>
      </c>
      <c r="AO81" s="219">
        <v>0</v>
      </c>
      <c r="AP81" s="161">
        <v>0</v>
      </c>
      <c r="AQ81" s="219">
        <v>0</v>
      </c>
      <c r="AR81" s="170">
        <v>0</v>
      </c>
    </row>
    <row r="82" spans="1:44" x14ac:dyDescent="0.3">
      <c r="A82" s="24">
        <v>315</v>
      </c>
      <c r="B82" s="24" t="s">
        <v>81</v>
      </c>
      <c r="C82" s="24" t="s">
        <v>345</v>
      </c>
      <c r="D82" s="160">
        <v>78585936.960000008</v>
      </c>
      <c r="E82" s="161">
        <v>6345</v>
      </c>
      <c r="F82" s="161">
        <v>8051</v>
      </c>
      <c r="G82" s="165">
        <v>0.26887312844759648</v>
      </c>
      <c r="H82" s="169">
        <v>9931</v>
      </c>
      <c r="I82" s="161">
        <v>9976</v>
      </c>
      <c r="J82" s="161">
        <v>0</v>
      </c>
      <c r="K82" s="170">
        <v>80</v>
      </c>
      <c r="L82" s="169">
        <v>7349</v>
      </c>
      <c r="M82" s="161">
        <v>7359</v>
      </c>
      <c r="N82" s="175">
        <v>1.3607293500000001E-3</v>
      </c>
      <c r="O82" s="161">
        <v>7683</v>
      </c>
      <c r="P82" s="176">
        <v>4.5448360319999999E-2</v>
      </c>
      <c r="Q82" s="182">
        <v>62.8</v>
      </c>
      <c r="R82" s="183">
        <v>17.100000000000001</v>
      </c>
      <c r="S82" s="183">
        <v>8.5</v>
      </c>
      <c r="T82" s="184">
        <v>88.3</v>
      </c>
      <c r="U82" s="169">
        <v>56</v>
      </c>
      <c r="V82" s="161">
        <v>0</v>
      </c>
      <c r="W82" s="161">
        <v>110</v>
      </c>
      <c r="X82" s="161">
        <v>0</v>
      </c>
      <c r="Y82" s="161">
        <v>0</v>
      </c>
      <c r="Z82" s="161">
        <v>2405</v>
      </c>
      <c r="AA82" s="161">
        <v>6061</v>
      </c>
      <c r="AB82" s="161">
        <v>1344</v>
      </c>
      <c r="AC82" s="161">
        <v>0</v>
      </c>
      <c r="AD82" s="170">
        <v>0</v>
      </c>
      <c r="AE82" s="169">
        <v>166</v>
      </c>
      <c r="AF82" s="161">
        <v>0</v>
      </c>
      <c r="AG82" s="161">
        <v>0</v>
      </c>
      <c r="AH82" s="161">
        <v>0</v>
      </c>
      <c r="AI82" s="161">
        <v>7765</v>
      </c>
      <c r="AJ82" s="161">
        <v>2045</v>
      </c>
      <c r="AK82" s="161">
        <v>0</v>
      </c>
      <c r="AL82" s="170">
        <v>0</v>
      </c>
      <c r="AM82" s="216">
        <v>0</v>
      </c>
      <c r="AN82" s="161">
        <v>0</v>
      </c>
      <c r="AO82" s="219">
        <v>0</v>
      </c>
      <c r="AP82" s="161">
        <v>0</v>
      </c>
      <c r="AQ82" s="219">
        <v>0</v>
      </c>
      <c r="AR82" s="170">
        <v>0</v>
      </c>
    </row>
    <row r="83" spans="1:44" x14ac:dyDescent="0.3">
      <c r="A83" s="24">
        <v>806</v>
      </c>
      <c r="B83" s="24" t="s">
        <v>82</v>
      </c>
      <c r="C83" s="24" t="s">
        <v>352</v>
      </c>
      <c r="D83" s="160">
        <v>4784809.5999999996</v>
      </c>
      <c r="E83" s="161">
        <v>4972</v>
      </c>
      <c r="F83" s="161">
        <v>7243</v>
      </c>
      <c r="G83" s="165">
        <v>0.45675784392598562</v>
      </c>
      <c r="H83" s="169">
        <v>10163</v>
      </c>
      <c r="I83" s="161">
        <v>9421</v>
      </c>
      <c r="J83" s="161">
        <v>0</v>
      </c>
      <c r="K83" s="170">
        <v>0</v>
      </c>
      <c r="L83" s="169">
        <v>6849</v>
      </c>
      <c r="M83" s="161">
        <v>6922</v>
      </c>
      <c r="N83" s="175">
        <v>1.0658490289999999E-2</v>
      </c>
      <c r="O83" s="161">
        <v>6950</v>
      </c>
      <c r="P83" s="176">
        <v>1.474667834E-2</v>
      </c>
      <c r="Q83" s="182">
        <v>77.599999999999994</v>
      </c>
      <c r="R83" s="183">
        <v>12.9</v>
      </c>
      <c r="S83" s="183">
        <v>3.2</v>
      </c>
      <c r="T83" s="184">
        <v>93.7</v>
      </c>
      <c r="U83" s="169">
        <v>0</v>
      </c>
      <c r="V83" s="161">
        <v>0</v>
      </c>
      <c r="W83" s="161">
        <v>0</v>
      </c>
      <c r="X83" s="161">
        <v>0</v>
      </c>
      <c r="Y83" s="161">
        <v>0</v>
      </c>
      <c r="Z83" s="161">
        <v>0</v>
      </c>
      <c r="AA83" s="161">
        <v>5350</v>
      </c>
      <c r="AB83" s="161">
        <v>3246</v>
      </c>
      <c r="AC83" s="161">
        <v>825</v>
      </c>
      <c r="AD83" s="170">
        <v>0</v>
      </c>
      <c r="AE83" s="169">
        <v>0</v>
      </c>
      <c r="AF83" s="161">
        <v>0</v>
      </c>
      <c r="AG83" s="161">
        <v>0</v>
      </c>
      <c r="AH83" s="161">
        <v>0</v>
      </c>
      <c r="AI83" s="161">
        <v>2820</v>
      </c>
      <c r="AJ83" s="161">
        <v>1550</v>
      </c>
      <c r="AK83" s="161">
        <v>5051</v>
      </c>
      <c r="AL83" s="170">
        <v>0</v>
      </c>
      <c r="AM83" s="216">
        <v>0</v>
      </c>
      <c r="AN83" s="161">
        <v>0</v>
      </c>
      <c r="AO83" s="219">
        <v>0</v>
      </c>
      <c r="AP83" s="161">
        <v>0</v>
      </c>
      <c r="AQ83" s="219">
        <v>0</v>
      </c>
      <c r="AR83" s="170">
        <v>0</v>
      </c>
    </row>
    <row r="84" spans="1:44" x14ac:dyDescent="0.3">
      <c r="A84" s="24">
        <v>826</v>
      </c>
      <c r="B84" s="24" t="s">
        <v>83</v>
      </c>
      <c r="C84" s="24" t="s">
        <v>351</v>
      </c>
      <c r="D84" s="160">
        <v>147999455.30000001</v>
      </c>
      <c r="E84" s="161">
        <v>12784</v>
      </c>
      <c r="F84" s="161">
        <v>15456</v>
      </c>
      <c r="G84" s="165">
        <v>0.20901126408010007</v>
      </c>
      <c r="H84" s="169">
        <v>18675</v>
      </c>
      <c r="I84" s="161">
        <v>19273</v>
      </c>
      <c r="J84" s="161">
        <v>2850</v>
      </c>
      <c r="K84" s="170">
        <v>340</v>
      </c>
      <c r="L84" s="169">
        <v>14326</v>
      </c>
      <c r="M84" s="161">
        <v>14456</v>
      </c>
      <c r="N84" s="175">
        <v>9.0744101600000009E-3</v>
      </c>
      <c r="O84" s="161">
        <v>14781</v>
      </c>
      <c r="P84" s="176">
        <v>3.1760435570000002E-2</v>
      </c>
      <c r="Q84" s="182">
        <v>86.9</v>
      </c>
      <c r="R84" s="183">
        <v>5.8</v>
      </c>
      <c r="S84" s="183">
        <v>3.8</v>
      </c>
      <c r="T84" s="184">
        <v>96.4</v>
      </c>
      <c r="U84" s="169">
        <v>0</v>
      </c>
      <c r="V84" s="161">
        <v>0</v>
      </c>
      <c r="W84" s="161">
        <v>0</v>
      </c>
      <c r="X84" s="161">
        <v>0</v>
      </c>
      <c r="Y84" s="161">
        <v>0</v>
      </c>
      <c r="Z84" s="161">
        <v>2787</v>
      </c>
      <c r="AA84" s="161">
        <v>11081</v>
      </c>
      <c r="AB84" s="161">
        <v>5405</v>
      </c>
      <c r="AC84" s="161">
        <v>0</v>
      </c>
      <c r="AD84" s="170">
        <v>0</v>
      </c>
      <c r="AE84" s="169">
        <v>0</v>
      </c>
      <c r="AF84" s="161">
        <v>0</v>
      </c>
      <c r="AG84" s="161">
        <v>0</v>
      </c>
      <c r="AH84" s="161">
        <v>0</v>
      </c>
      <c r="AI84" s="161">
        <v>4429</v>
      </c>
      <c r="AJ84" s="161">
        <v>6959</v>
      </c>
      <c r="AK84" s="161">
        <v>7885</v>
      </c>
      <c r="AL84" s="170">
        <v>0</v>
      </c>
      <c r="AM84" s="216">
        <v>2356706</v>
      </c>
      <c r="AN84" s="161">
        <v>150</v>
      </c>
      <c r="AO84" s="219">
        <v>0</v>
      </c>
      <c r="AP84" s="161">
        <v>0</v>
      </c>
      <c r="AQ84" s="219">
        <v>0</v>
      </c>
      <c r="AR84" s="170">
        <v>0</v>
      </c>
    </row>
    <row r="85" spans="1:44" x14ac:dyDescent="0.3">
      <c r="A85" s="24">
        <v>391</v>
      </c>
      <c r="B85" s="24" t="s">
        <v>84</v>
      </c>
      <c r="C85" s="24" t="s">
        <v>352</v>
      </c>
      <c r="D85" s="160">
        <v>36262990.589999996</v>
      </c>
      <c r="E85" s="161">
        <v>11533</v>
      </c>
      <c r="F85" s="161">
        <v>13067</v>
      </c>
      <c r="G85" s="165">
        <v>0.13300962455562293</v>
      </c>
      <c r="H85" s="169">
        <v>17629</v>
      </c>
      <c r="I85" s="161">
        <v>17146</v>
      </c>
      <c r="J85" s="161">
        <v>210</v>
      </c>
      <c r="K85" s="170">
        <v>300</v>
      </c>
      <c r="L85" s="169">
        <v>11896</v>
      </c>
      <c r="M85" s="161">
        <v>12012</v>
      </c>
      <c r="N85" s="175">
        <v>9.7511768600000003E-3</v>
      </c>
      <c r="O85" s="161">
        <v>11955</v>
      </c>
      <c r="P85" s="176">
        <v>4.9596503E-3</v>
      </c>
      <c r="Q85" s="182">
        <v>88.9</v>
      </c>
      <c r="R85" s="183">
        <v>7.7</v>
      </c>
      <c r="S85" s="183">
        <v>1</v>
      </c>
      <c r="T85" s="184">
        <v>97.5</v>
      </c>
      <c r="U85" s="169">
        <v>60</v>
      </c>
      <c r="V85" s="161">
        <v>0</v>
      </c>
      <c r="W85" s="161">
        <v>0</v>
      </c>
      <c r="X85" s="161">
        <v>0</v>
      </c>
      <c r="Y85" s="161">
        <v>0</v>
      </c>
      <c r="Z85" s="161">
        <v>4478</v>
      </c>
      <c r="AA85" s="161">
        <v>9453</v>
      </c>
      <c r="AB85" s="161">
        <v>2125</v>
      </c>
      <c r="AC85" s="161">
        <v>0</v>
      </c>
      <c r="AD85" s="170">
        <v>0</v>
      </c>
      <c r="AE85" s="169">
        <v>0</v>
      </c>
      <c r="AF85" s="161">
        <v>0</v>
      </c>
      <c r="AG85" s="161">
        <v>0</v>
      </c>
      <c r="AH85" s="161">
        <v>60</v>
      </c>
      <c r="AI85" s="161">
        <v>6916</v>
      </c>
      <c r="AJ85" s="161">
        <v>0</v>
      </c>
      <c r="AK85" s="161">
        <v>8408</v>
      </c>
      <c r="AL85" s="170">
        <v>732</v>
      </c>
      <c r="AM85" s="216">
        <v>0</v>
      </c>
      <c r="AN85" s="161">
        <v>0</v>
      </c>
      <c r="AO85" s="219">
        <v>0</v>
      </c>
      <c r="AP85" s="161">
        <v>0</v>
      </c>
      <c r="AQ85" s="219">
        <v>0</v>
      </c>
      <c r="AR85" s="170">
        <v>0</v>
      </c>
    </row>
    <row r="86" spans="1:44" x14ac:dyDescent="0.3">
      <c r="A86" s="24">
        <v>316</v>
      </c>
      <c r="B86" s="24" t="s">
        <v>85</v>
      </c>
      <c r="C86" s="24" t="s">
        <v>345</v>
      </c>
      <c r="D86" s="160">
        <v>207533274.39000002</v>
      </c>
      <c r="E86" s="161">
        <v>17637</v>
      </c>
      <c r="F86" s="161">
        <v>21073</v>
      </c>
      <c r="G86" s="165">
        <v>0.19481771276294158</v>
      </c>
      <c r="H86" s="169">
        <v>19633</v>
      </c>
      <c r="I86" s="161">
        <v>23216</v>
      </c>
      <c r="J86" s="161">
        <v>1350</v>
      </c>
      <c r="K86" s="170">
        <v>0</v>
      </c>
      <c r="L86" s="169">
        <v>18598</v>
      </c>
      <c r="M86" s="161">
        <v>19185</v>
      </c>
      <c r="N86" s="175">
        <v>3.1562533599999998E-2</v>
      </c>
      <c r="O86" s="161">
        <v>19098</v>
      </c>
      <c r="P86" s="176">
        <v>2.6884611239999998E-2</v>
      </c>
      <c r="Q86" s="182">
        <v>74.900000000000006</v>
      </c>
      <c r="R86" s="183">
        <v>14.2</v>
      </c>
      <c r="S86" s="183">
        <v>4.7</v>
      </c>
      <c r="T86" s="184">
        <v>93.8</v>
      </c>
      <c r="U86" s="169">
        <v>600</v>
      </c>
      <c r="V86" s="161">
        <v>0</v>
      </c>
      <c r="W86" s="161">
        <v>0</v>
      </c>
      <c r="X86" s="161">
        <v>0</v>
      </c>
      <c r="Y86" s="161">
        <v>0</v>
      </c>
      <c r="Z86" s="161">
        <v>7891</v>
      </c>
      <c r="AA86" s="161">
        <v>8550</v>
      </c>
      <c r="AB86" s="161">
        <v>2250</v>
      </c>
      <c r="AC86" s="161">
        <v>0</v>
      </c>
      <c r="AD86" s="170">
        <v>0</v>
      </c>
      <c r="AE86" s="169">
        <v>300</v>
      </c>
      <c r="AF86" s="161">
        <v>0</v>
      </c>
      <c r="AG86" s="161">
        <v>0</v>
      </c>
      <c r="AH86" s="161">
        <v>300</v>
      </c>
      <c r="AI86" s="161">
        <v>13891</v>
      </c>
      <c r="AJ86" s="161">
        <v>2400</v>
      </c>
      <c r="AK86" s="161">
        <v>1500</v>
      </c>
      <c r="AL86" s="170">
        <v>900</v>
      </c>
      <c r="AM86" s="216">
        <v>7200000</v>
      </c>
      <c r="AN86" s="161">
        <v>1830</v>
      </c>
      <c r="AO86" s="219">
        <v>0</v>
      </c>
      <c r="AP86" s="161">
        <v>0</v>
      </c>
      <c r="AQ86" s="219">
        <v>0</v>
      </c>
      <c r="AR86" s="170">
        <v>0</v>
      </c>
    </row>
    <row r="87" spans="1:44" x14ac:dyDescent="0.3">
      <c r="A87" s="24">
        <v>926</v>
      </c>
      <c r="B87" s="24" t="s">
        <v>86</v>
      </c>
      <c r="C87" s="24" t="s">
        <v>348</v>
      </c>
      <c r="D87" s="160">
        <v>111887953.41</v>
      </c>
      <c r="E87" s="161">
        <v>43170</v>
      </c>
      <c r="F87" s="161">
        <v>41879</v>
      </c>
      <c r="G87" s="165">
        <v>-2.9905026638869625E-2</v>
      </c>
      <c r="H87" s="169">
        <v>53684</v>
      </c>
      <c r="I87" s="161">
        <v>56807</v>
      </c>
      <c r="J87" s="161">
        <v>152</v>
      </c>
      <c r="K87" s="170">
        <v>160</v>
      </c>
      <c r="L87" s="169">
        <v>39861</v>
      </c>
      <c r="M87" s="161">
        <v>41212</v>
      </c>
      <c r="N87" s="175">
        <v>3.3892777399999997E-2</v>
      </c>
      <c r="O87" s="161">
        <v>42667</v>
      </c>
      <c r="P87" s="176">
        <v>7.0394621300000002E-2</v>
      </c>
      <c r="Q87" s="182">
        <v>95.3</v>
      </c>
      <c r="R87" s="183">
        <v>2.9</v>
      </c>
      <c r="S87" s="183">
        <v>0.4</v>
      </c>
      <c r="T87" s="184">
        <v>98.5</v>
      </c>
      <c r="U87" s="169">
        <v>68</v>
      </c>
      <c r="V87" s="161">
        <v>264</v>
      </c>
      <c r="W87" s="161">
        <v>18</v>
      </c>
      <c r="X87" s="161">
        <v>18</v>
      </c>
      <c r="Y87" s="161">
        <v>0</v>
      </c>
      <c r="Z87" s="161">
        <v>6625</v>
      </c>
      <c r="AA87" s="161">
        <v>26379</v>
      </c>
      <c r="AB87" s="161">
        <v>13735</v>
      </c>
      <c r="AC87" s="161">
        <v>2680</v>
      </c>
      <c r="AD87" s="170">
        <v>0</v>
      </c>
      <c r="AE87" s="169">
        <v>243</v>
      </c>
      <c r="AF87" s="161">
        <v>125</v>
      </c>
      <c r="AG87" s="161">
        <v>0</v>
      </c>
      <c r="AH87" s="161">
        <v>0</v>
      </c>
      <c r="AI87" s="161">
        <v>17446</v>
      </c>
      <c r="AJ87" s="161">
        <v>21338</v>
      </c>
      <c r="AK87" s="161">
        <v>10635</v>
      </c>
      <c r="AL87" s="170">
        <v>0</v>
      </c>
      <c r="AM87" s="216">
        <v>2500000</v>
      </c>
      <c r="AN87" s="161">
        <v>250</v>
      </c>
      <c r="AO87" s="219">
        <v>0</v>
      </c>
      <c r="AP87" s="161">
        <v>0</v>
      </c>
      <c r="AQ87" s="219">
        <v>0</v>
      </c>
      <c r="AR87" s="170">
        <v>0</v>
      </c>
    </row>
    <row r="88" spans="1:44" x14ac:dyDescent="0.3">
      <c r="A88" s="24">
        <v>812</v>
      </c>
      <c r="B88" s="24" t="s">
        <v>87</v>
      </c>
      <c r="C88" s="24" t="s">
        <v>346</v>
      </c>
      <c r="D88" s="160">
        <v>10987108.530000001</v>
      </c>
      <c r="E88" s="161">
        <v>6990</v>
      </c>
      <c r="F88" s="161">
        <v>8762</v>
      </c>
      <c r="G88" s="165">
        <v>0.25350500715307578</v>
      </c>
      <c r="H88" s="169">
        <v>12797</v>
      </c>
      <c r="I88" s="161">
        <v>10291</v>
      </c>
      <c r="J88" s="161">
        <v>0</v>
      </c>
      <c r="K88" s="170">
        <v>10</v>
      </c>
      <c r="L88" s="169">
        <v>8280</v>
      </c>
      <c r="M88" s="161">
        <v>8467</v>
      </c>
      <c r="N88" s="175">
        <v>2.2584541060000001E-2</v>
      </c>
      <c r="O88" s="161">
        <v>8263</v>
      </c>
      <c r="P88" s="176">
        <v>-2.0531400899999998E-3</v>
      </c>
      <c r="Q88" s="182">
        <v>96.1</v>
      </c>
      <c r="R88" s="183">
        <v>3.3</v>
      </c>
      <c r="S88" s="183">
        <v>0.1</v>
      </c>
      <c r="T88" s="184">
        <v>99.5</v>
      </c>
      <c r="U88" s="169">
        <v>0</v>
      </c>
      <c r="V88" s="161">
        <v>0</v>
      </c>
      <c r="W88" s="161">
        <v>0</v>
      </c>
      <c r="X88" s="161">
        <v>0</v>
      </c>
      <c r="Y88" s="161">
        <v>0</v>
      </c>
      <c r="Z88" s="161">
        <v>3937</v>
      </c>
      <c r="AA88" s="161">
        <v>3554</v>
      </c>
      <c r="AB88" s="161">
        <v>2800</v>
      </c>
      <c r="AC88" s="161">
        <v>0</v>
      </c>
      <c r="AD88" s="170">
        <v>0</v>
      </c>
      <c r="AE88" s="169">
        <v>0</v>
      </c>
      <c r="AF88" s="161">
        <v>0</v>
      </c>
      <c r="AG88" s="161">
        <v>0</v>
      </c>
      <c r="AH88" s="161">
        <v>0</v>
      </c>
      <c r="AI88" s="161">
        <v>3937</v>
      </c>
      <c r="AJ88" s="161">
        <v>3254</v>
      </c>
      <c r="AK88" s="161">
        <v>3100</v>
      </c>
      <c r="AL88" s="170">
        <v>0</v>
      </c>
      <c r="AM88" s="216">
        <v>0</v>
      </c>
      <c r="AN88" s="161">
        <v>0</v>
      </c>
      <c r="AO88" s="219">
        <v>0</v>
      </c>
      <c r="AP88" s="161">
        <v>0</v>
      </c>
      <c r="AQ88" s="219">
        <v>0</v>
      </c>
      <c r="AR88" s="170">
        <v>0</v>
      </c>
    </row>
    <row r="89" spans="1:44" x14ac:dyDescent="0.3">
      <c r="A89" s="24">
        <v>813</v>
      </c>
      <c r="B89" s="24" t="s">
        <v>88</v>
      </c>
      <c r="C89" s="24" t="s">
        <v>346</v>
      </c>
      <c r="D89" s="160">
        <v>7017041.29</v>
      </c>
      <c r="E89" s="161">
        <v>9221</v>
      </c>
      <c r="F89" s="161">
        <v>8848</v>
      </c>
      <c r="G89" s="165">
        <v>-4.0451144127534922E-2</v>
      </c>
      <c r="H89" s="169">
        <v>11969</v>
      </c>
      <c r="I89" s="161">
        <v>11016</v>
      </c>
      <c r="J89" s="161">
        <v>377</v>
      </c>
      <c r="K89" s="170">
        <v>0</v>
      </c>
      <c r="L89" s="169">
        <v>8773</v>
      </c>
      <c r="M89" s="161">
        <v>8748</v>
      </c>
      <c r="N89" s="175">
        <v>-2.8496523400000002E-3</v>
      </c>
      <c r="O89" s="161">
        <v>8778</v>
      </c>
      <c r="P89" s="176">
        <v>5.6993045999999996E-4</v>
      </c>
      <c r="Q89" s="182">
        <v>91.9</v>
      </c>
      <c r="R89" s="183">
        <v>4.3</v>
      </c>
      <c r="S89" s="183">
        <v>0.6</v>
      </c>
      <c r="T89" s="184">
        <v>96.8</v>
      </c>
      <c r="U89" s="169">
        <v>0</v>
      </c>
      <c r="V89" s="161">
        <v>94</v>
      </c>
      <c r="W89" s="161">
        <v>0</v>
      </c>
      <c r="X89" s="161">
        <v>0</v>
      </c>
      <c r="Y89" s="161">
        <v>0</v>
      </c>
      <c r="Z89" s="161">
        <v>0</v>
      </c>
      <c r="AA89" s="161">
        <v>9272</v>
      </c>
      <c r="AB89" s="161">
        <v>0</v>
      </c>
      <c r="AC89" s="161">
        <v>1650</v>
      </c>
      <c r="AD89" s="170">
        <v>0</v>
      </c>
      <c r="AE89" s="169">
        <v>94</v>
      </c>
      <c r="AF89" s="161">
        <v>0</v>
      </c>
      <c r="AG89" s="161">
        <v>0</v>
      </c>
      <c r="AH89" s="161">
        <v>0</v>
      </c>
      <c r="AI89" s="161">
        <v>1220</v>
      </c>
      <c r="AJ89" s="161">
        <v>6933</v>
      </c>
      <c r="AK89" s="161">
        <v>2769</v>
      </c>
      <c r="AL89" s="170">
        <v>0</v>
      </c>
      <c r="AM89" s="216">
        <v>0</v>
      </c>
      <c r="AN89" s="161">
        <v>0</v>
      </c>
      <c r="AO89" s="219">
        <v>0</v>
      </c>
      <c r="AP89" s="161">
        <v>0</v>
      </c>
      <c r="AQ89" s="219">
        <v>0</v>
      </c>
      <c r="AR89" s="170">
        <v>0</v>
      </c>
    </row>
    <row r="90" spans="1:44" x14ac:dyDescent="0.3">
      <c r="A90" s="24">
        <v>802</v>
      </c>
      <c r="B90" s="24" t="s">
        <v>89</v>
      </c>
      <c r="C90" s="24" t="s">
        <v>347</v>
      </c>
      <c r="D90" s="160">
        <v>41998666.730000004</v>
      </c>
      <c r="E90" s="161">
        <v>11236</v>
      </c>
      <c r="F90" s="161">
        <v>11307</v>
      </c>
      <c r="G90" s="165">
        <v>6.3189747241010341E-3</v>
      </c>
      <c r="H90" s="169">
        <v>13487</v>
      </c>
      <c r="I90" s="161">
        <v>14506</v>
      </c>
      <c r="J90" s="161">
        <v>0</v>
      </c>
      <c r="K90" s="170">
        <v>220</v>
      </c>
      <c r="L90" s="169">
        <v>10685</v>
      </c>
      <c r="M90" s="161">
        <v>10824</v>
      </c>
      <c r="N90" s="175">
        <v>1.300889096E-2</v>
      </c>
      <c r="O90" s="161">
        <v>11165</v>
      </c>
      <c r="P90" s="176">
        <v>4.492278895E-2</v>
      </c>
      <c r="Q90" s="182">
        <v>92.7</v>
      </c>
      <c r="R90" s="183">
        <v>5.6</v>
      </c>
      <c r="S90" s="183">
        <v>0.7</v>
      </c>
      <c r="T90" s="184">
        <v>99</v>
      </c>
      <c r="U90" s="169">
        <v>0</v>
      </c>
      <c r="V90" s="161">
        <v>0</v>
      </c>
      <c r="W90" s="161">
        <v>0</v>
      </c>
      <c r="X90" s="161">
        <v>0</v>
      </c>
      <c r="Y90" s="161">
        <v>0</v>
      </c>
      <c r="Z90" s="161">
        <v>7851</v>
      </c>
      <c r="AA90" s="161">
        <v>4900</v>
      </c>
      <c r="AB90" s="161">
        <v>1055</v>
      </c>
      <c r="AC90" s="161">
        <v>0</v>
      </c>
      <c r="AD90" s="170">
        <v>0</v>
      </c>
      <c r="AE90" s="169">
        <v>0</v>
      </c>
      <c r="AF90" s="161">
        <v>0</v>
      </c>
      <c r="AG90" s="161">
        <v>0</v>
      </c>
      <c r="AH90" s="161">
        <v>0</v>
      </c>
      <c r="AI90" s="161">
        <v>6246</v>
      </c>
      <c r="AJ90" s="161">
        <v>2660</v>
      </c>
      <c r="AK90" s="161">
        <v>4900</v>
      </c>
      <c r="AL90" s="170">
        <v>0</v>
      </c>
      <c r="AM90" s="216">
        <v>0</v>
      </c>
      <c r="AN90" s="161">
        <v>0</v>
      </c>
      <c r="AO90" s="219">
        <v>0</v>
      </c>
      <c r="AP90" s="161">
        <v>0</v>
      </c>
      <c r="AQ90" s="219">
        <v>0</v>
      </c>
      <c r="AR90" s="170">
        <v>0</v>
      </c>
    </row>
    <row r="91" spans="1:44" x14ac:dyDescent="0.3">
      <c r="A91" s="24">
        <v>392</v>
      </c>
      <c r="B91" s="24" t="s">
        <v>90</v>
      </c>
      <c r="C91" s="24" t="s">
        <v>352</v>
      </c>
      <c r="D91" s="160">
        <v>8305262.4100000001</v>
      </c>
      <c r="E91" s="161">
        <v>10577</v>
      </c>
      <c r="F91" s="161">
        <v>10295</v>
      </c>
      <c r="G91" s="165">
        <v>-2.666162427909613E-2</v>
      </c>
      <c r="H91" s="169">
        <v>13340</v>
      </c>
      <c r="I91" s="161">
        <v>14081</v>
      </c>
      <c r="J91" s="161">
        <v>0</v>
      </c>
      <c r="K91" s="170">
        <v>0</v>
      </c>
      <c r="L91" s="169">
        <v>9792</v>
      </c>
      <c r="M91" s="161">
        <v>9973</v>
      </c>
      <c r="N91" s="175">
        <v>1.8484477119999999E-2</v>
      </c>
      <c r="O91" s="161">
        <v>9768</v>
      </c>
      <c r="P91" s="176">
        <v>-2.4509803899999999E-3</v>
      </c>
      <c r="Q91" s="182">
        <v>96</v>
      </c>
      <c r="R91" s="183">
        <v>2</v>
      </c>
      <c r="S91" s="183">
        <v>0.1</v>
      </c>
      <c r="T91" s="184">
        <v>98.1</v>
      </c>
      <c r="U91" s="169">
        <v>0</v>
      </c>
      <c r="V91" s="161">
        <v>0</v>
      </c>
      <c r="W91" s="161">
        <v>0</v>
      </c>
      <c r="X91" s="161">
        <v>0</v>
      </c>
      <c r="Y91" s="161">
        <v>0</v>
      </c>
      <c r="Z91" s="161">
        <v>5197</v>
      </c>
      <c r="AA91" s="161">
        <v>6987</v>
      </c>
      <c r="AB91" s="161">
        <v>1447</v>
      </c>
      <c r="AC91" s="161">
        <v>450</v>
      </c>
      <c r="AD91" s="170">
        <v>0</v>
      </c>
      <c r="AE91" s="169">
        <v>0</v>
      </c>
      <c r="AF91" s="161">
        <v>0</v>
      </c>
      <c r="AG91" s="161">
        <v>0</v>
      </c>
      <c r="AH91" s="161">
        <v>0</v>
      </c>
      <c r="AI91" s="161">
        <v>6178</v>
      </c>
      <c r="AJ91" s="161">
        <v>3421</v>
      </c>
      <c r="AK91" s="161">
        <v>3510</v>
      </c>
      <c r="AL91" s="170">
        <v>972</v>
      </c>
      <c r="AM91" s="216">
        <v>479409</v>
      </c>
      <c r="AN91" s="161">
        <v>15</v>
      </c>
      <c r="AO91" s="219">
        <v>0</v>
      </c>
      <c r="AP91" s="161">
        <v>0</v>
      </c>
      <c r="AQ91" s="219">
        <v>0</v>
      </c>
      <c r="AR91" s="170">
        <v>0</v>
      </c>
    </row>
    <row r="92" spans="1:44" x14ac:dyDescent="0.3">
      <c r="A92" s="24">
        <v>815</v>
      </c>
      <c r="B92" s="24" t="s">
        <v>91</v>
      </c>
      <c r="C92" s="24" t="s">
        <v>346</v>
      </c>
      <c r="D92" s="160">
        <v>52166185.799999997</v>
      </c>
      <c r="E92" s="161">
        <v>33816</v>
      </c>
      <c r="F92" s="161">
        <v>31964</v>
      </c>
      <c r="G92" s="165">
        <v>-5.4766974213390163E-2</v>
      </c>
      <c r="H92" s="169">
        <v>46496</v>
      </c>
      <c r="I92" s="161">
        <v>46473</v>
      </c>
      <c r="J92" s="161">
        <v>0</v>
      </c>
      <c r="K92" s="170">
        <v>90</v>
      </c>
      <c r="L92" s="169">
        <v>30768</v>
      </c>
      <c r="M92" s="161">
        <v>31321</v>
      </c>
      <c r="N92" s="175">
        <v>1.7973218919999999E-2</v>
      </c>
      <c r="O92" s="161">
        <v>31708</v>
      </c>
      <c r="P92" s="176">
        <v>3.0551222039999999E-2</v>
      </c>
      <c r="Q92" s="182">
        <v>94.9</v>
      </c>
      <c r="R92" s="183">
        <v>3</v>
      </c>
      <c r="S92" s="183">
        <v>0.3</v>
      </c>
      <c r="T92" s="184">
        <v>98.2</v>
      </c>
      <c r="U92" s="169">
        <v>148</v>
      </c>
      <c r="V92" s="161">
        <v>1360</v>
      </c>
      <c r="W92" s="161">
        <v>16</v>
      </c>
      <c r="X92" s="161">
        <v>0</v>
      </c>
      <c r="Y92" s="161">
        <v>0</v>
      </c>
      <c r="Z92" s="161">
        <v>12098</v>
      </c>
      <c r="AA92" s="161">
        <v>19712</v>
      </c>
      <c r="AB92" s="161">
        <v>8042</v>
      </c>
      <c r="AC92" s="161">
        <v>2683</v>
      </c>
      <c r="AD92" s="170">
        <v>1579</v>
      </c>
      <c r="AE92" s="169">
        <v>224</v>
      </c>
      <c r="AF92" s="161">
        <v>91</v>
      </c>
      <c r="AG92" s="161">
        <v>0</v>
      </c>
      <c r="AH92" s="161">
        <v>1209</v>
      </c>
      <c r="AI92" s="161">
        <v>17901</v>
      </c>
      <c r="AJ92" s="161">
        <v>16713</v>
      </c>
      <c r="AK92" s="161">
        <v>8158</v>
      </c>
      <c r="AL92" s="170">
        <v>1342</v>
      </c>
      <c r="AM92" s="216">
        <v>1428798</v>
      </c>
      <c r="AN92" s="161">
        <v>240</v>
      </c>
      <c r="AO92" s="219">
        <v>0</v>
      </c>
      <c r="AP92" s="161">
        <v>0</v>
      </c>
      <c r="AQ92" s="219">
        <v>0</v>
      </c>
      <c r="AR92" s="170">
        <v>0</v>
      </c>
    </row>
    <row r="93" spans="1:44" x14ac:dyDescent="0.3">
      <c r="A93" s="24">
        <v>928</v>
      </c>
      <c r="B93" s="24" t="s">
        <v>92</v>
      </c>
      <c r="C93" s="24" t="s">
        <v>353</v>
      </c>
      <c r="D93" s="160">
        <v>84185321.579999998</v>
      </c>
      <c r="E93" s="161">
        <v>34432</v>
      </c>
      <c r="F93" s="161">
        <v>39499</v>
      </c>
      <c r="G93" s="165">
        <v>0.14715961895910779</v>
      </c>
      <c r="H93" s="169">
        <v>52240</v>
      </c>
      <c r="I93" s="161">
        <v>54295</v>
      </c>
      <c r="J93" s="161">
        <v>0</v>
      </c>
      <c r="K93" s="170">
        <v>180</v>
      </c>
      <c r="L93" s="169">
        <v>37504</v>
      </c>
      <c r="M93" s="161">
        <v>37519</v>
      </c>
      <c r="N93" s="175">
        <v>3.9995732999999998E-4</v>
      </c>
      <c r="O93" s="161">
        <v>38470</v>
      </c>
      <c r="P93" s="176">
        <v>2.5757252550000002E-2</v>
      </c>
      <c r="Q93" s="182">
        <v>83.4</v>
      </c>
      <c r="R93" s="183">
        <v>10.7</v>
      </c>
      <c r="S93" s="183">
        <v>2.8</v>
      </c>
      <c r="T93" s="184">
        <v>96.9</v>
      </c>
      <c r="U93" s="169">
        <v>0</v>
      </c>
      <c r="V93" s="161">
        <v>0</v>
      </c>
      <c r="W93" s="161">
        <v>0</v>
      </c>
      <c r="X93" s="161">
        <v>0</v>
      </c>
      <c r="Y93" s="161">
        <v>0</v>
      </c>
      <c r="Z93" s="161">
        <v>9979</v>
      </c>
      <c r="AA93" s="161">
        <v>21070</v>
      </c>
      <c r="AB93" s="161">
        <v>16392</v>
      </c>
      <c r="AC93" s="161">
        <v>5203</v>
      </c>
      <c r="AD93" s="170">
        <v>0</v>
      </c>
      <c r="AE93" s="169">
        <v>0</v>
      </c>
      <c r="AF93" s="161">
        <v>0</v>
      </c>
      <c r="AG93" s="161">
        <v>0</v>
      </c>
      <c r="AH93" s="161">
        <v>0</v>
      </c>
      <c r="AI93" s="161">
        <v>7777</v>
      </c>
      <c r="AJ93" s="161">
        <v>23953</v>
      </c>
      <c r="AK93" s="161">
        <v>20243</v>
      </c>
      <c r="AL93" s="170">
        <v>671</v>
      </c>
      <c r="AM93" s="216">
        <v>0</v>
      </c>
      <c r="AN93" s="161">
        <v>0</v>
      </c>
      <c r="AO93" s="219">
        <v>0</v>
      </c>
      <c r="AP93" s="161">
        <v>0</v>
      </c>
      <c r="AQ93" s="219">
        <v>0</v>
      </c>
      <c r="AR93" s="170">
        <v>0</v>
      </c>
    </row>
    <row r="94" spans="1:44" x14ac:dyDescent="0.3">
      <c r="A94" s="24">
        <v>929</v>
      </c>
      <c r="B94" s="24" t="s">
        <v>93</v>
      </c>
      <c r="C94" s="24" t="s">
        <v>352</v>
      </c>
      <c r="D94" s="160">
        <v>14118046.849999998</v>
      </c>
      <c r="E94" s="161">
        <v>16516</v>
      </c>
      <c r="F94" s="161">
        <v>16044</v>
      </c>
      <c r="G94" s="165">
        <v>-2.8578348268345821E-2</v>
      </c>
      <c r="H94" s="169">
        <v>27112</v>
      </c>
      <c r="I94" s="161">
        <v>23821</v>
      </c>
      <c r="J94" s="161">
        <v>0</v>
      </c>
      <c r="K94" s="170">
        <v>250</v>
      </c>
      <c r="L94" s="169">
        <v>15971</v>
      </c>
      <c r="M94" s="161">
        <v>16167</v>
      </c>
      <c r="N94" s="175">
        <v>1.227224344E-2</v>
      </c>
      <c r="O94" s="161">
        <v>16622</v>
      </c>
      <c r="P94" s="176">
        <v>4.076138E-2</v>
      </c>
      <c r="Q94" s="182">
        <v>98.5</v>
      </c>
      <c r="R94" s="183">
        <v>0.5</v>
      </c>
      <c r="S94" s="183">
        <v>0</v>
      </c>
      <c r="T94" s="184">
        <v>99</v>
      </c>
      <c r="U94" s="169">
        <v>0</v>
      </c>
      <c r="V94" s="161">
        <v>0</v>
      </c>
      <c r="W94" s="161">
        <v>0</v>
      </c>
      <c r="X94" s="161">
        <v>0</v>
      </c>
      <c r="Y94" s="161">
        <v>0</v>
      </c>
      <c r="Z94" s="161">
        <v>1756</v>
      </c>
      <c r="AA94" s="161">
        <v>9458</v>
      </c>
      <c r="AB94" s="161">
        <v>7246</v>
      </c>
      <c r="AC94" s="161">
        <v>5361</v>
      </c>
      <c r="AD94" s="170">
        <v>0</v>
      </c>
      <c r="AE94" s="169">
        <v>0</v>
      </c>
      <c r="AF94" s="161">
        <v>0</v>
      </c>
      <c r="AG94" s="161">
        <v>0</v>
      </c>
      <c r="AH94" s="161">
        <v>0</v>
      </c>
      <c r="AI94" s="161">
        <v>5784</v>
      </c>
      <c r="AJ94" s="161">
        <v>6290</v>
      </c>
      <c r="AK94" s="161">
        <v>6617</v>
      </c>
      <c r="AL94" s="170">
        <v>5130</v>
      </c>
      <c r="AM94" s="216">
        <v>0</v>
      </c>
      <c r="AN94" s="161">
        <v>0</v>
      </c>
      <c r="AO94" s="219">
        <v>0</v>
      </c>
      <c r="AP94" s="161">
        <v>0</v>
      </c>
      <c r="AQ94" s="219">
        <v>0</v>
      </c>
      <c r="AR94" s="170">
        <v>0</v>
      </c>
    </row>
    <row r="95" spans="1:44" x14ac:dyDescent="0.3">
      <c r="A95" s="24">
        <v>892</v>
      </c>
      <c r="B95" s="24" t="s">
        <v>94</v>
      </c>
      <c r="C95" s="24" t="s">
        <v>353</v>
      </c>
      <c r="D95" s="160">
        <v>47460874.220000006</v>
      </c>
      <c r="E95" s="161">
        <v>9089</v>
      </c>
      <c r="F95" s="161">
        <v>13740</v>
      </c>
      <c r="G95" s="165">
        <v>0.51171746066674006</v>
      </c>
      <c r="H95" s="169">
        <v>17666</v>
      </c>
      <c r="I95" s="161">
        <v>19185</v>
      </c>
      <c r="J95" s="161">
        <v>0</v>
      </c>
      <c r="K95" s="170">
        <v>0</v>
      </c>
      <c r="L95" s="169">
        <v>13011</v>
      </c>
      <c r="M95" s="161">
        <v>12993</v>
      </c>
      <c r="N95" s="175">
        <v>-1.3834447699999999E-3</v>
      </c>
      <c r="O95" s="161">
        <v>12888</v>
      </c>
      <c r="P95" s="176">
        <v>-9.45353931E-3</v>
      </c>
      <c r="Q95" s="182">
        <v>84.4</v>
      </c>
      <c r="R95" s="183">
        <v>8.9</v>
      </c>
      <c r="S95" s="183">
        <v>2.1</v>
      </c>
      <c r="T95" s="184">
        <v>95.4</v>
      </c>
      <c r="U95" s="169">
        <v>0</v>
      </c>
      <c r="V95" s="161">
        <v>100</v>
      </c>
      <c r="W95" s="161">
        <v>0</v>
      </c>
      <c r="X95" s="161">
        <v>0</v>
      </c>
      <c r="Y95" s="161">
        <v>0</v>
      </c>
      <c r="Z95" s="161">
        <v>2195</v>
      </c>
      <c r="AA95" s="161">
        <v>9750</v>
      </c>
      <c r="AB95" s="161">
        <v>970</v>
      </c>
      <c r="AC95" s="161">
        <v>2220</v>
      </c>
      <c r="AD95" s="170">
        <v>0</v>
      </c>
      <c r="AE95" s="169">
        <v>50</v>
      </c>
      <c r="AF95" s="161">
        <v>0</v>
      </c>
      <c r="AG95" s="161">
        <v>50</v>
      </c>
      <c r="AH95" s="161">
        <v>0</v>
      </c>
      <c r="AI95" s="161">
        <v>4195</v>
      </c>
      <c r="AJ95" s="161">
        <v>2300</v>
      </c>
      <c r="AK95" s="161">
        <v>8640</v>
      </c>
      <c r="AL95" s="170">
        <v>0</v>
      </c>
      <c r="AM95" s="216">
        <v>0</v>
      </c>
      <c r="AN95" s="161">
        <v>0</v>
      </c>
      <c r="AO95" s="219">
        <v>0</v>
      </c>
      <c r="AP95" s="161">
        <v>0</v>
      </c>
      <c r="AQ95" s="219">
        <v>0</v>
      </c>
      <c r="AR95" s="170">
        <v>0</v>
      </c>
    </row>
    <row r="96" spans="1:44" x14ac:dyDescent="0.3">
      <c r="A96" s="24">
        <v>891</v>
      </c>
      <c r="B96" s="24" t="s">
        <v>95</v>
      </c>
      <c r="C96" s="24" t="s">
        <v>353</v>
      </c>
      <c r="D96" s="160">
        <v>77333466.439999998</v>
      </c>
      <c r="E96" s="161">
        <v>43237</v>
      </c>
      <c r="F96" s="161">
        <v>40424</v>
      </c>
      <c r="G96" s="165">
        <v>-6.5060018040104528E-2</v>
      </c>
      <c r="H96" s="169">
        <v>57986</v>
      </c>
      <c r="I96" s="161">
        <v>58010</v>
      </c>
      <c r="J96" s="161">
        <v>211</v>
      </c>
      <c r="K96" s="170">
        <v>190</v>
      </c>
      <c r="L96" s="169">
        <v>39249</v>
      </c>
      <c r="M96" s="161">
        <v>39282</v>
      </c>
      <c r="N96" s="175">
        <v>8.4078574999999997E-4</v>
      </c>
      <c r="O96" s="161">
        <v>40432</v>
      </c>
      <c r="P96" s="176">
        <v>3.0140895300000001E-2</v>
      </c>
      <c r="Q96" s="182">
        <v>94.1</v>
      </c>
      <c r="R96" s="183">
        <v>3.2</v>
      </c>
      <c r="S96" s="183">
        <v>0.8</v>
      </c>
      <c r="T96" s="184">
        <v>98.2</v>
      </c>
      <c r="U96" s="169">
        <v>605</v>
      </c>
      <c r="V96" s="161">
        <v>255</v>
      </c>
      <c r="W96" s="161">
        <v>19</v>
      </c>
      <c r="X96" s="161">
        <v>0</v>
      </c>
      <c r="Y96" s="161">
        <v>0</v>
      </c>
      <c r="Z96" s="161">
        <v>11613</v>
      </c>
      <c r="AA96" s="161">
        <v>29554</v>
      </c>
      <c r="AB96" s="161">
        <v>10701</v>
      </c>
      <c r="AC96" s="161">
        <v>2743</v>
      </c>
      <c r="AD96" s="170">
        <v>0</v>
      </c>
      <c r="AE96" s="169">
        <v>188</v>
      </c>
      <c r="AF96" s="161">
        <v>578</v>
      </c>
      <c r="AG96" s="161">
        <v>113</v>
      </c>
      <c r="AH96" s="161">
        <v>0</v>
      </c>
      <c r="AI96" s="161">
        <v>10038</v>
      </c>
      <c r="AJ96" s="161">
        <v>20846</v>
      </c>
      <c r="AK96" s="161">
        <v>23727</v>
      </c>
      <c r="AL96" s="170">
        <v>0</v>
      </c>
      <c r="AM96" s="216">
        <v>400000</v>
      </c>
      <c r="AN96" s="161">
        <v>90</v>
      </c>
      <c r="AO96" s="219">
        <v>0</v>
      </c>
      <c r="AP96" s="161">
        <v>0</v>
      </c>
      <c r="AQ96" s="219">
        <v>0</v>
      </c>
      <c r="AR96" s="170">
        <v>0</v>
      </c>
    </row>
    <row r="97" spans="1:44" x14ac:dyDescent="0.3">
      <c r="A97" s="24">
        <v>353</v>
      </c>
      <c r="B97" s="24" t="s">
        <v>96</v>
      </c>
      <c r="C97" s="24" t="s">
        <v>350</v>
      </c>
      <c r="D97" s="160">
        <v>64117525.819999993</v>
      </c>
      <c r="E97" s="161">
        <v>15064</v>
      </c>
      <c r="F97" s="161">
        <v>16627</v>
      </c>
      <c r="G97" s="165">
        <v>0.10375730217737655</v>
      </c>
      <c r="H97" s="169">
        <v>17368</v>
      </c>
      <c r="I97" s="161">
        <v>17876</v>
      </c>
      <c r="J97" s="161">
        <v>150</v>
      </c>
      <c r="K97" s="170">
        <v>480</v>
      </c>
      <c r="L97" s="169">
        <v>14636</v>
      </c>
      <c r="M97" s="161">
        <v>14607</v>
      </c>
      <c r="N97" s="175">
        <v>-1.9814156800000001E-3</v>
      </c>
      <c r="O97" s="161">
        <v>14847</v>
      </c>
      <c r="P97" s="176">
        <v>1.4416507239999999E-2</v>
      </c>
      <c r="Q97" s="182">
        <v>82</v>
      </c>
      <c r="R97" s="183">
        <v>8.8000000000000007</v>
      </c>
      <c r="S97" s="183">
        <v>3</v>
      </c>
      <c r="T97" s="184">
        <v>93.8</v>
      </c>
      <c r="U97" s="169">
        <v>110</v>
      </c>
      <c r="V97" s="161">
        <v>0</v>
      </c>
      <c r="W97" s="161">
        <v>0</v>
      </c>
      <c r="X97" s="161">
        <v>0</v>
      </c>
      <c r="Y97" s="161">
        <v>0</v>
      </c>
      <c r="Z97" s="161">
        <v>1427</v>
      </c>
      <c r="AA97" s="161">
        <v>4189</v>
      </c>
      <c r="AB97" s="161">
        <v>8250</v>
      </c>
      <c r="AC97" s="161">
        <v>3000</v>
      </c>
      <c r="AD97" s="170">
        <v>0</v>
      </c>
      <c r="AE97" s="169">
        <v>110</v>
      </c>
      <c r="AF97" s="161">
        <v>0</v>
      </c>
      <c r="AG97" s="161">
        <v>0</v>
      </c>
      <c r="AH97" s="161">
        <v>0</v>
      </c>
      <c r="AI97" s="161">
        <v>3677</v>
      </c>
      <c r="AJ97" s="161">
        <v>2839</v>
      </c>
      <c r="AK97" s="161">
        <v>10350</v>
      </c>
      <c r="AL97" s="170">
        <v>0</v>
      </c>
      <c r="AM97" s="216">
        <v>2400000</v>
      </c>
      <c r="AN97" s="161">
        <v>110</v>
      </c>
      <c r="AO97" s="219">
        <v>0</v>
      </c>
      <c r="AP97" s="161">
        <v>0</v>
      </c>
      <c r="AQ97" s="219">
        <v>0</v>
      </c>
      <c r="AR97" s="170">
        <v>0</v>
      </c>
    </row>
    <row r="98" spans="1:44" x14ac:dyDescent="0.3">
      <c r="A98" s="24">
        <v>931</v>
      </c>
      <c r="B98" s="24" t="s">
        <v>97</v>
      </c>
      <c r="C98" s="24" t="s">
        <v>351</v>
      </c>
      <c r="D98" s="160">
        <v>71629206.950000003</v>
      </c>
      <c r="E98" s="161">
        <v>29470</v>
      </c>
      <c r="F98" s="161">
        <v>31019</v>
      </c>
      <c r="G98" s="165">
        <v>5.2561927383780072E-2</v>
      </c>
      <c r="H98" s="169">
        <v>42694</v>
      </c>
      <c r="I98" s="161">
        <v>46885</v>
      </c>
      <c r="J98" s="161">
        <v>2160</v>
      </c>
      <c r="K98" s="170">
        <v>30</v>
      </c>
      <c r="L98" s="169">
        <v>30124</v>
      </c>
      <c r="M98" s="161">
        <v>30209</v>
      </c>
      <c r="N98" s="175">
        <v>2.8216704200000001E-3</v>
      </c>
      <c r="O98" s="161">
        <v>30986</v>
      </c>
      <c r="P98" s="176">
        <v>2.861505776E-2</v>
      </c>
      <c r="Q98" s="182">
        <v>90.9</v>
      </c>
      <c r="R98" s="183">
        <v>5.6</v>
      </c>
      <c r="S98" s="183">
        <v>1.3</v>
      </c>
      <c r="T98" s="184">
        <v>97.8</v>
      </c>
      <c r="U98" s="169">
        <v>0</v>
      </c>
      <c r="V98" s="161">
        <v>2608</v>
      </c>
      <c r="W98" s="161">
        <v>0</v>
      </c>
      <c r="X98" s="161">
        <v>0</v>
      </c>
      <c r="Y98" s="161">
        <v>0</v>
      </c>
      <c r="Z98" s="161">
        <v>8500</v>
      </c>
      <c r="AA98" s="161">
        <v>29599</v>
      </c>
      <c r="AB98" s="161">
        <v>5066</v>
      </c>
      <c r="AC98" s="161">
        <v>0</v>
      </c>
      <c r="AD98" s="170">
        <v>0</v>
      </c>
      <c r="AE98" s="169">
        <v>0</v>
      </c>
      <c r="AF98" s="161">
        <v>2608</v>
      </c>
      <c r="AG98" s="161">
        <v>0</v>
      </c>
      <c r="AH98" s="161">
        <v>0</v>
      </c>
      <c r="AI98" s="161">
        <v>13131</v>
      </c>
      <c r="AJ98" s="161">
        <v>22766</v>
      </c>
      <c r="AK98" s="161">
        <v>7268</v>
      </c>
      <c r="AL98" s="170">
        <v>0</v>
      </c>
      <c r="AM98" s="216">
        <v>0</v>
      </c>
      <c r="AN98" s="161">
        <v>0</v>
      </c>
      <c r="AO98" s="219">
        <v>0</v>
      </c>
      <c r="AP98" s="161">
        <v>0</v>
      </c>
      <c r="AQ98" s="219">
        <v>0</v>
      </c>
      <c r="AR98" s="170">
        <v>0</v>
      </c>
    </row>
    <row r="99" spans="1:44" x14ac:dyDescent="0.3">
      <c r="A99" s="24">
        <v>874</v>
      </c>
      <c r="B99" s="24" t="s">
        <v>98</v>
      </c>
      <c r="C99" s="24" t="s">
        <v>348</v>
      </c>
      <c r="D99" s="160">
        <v>51953817.450000003</v>
      </c>
      <c r="E99" s="161">
        <v>8761</v>
      </c>
      <c r="F99" s="161">
        <v>12727</v>
      </c>
      <c r="G99" s="165">
        <v>0.45268804930943962</v>
      </c>
      <c r="H99" s="169">
        <v>14649</v>
      </c>
      <c r="I99" s="161">
        <v>16549</v>
      </c>
      <c r="J99" s="161">
        <v>0</v>
      </c>
      <c r="K99" s="170">
        <v>10</v>
      </c>
      <c r="L99" s="169">
        <v>11391</v>
      </c>
      <c r="M99" s="161">
        <v>11386</v>
      </c>
      <c r="N99" s="175">
        <v>-4.3894301999999999E-4</v>
      </c>
      <c r="O99" s="161">
        <v>11553</v>
      </c>
      <c r="P99" s="176">
        <v>1.422175401E-2</v>
      </c>
      <c r="Q99" s="182">
        <v>85.9</v>
      </c>
      <c r="R99" s="183">
        <v>9.9</v>
      </c>
      <c r="S99" s="183">
        <v>2.6</v>
      </c>
      <c r="T99" s="184">
        <v>98.3</v>
      </c>
      <c r="U99" s="169">
        <v>0</v>
      </c>
      <c r="V99" s="161">
        <v>0</v>
      </c>
      <c r="W99" s="161">
        <v>0</v>
      </c>
      <c r="X99" s="161">
        <v>0</v>
      </c>
      <c r="Y99" s="161">
        <v>0</v>
      </c>
      <c r="Z99" s="161">
        <v>2650</v>
      </c>
      <c r="AA99" s="161">
        <v>9887</v>
      </c>
      <c r="AB99" s="161">
        <v>1262</v>
      </c>
      <c r="AC99" s="161">
        <v>1650</v>
      </c>
      <c r="AD99" s="170">
        <v>0</v>
      </c>
      <c r="AE99" s="169">
        <v>0</v>
      </c>
      <c r="AF99" s="161">
        <v>0</v>
      </c>
      <c r="AG99" s="161">
        <v>0</v>
      </c>
      <c r="AH99" s="161">
        <v>0</v>
      </c>
      <c r="AI99" s="161">
        <v>4435</v>
      </c>
      <c r="AJ99" s="161">
        <v>4102</v>
      </c>
      <c r="AK99" s="161">
        <v>6912</v>
      </c>
      <c r="AL99" s="170">
        <v>0</v>
      </c>
      <c r="AM99" s="216">
        <v>17363733</v>
      </c>
      <c r="AN99" s="161">
        <v>1702</v>
      </c>
      <c r="AO99" s="219">
        <v>0</v>
      </c>
      <c r="AP99" s="161">
        <v>0</v>
      </c>
      <c r="AQ99" s="219">
        <v>4631579</v>
      </c>
      <c r="AR99" s="170">
        <v>200</v>
      </c>
    </row>
    <row r="100" spans="1:44" x14ac:dyDescent="0.3">
      <c r="A100" s="24">
        <v>879</v>
      </c>
      <c r="B100" s="24" t="s">
        <v>99</v>
      </c>
      <c r="C100" s="24" t="s">
        <v>347</v>
      </c>
      <c r="D100" s="160">
        <v>29103483.209999997</v>
      </c>
      <c r="E100" s="161">
        <v>14494</v>
      </c>
      <c r="F100" s="161">
        <v>13357</v>
      </c>
      <c r="G100" s="165">
        <v>-7.8446253622188489E-2</v>
      </c>
      <c r="H100" s="169">
        <v>18891</v>
      </c>
      <c r="I100" s="161">
        <v>20462</v>
      </c>
      <c r="J100" s="161">
        <v>160</v>
      </c>
      <c r="K100" s="170">
        <v>0</v>
      </c>
      <c r="L100" s="169">
        <v>13025</v>
      </c>
      <c r="M100" s="161">
        <v>13034</v>
      </c>
      <c r="N100" s="175">
        <v>6.9097888000000003E-4</v>
      </c>
      <c r="O100" s="161">
        <v>13256</v>
      </c>
      <c r="P100" s="176">
        <v>1.7735124759999998E-2</v>
      </c>
      <c r="Q100" s="182">
        <v>95.2</v>
      </c>
      <c r="R100" s="183">
        <v>3.4</v>
      </c>
      <c r="S100" s="183">
        <v>1.1000000000000001</v>
      </c>
      <c r="T100" s="184">
        <v>99.7</v>
      </c>
      <c r="U100" s="169">
        <v>0</v>
      </c>
      <c r="V100" s="161">
        <v>0</v>
      </c>
      <c r="W100" s="161">
        <v>0</v>
      </c>
      <c r="X100" s="161">
        <v>0</v>
      </c>
      <c r="Y100" s="161">
        <v>0</v>
      </c>
      <c r="Z100" s="161">
        <v>2340</v>
      </c>
      <c r="AA100" s="161">
        <v>12054</v>
      </c>
      <c r="AB100" s="161">
        <v>3889</v>
      </c>
      <c r="AC100" s="161">
        <v>0</v>
      </c>
      <c r="AD100" s="170">
        <v>0</v>
      </c>
      <c r="AE100" s="169">
        <v>0</v>
      </c>
      <c r="AF100" s="161">
        <v>0</v>
      </c>
      <c r="AG100" s="161">
        <v>0</v>
      </c>
      <c r="AH100" s="161">
        <v>0</v>
      </c>
      <c r="AI100" s="161">
        <v>2520</v>
      </c>
      <c r="AJ100" s="161">
        <v>8669</v>
      </c>
      <c r="AK100" s="161">
        <v>7094</v>
      </c>
      <c r="AL100" s="170">
        <v>0</v>
      </c>
      <c r="AM100" s="216">
        <v>0</v>
      </c>
      <c r="AN100" s="161">
        <v>0</v>
      </c>
      <c r="AO100" s="219">
        <v>0</v>
      </c>
      <c r="AP100" s="161">
        <v>0</v>
      </c>
      <c r="AQ100" s="219">
        <v>0</v>
      </c>
      <c r="AR100" s="170">
        <v>0</v>
      </c>
    </row>
    <row r="101" spans="1:44" x14ac:dyDescent="0.3">
      <c r="A101" s="24">
        <v>836</v>
      </c>
      <c r="B101" s="24" t="s">
        <v>100</v>
      </c>
      <c r="C101" s="24" t="s">
        <v>347</v>
      </c>
      <c r="D101" s="160">
        <v>25130205.629999999</v>
      </c>
      <c r="E101" s="161">
        <v>7477</v>
      </c>
      <c r="F101" s="161">
        <v>7088</v>
      </c>
      <c r="G101" s="165">
        <v>-5.2026213722081049E-2</v>
      </c>
      <c r="H101" s="169">
        <v>9266</v>
      </c>
      <c r="I101" s="161">
        <v>10397</v>
      </c>
      <c r="J101" s="161">
        <v>0</v>
      </c>
      <c r="K101" s="170">
        <v>0</v>
      </c>
      <c r="L101" s="169">
        <v>6873</v>
      </c>
      <c r="M101" s="161">
        <v>7012</v>
      </c>
      <c r="N101" s="175">
        <v>2.022406518E-2</v>
      </c>
      <c r="O101" s="161">
        <v>6970</v>
      </c>
      <c r="P101" s="176">
        <v>1.4113196559999999E-2</v>
      </c>
      <c r="Q101" s="182">
        <v>86.1</v>
      </c>
      <c r="R101" s="183">
        <v>8.1</v>
      </c>
      <c r="S101" s="183">
        <v>1.8</v>
      </c>
      <c r="T101" s="184">
        <v>96</v>
      </c>
      <c r="U101" s="169">
        <v>0</v>
      </c>
      <c r="V101" s="161">
        <v>17</v>
      </c>
      <c r="W101" s="161">
        <v>0</v>
      </c>
      <c r="X101" s="161">
        <v>0</v>
      </c>
      <c r="Y101" s="161">
        <v>0</v>
      </c>
      <c r="Z101" s="161">
        <v>2276</v>
      </c>
      <c r="AA101" s="161">
        <v>4190</v>
      </c>
      <c r="AB101" s="161">
        <v>2488</v>
      </c>
      <c r="AC101" s="161">
        <v>1100</v>
      </c>
      <c r="AD101" s="170">
        <v>0</v>
      </c>
      <c r="AE101" s="169">
        <v>17</v>
      </c>
      <c r="AF101" s="161">
        <v>0</v>
      </c>
      <c r="AG101" s="161">
        <v>0</v>
      </c>
      <c r="AH101" s="161">
        <v>0</v>
      </c>
      <c r="AI101" s="161">
        <v>3574</v>
      </c>
      <c r="AJ101" s="161">
        <v>5380</v>
      </c>
      <c r="AK101" s="161">
        <v>1100</v>
      </c>
      <c r="AL101" s="170">
        <v>0</v>
      </c>
      <c r="AM101" s="216">
        <v>1365227.6</v>
      </c>
      <c r="AN101" s="161">
        <v>963</v>
      </c>
      <c r="AO101" s="219">
        <v>0</v>
      </c>
      <c r="AP101" s="161">
        <v>0</v>
      </c>
      <c r="AQ101" s="219">
        <v>0</v>
      </c>
      <c r="AR101" s="170">
        <v>0</v>
      </c>
    </row>
    <row r="102" spans="1:44" x14ac:dyDescent="0.3">
      <c r="A102" s="24">
        <v>851</v>
      </c>
      <c r="B102" s="24" t="s">
        <v>101</v>
      </c>
      <c r="C102" s="24" t="s">
        <v>351</v>
      </c>
      <c r="D102" s="160">
        <v>20782258.300000001</v>
      </c>
      <c r="E102" s="161">
        <v>8728</v>
      </c>
      <c r="F102" s="161">
        <v>8640</v>
      </c>
      <c r="G102" s="165">
        <v>-1.0082493125572856E-2</v>
      </c>
      <c r="H102" s="169">
        <v>10310</v>
      </c>
      <c r="I102" s="161">
        <v>10376</v>
      </c>
      <c r="J102" s="161">
        <v>0</v>
      </c>
      <c r="K102" s="170">
        <v>0</v>
      </c>
      <c r="L102" s="169">
        <v>8251</v>
      </c>
      <c r="M102" s="161">
        <v>8219</v>
      </c>
      <c r="N102" s="175">
        <v>-3.87831777E-3</v>
      </c>
      <c r="O102" s="161">
        <v>8287</v>
      </c>
      <c r="P102" s="176">
        <v>4.3631075000000004E-3</v>
      </c>
      <c r="Q102" s="182">
        <v>86.5</v>
      </c>
      <c r="R102" s="183">
        <v>5.9</v>
      </c>
      <c r="S102" s="183">
        <v>1.8</v>
      </c>
      <c r="T102" s="184">
        <v>94.2</v>
      </c>
      <c r="U102" s="169">
        <v>0</v>
      </c>
      <c r="V102" s="161">
        <v>200</v>
      </c>
      <c r="W102" s="161">
        <v>0</v>
      </c>
      <c r="X102" s="161">
        <v>0</v>
      </c>
      <c r="Y102" s="161">
        <v>0</v>
      </c>
      <c r="Z102" s="161">
        <v>0</v>
      </c>
      <c r="AA102" s="161">
        <v>4741</v>
      </c>
      <c r="AB102" s="161">
        <v>2200</v>
      </c>
      <c r="AC102" s="161">
        <v>0</v>
      </c>
      <c r="AD102" s="170">
        <v>0</v>
      </c>
      <c r="AE102" s="169">
        <v>200</v>
      </c>
      <c r="AF102" s="161">
        <v>0</v>
      </c>
      <c r="AG102" s="161">
        <v>0</v>
      </c>
      <c r="AH102" s="161">
        <v>0</v>
      </c>
      <c r="AI102" s="161">
        <v>2661</v>
      </c>
      <c r="AJ102" s="161">
        <v>1080</v>
      </c>
      <c r="AK102" s="161">
        <v>3200</v>
      </c>
      <c r="AL102" s="170">
        <v>0</v>
      </c>
      <c r="AM102" s="216">
        <v>0</v>
      </c>
      <c r="AN102" s="161">
        <v>0</v>
      </c>
      <c r="AO102" s="219">
        <v>0</v>
      </c>
      <c r="AP102" s="161">
        <v>0</v>
      </c>
      <c r="AQ102" s="219">
        <v>0</v>
      </c>
      <c r="AR102" s="170">
        <v>0</v>
      </c>
    </row>
    <row r="103" spans="1:44" x14ac:dyDescent="0.3">
      <c r="A103" s="24">
        <v>870</v>
      </c>
      <c r="B103" s="24" t="s">
        <v>102</v>
      </c>
      <c r="C103" s="24" t="s">
        <v>351</v>
      </c>
      <c r="D103" s="160">
        <v>52747485.810000002</v>
      </c>
      <c r="E103" s="161">
        <v>4329</v>
      </c>
      <c r="F103" s="161">
        <v>6476</v>
      </c>
      <c r="G103" s="165">
        <v>0.49595749595749594</v>
      </c>
      <c r="H103" s="169">
        <v>7436</v>
      </c>
      <c r="I103" s="161">
        <v>8209</v>
      </c>
      <c r="J103" s="161">
        <v>1044</v>
      </c>
      <c r="K103" s="170">
        <v>0</v>
      </c>
      <c r="L103" s="169">
        <v>5505</v>
      </c>
      <c r="M103" s="161">
        <v>5513</v>
      </c>
      <c r="N103" s="175">
        <v>1.4532243400000001E-3</v>
      </c>
      <c r="O103" s="161">
        <v>5724</v>
      </c>
      <c r="P103" s="176">
        <v>3.9782016339999997E-2</v>
      </c>
      <c r="Q103" s="182">
        <v>78.3</v>
      </c>
      <c r="R103" s="183">
        <v>14.7</v>
      </c>
      <c r="S103" s="183">
        <v>3.2</v>
      </c>
      <c r="T103" s="184">
        <v>96.2</v>
      </c>
      <c r="U103" s="169">
        <v>0</v>
      </c>
      <c r="V103" s="161">
        <v>0</v>
      </c>
      <c r="W103" s="161">
        <v>0</v>
      </c>
      <c r="X103" s="161">
        <v>0</v>
      </c>
      <c r="Y103" s="161">
        <v>0</v>
      </c>
      <c r="Z103" s="161">
        <v>1677</v>
      </c>
      <c r="AA103" s="161">
        <v>3166</v>
      </c>
      <c r="AB103" s="161">
        <v>2706</v>
      </c>
      <c r="AC103" s="161">
        <v>0</v>
      </c>
      <c r="AD103" s="170">
        <v>0</v>
      </c>
      <c r="AE103" s="169">
        <v>0</v>
      </c>
      <c r="AF103" s="161">
        <v>0</v>
      </c>
      <c r="AG103" s="161">
        <v>0</v>
      </c>
      <c r="AH103" s="161">
        <v>0</v>
      </c>
      <c r="AI103" s="161">
        <v>3896</v>
      </c>
      <c r="AJ103" s="161">
        <v>1606</v>
      </c>
      <c r="AK103" s="161">
        <v>2047</v>
      </c>
      <c r="AL103" s="170">
        <v>0</v>
      </c>
      <c r="AM103" s="216">
        <v>700000</v>
      </c>
      <c r="AN103" s="161">
        <v>150</v>
      </c>
      <c r="AO103" s="219">
        <v>0</v>
      </c>
      <c r="AP103" s="161">
        <v>0</v>
      </c>
      <c r="AQ103" s="219">
        <v>0</v>
      </c>
      <c r="AR103" s="170">
        <v>0</v>
      </c>
    </row>
    <row r="104" spans="1:44" x14ac:dyDescent="0.3">
      <c r="A104" s="24">
        <v>317</v>
      </c>
      <c r="B104" s="24" t="s">
        <v>103</v>
      </c>
      <c r="C104" s="24" t="s">
        <v>345</v>
      </c>
      <c r="D104" s="160">
        <v>179718160.49000001</v>
      </c>
      <c r="E104" s="161">
        <v>16417</v>
      </c>
      <c r="F104" s="161">
        <v>19560</v>
      </c>
      <c r="G104" s="165">
        <v>0.19144788938295676</v>
      </c>
      <c r="H104" s="169">
        <v>20590</v>
      </c>
      <c r="I104" s="161">
        <v>25691</v>
      </c>
      <c r="J104" s="161">
        <v>900</v>
      </c>
      <c r="K104" s="170">
        <v>0</v>
      </c>
      <c r="L104" s="169">
        <v>17525</v>
      </c>
      <c r="M104" s="161">
        <v>17399</v>
      </c>
      <c r="N104" s="175">
        <v>-7.1897289499999999E-3</v>
      </c>
      <c r="O104" s="161">
        <v>17772</v>
      </c>
      <c r="P104" s="176">
        <v>1.4094151209999999E-2</v>
      </c>
      <c r="Q104" s="182">
        <v>68.3</v>
      </c>
      <c r="R104" s="183">
        <v>13.4</v>
      </c>
      <c r="S104" s="183">
        <v>6.3</v>
      </c>
      <c r="T104" s="184">
        <v>88</v>
      </c>
      <c r="U104" s="169">
        <v>0</v>
      </c>
      <c r="V104" s="161">
        <v>1260</v>
      </c>
      <c r="W104" s="161">
        <v>0</v>
      </c>
      <c r="X104" s="161">
        <v>0</v>
      </c>
      <c r="Y104" s="161">
        <v>0</v>
      </c>
      <c r="Z104" s="161">
        <v>14455</v>
      </c>
      <c r="AA104" s="161">
        <v>7293</v>
      </c>
      <c r="AB104" s="161">
        <v>2683</v>
      </c>
      <c r="AC104" s="161">
        <v>0</v>
      </c>
      <c r="AD104" s="170">
        <v>0</v>
      </c>
      <c r="AE104" s="169">
        <v>0</v>
      </c>
      <c r="AF104" s="161">
        <v>1260</v>
      </c>
      <c r="AG104" s="161">
        <v>0</v>
      </c>
      <c r="AH104" s="161">
        <v>0</v>
      </c>
      <c r="AI104" s="161">
        <v>15226</v>
      </c>
      <c r="AJ104" s="161">
        <v>7955</v>
      </c>
      <c r="AK104" s="161">
        <v>0</v>
      </c>
      <c r="AL104" s="170">
        <v>1250</v>
      </c>
      <c r="AM104" s="216">
        <v>49467400</v>
      </c>
      <c r="AN104" s="161">
        <v>2100</v>
      </c>
      <c r="AO104" s="219">
        <v>30000</v>
      </c>
      <c r="AP104" s="161">
        <v>30</v>
      </c>
      <c r="AQ104" s="219">
        <v>13264490</v>
      </c>
      <c r="AR104" s="170">
        <v>643</v>
      </c>
    </row>
    <row r="105" spans="1:44" x14ac:dyDescent="0.3">
      <c r="A105" s="24">
        <v>807</v>
      </c>
      <c r="B105" s="24" t="s">
        <v>104</v>
      </c>
      <c r="C105" s="24" t="s">
        <v>352</v>
      </c>
      <c r="D105" s="160">
        <v>3407470.86</v>
      </c>
      <c r="E105" s="161">
        <v>9132</v>
      </c>
      <c r="F105" s="161">
        <v>7976</v>
      </c>
      <c r="G105" s="165">
        <v>-0.12658782303985983</v>
      </c>
      <c r="H105" s="169">
        <v>11503</v>
      </c>
      <c r="I105" s="161">
        <v>9986</v>
      </c>
      <c r="J105" s="161">
        <v>0</v>
      </c>
      <c r="K105" s="170">
        <v>30</v>
      </c>
      <c r="L105" s="169">
        <v>7941</v>
      </c>
      <c r="M105" s="161">
        <v>8059</v>
      </c>
      <c r="N105" s="175">
        <v>1.485958947E-2</v>
      </c>
      <c r="O105" s="161">
        <v>8005</v>
      </c>
      <c r="P105" s="176">
        <v>8.0594383499999998E-3</v>
      </c>
      <c r="Q105" s="182">
        <v>95.2</v>
      </c>
      <c r="R105" s="183">
        <v>3</v>
      </c>
      <c r="S105" s="183">
        <v>0.1</v>
      </c>
      <c r="T105" s="184">
        <v>98.2</v>
      </c>
      <c r="U105" s="169">
        <v>0</v>
      </c>
      <c r="V105" s="161">
        <v>0</v>
      </c>
      <c r="W105" s="161">
        <v>0</v>
      </c>
      <c r="X105" s="161">
        <v>0</v>
      </c>
      <c r="Y105" s="161">
        <v>0</v>
      </c>
      <c r="Z105" s="161">
        <v>2512</v>
      </c>
      <c r="AA105" s="161">
        <v>3637</v>
      </c>
      <c r="AB105" s="161">
        <v>2131</v>
      </c>
      <c r="AC105" s="161">
        <v>0</v>
      </c>
      <c r="AD105" s="170">
        <v>0</v>
      </c>
      <c r="AE105" s="169">
        <v>0</v>
      </c>
      <c r="AF105" s="161">
        <v>0</v>
      </c>
      <c r="AG105" s="161">
        <v>0</v>
      </c>
      <c r="AH105" s="161">
        <v>0</v>
      </c>
      <c r="AI105" s="161">
        <v>0</v>
      </c>
      <c r="AJ105" s="161">
        <v>3600</v>
      </c>
      <c r="AK105" s="161">
        <v>4680</v>
      </c>
      <c r="AL105" s="170">
        <v>0</v>
      </c>
      <c r="AM105" s="216">
        <v>0</v>
      </c>
      <c r="AN105" s="161">
        <v>0</v>
      </c>
      <c r="AO105" s="219">
        <v>0</v>
      </c>
      <c r="AP105" s="161">
        <v>0</v>
      </c>
      <c r="AQ105" s="219">
        <v>0</v>
      </c>
      <c r="AR105" s="170">
        <v>0</v>
      </c>
    </row>
    <row r="106" spans="1:44" x14ac:dyDescent="0.3">
      <c r="A106" s="24">
        <v>318</v>
      </c>
      <c r="B106" s="24" t="s">
        <v>105</v>
      </c>
      <c r="C106" s="24" t="s">
        <v>345</v>
      </c>
      <c r="D106" s="160">
        <v>45873037.07</v>
      </c>
      <c r="E106" s="161">
        <v>6661</v>
      </c>
      <c r="F106" s="161">
        <v>8329</v>
      </c>
      <c r="G106" s="165">
        <v>0.2504128509232848</v>
      </c>
      <c r="H106" s="169">
        <v>7922</v>
      </c>
      <c r="I106" s="161">
        <v>9198</v>
      </c>
      <c r="J106" s="161">
        <v>300</v>
      </c>
      <c r="K106" s="170">
        <v>50</v>
      </c>
      <c r="L106" s="169">
        <v>7222</v>
      </c>
      <c r="M106" s="161">
        <v>7537</v>
      </c>
      <c r="N106" s="175">
        <v>4.3616726660000001E-2</v>
      </c>
      <c r="O106" s="161">
        <v>7361</v>
      </c>
      <c r="P106" s="176">
        <v>1.9246746049999999E-2</v>
      </c>
      <c r="Q106" s="182">
        <v>67.400000000000006</v>
      </c>
      <c r="R106" s="183">
        <v>11.9</v>
      </c>
      <c r="S106" s="183">
        <v>6.9</v>
      </c>
      <c r="T106" s="184">
        <v>86.2</v>
      </c>
      <c r="U106" s="169">
        <v>163</v>
      </c>
      <c r="V106" s="161">
        <v>0</v>
      </c>
      <c r="W106" s="161">
        <v>0</v>
      </c>
      <c r="X106" s="161">
        <v>0</v>
      </c>
      <c r="Y106" s="161">
        <v>0</v>
      </c>
      <c r="Z106" s="161">
        <v>3950</v>
      </c>
      <c r="AA106" s="161">
        <v>3060</v>
      </c>
      <c r="AB106" s="161">
        <v>2025</v>
      </c>
      <c r="AC106" s="161">
        <v>0</v>
      </c>
      <c r="AD106" s="170">
        <v>0</v>
      </c>
      <c r="AE106" s="169">
        <v>163</v>
      </c>
      <c r="AF106" s="161">
        <v>0</v>
      </c>
      <c r="AG106" s="161">
        <v>0</v>
      </c>
      <c r="AH106" s="161">
        <v>0</v>
      </c>
      <c r="AI106" s="161">
        <v>3200</v>
      </c>
      <c r="AJ106" s="161">
        <v>4035</v>
      </c>
      <c r="AK106" s="161">
        <v>1050</v>
      </c>
      <c r="AL106" s="170">
        <v>750</v>
      </c>
      <c r="AM106" s="216">
        <v>2727900</v>
      </c>
      <c r="AN106" s="161">
        <v>150</v>
      </c>
      <c r="AO106" s="219">
        <v>0</v>
      </c>
      <c r="AP106" s="161">
        <v>0</v>
      </c>
      <c r="AQ106" s="219">
        <v>0</v>
      </c>
      <c r="AR106" s="170">
        <v>0</v>
      </c>
    </row>
    <row r="107" spans="1:44" x14ac:dyDescent="0.3">
      <c r="A107" s="24">
        <v>354</v>
      </c>
      <c r="B107" s="24" t="s">
        <v>106</v>
      </c>
      <c r="C107" s="24" t="s">
        <v>350</v>
      </c>
      <c r="D107" s="160">
        <v>34602030.880000003</v>
      </c>
      <c r="E107" s="161">
        <v>11900</v>
      </c>
      <c r="F107" s="161">
        <v>12220</v>
      </c>
      <c r="G107" s="165">
        <v>2.6890756302520913E-2</v>
      </c>
      <c r="H107" s="169">
        <v>15361</v>
      </c>
      <c r="I107" s="161">
        <v>13363</v>
      </c>
      <c r="J107" s="161">
        <v>560</v>
      </c>
      <c r="K107" s="170">
        <v>0</v>
      </c>
      <c r="L107" s="169">
        <v>11538</v>
      </c>
      <c r="M107" s="161">
        <v>11477</v>
      </c>
      <c r="N107" s="175">
        <v>-5.2868781400000004E-3</v>
      </c>
      <c r="O107" s="161">
        <v>11468</v>
      </c>
      <c r="P107" s="176">
        <v>-6.06690934E-3</v>
      </c>
      <c r="Q107" s="182">
        <v>90.9</v>
      </c>
      <c r="R107" s="183">
        <v>5.9</v>
      </c>
      <c r="S107" s="183">
        <v>0.9</v>
      </c>
      <c r="T107" s="184">
        <v>97.7</v>
      </c>
      <c r="U107" s="169">
        <v>0</v>
      </c>
      <c r="V107" s="161">
        <v>0</v>
      </c>
      <c r="W107" s="161">
        <v>0</v>
      </c>
      <c r="X107" s="161">
        <v>0</v>
      </c>
      <c r="Y107" s="161">
        <v>0</v>
      </c>
      <c r="Z107" s="161">
        <v>2557</v>
      </c>
      <c r="AA107" s="161">
        <v>7796</v>
      </c>
      <c r="AB107" s="161">
        <v>3010</v>
      </c>
      <c r="AC107" s="161">
        <v>0</v>
      </c>
      <c r="AD107" s="170">
        <v>0</v>
      </c>
      <c r="AE107" s="169">
        <v>0</v>
      </c>
      <c r="AF107" s="161">
        <v>0</v>
      </c>
      <c r="AG107" s="161">
        <v>0</v>
      </c>
      <c r="AH107" s="161">
        <v>0</v>
      </c>
      <c r="AI107" s="161">
        <v>3757</v>
      </c>
      <c r="AJ107" s="161">
        <v>3296</v>
      </c>
      <c r="AK107" s="161">
        <v>6310</v>
      </c>
      <c r="AL107" s="170">
        <v>0</v>
      </c>
      <c r="AM107" s="216">
        <v>0</v>
      </c>
      <c r="AN107" s="161">
        <v>0</v>
      </c>
      <c r="AO107" s="219">
        <v>0</v>
      </c>
      <c r="AP107" s="161">
        <v>0</v>
      </c>
      <c r="AQ107" s="219">
        <v>0</v>
      </c>
      <c r="AR107" s="170">
        <v>0</v>
      </c>
    </row>
    <row r="108" spans="1:44" x14ac:dyDescent="0.3">
      <c r="A108" s="24">
        <v>372</v>
      </c>
      <c r="B108" s="24" t="s">
        <v>107</v>
      </c>
      <c r="C108" s="24" t="s">
        <v>346</v>
      </c>
      <c r="D108" s="160">
        <v>21591838.600000001</v>
      </c>
      <c r="E108" s="161">
        <v>16336</v>
      </c>
      <c r="F108" s="161">
        <v>16463</v>
      </c>
      <c r="G108" s="165">
        <v>7.7742409402545842E-3</v>
      </c>
      <c r="H108" s="169">
        <v>20245</v>
      </c>
      <c r="I108" s="161">
        <v>20346</v>
      </c>
      <c r="J108" s="161">
        <v>225</v>
      </c>
      <c r="K108" s="170">
        <v>180</v>
      </c>
      <c r="L108" s="169">
        <v>16104</v>
      </c>
      <c r="M108" s="161">
        <v>16313</v>
      </c>
      <c r="N108" s="175">
        <v>1.297814207E-2</v>
      </c>
      <c r="O108" s="161">
        <v>16038</v>
      </c>
      <c r="P108" s="176">
        <v>-4.0983606499999997E-3</v>
      </c>
      <c r="Q108" s="182">
        <v>95.1</v>
      </c>
      <c r="R108" s="183">
        <v>3.3</v>
      </c>
      <c r="S108" s="183">
        <v>0.4</v>
      </c>
      <c r="T108" s="184">
        <v>98.8</v>
      </c>
      <c r="U108" s="169">
        <v>0</v>
      </c>
      <c r="V108" s="161">
        <v>50</v>
      </c>
      <c r="W108" s="161">
        <v>0</v>
      </c>
      <c r="X108" s="161">
        <v>0</v>
      </c>
      <c r="Y108" s="161">
        <v>0</v>
      </c>
      <c r="Z108" s="161">
        <v>2623</v>
      </c>
      <c r="AA108" s="161">
        <v>14503</v>
      </c>
      <c r="AB108" s="161">
        <v>845</v>
      </c>
      <c r="AC108" s="161">
        <v>1250</v>
      </c>
      <c r="AD108" s="170">
        <v>0</v>
      </c>
      <c r="AE108" s="169">
        <v>50</v>
      </c>
      <c r="AF108" s="161">
        <v>0</v>
      </c>
      <c r="AG108" s="161">
        <v>0</v>
      </c>
      <c r="AH108" s="161">
        <v>0</v>
      </c>
      <c r="AI108" s="161">
        <v>7054</v>
      </c>
      <c r="AJ108" s="161">
        <v>4021</v>
      </c>
      <c r="AK108" s="161">
        <v>8146</v>
      </c>
      <c r="AL108" s="170">
        <v>0</v>
      </c>
      <c r="AM108" s="216">
        <v>0</v>
      </c>
      <c r="AN108" s="161">
        <v>0</v>
      </c>
      <c r="AO108" s="219">
        <v>0</v>
      </c>
      <c r="AP108" s="161">
        <v>0</v>
      </c>
      <c r="AQ108" s="219">
        <v>0</v>
      </c>
      <c r="AR108" s="170">
        <v>0</v>
      </c>
    </row>
    <row r="109" spans="1:44" x14ac:dyDescent="0.3">
      <c r="A109" s="24">
        <v>857</v>
      </c>
      <c r="B109" s="24" t="s">
        <v>108</v>
      </c>
      <c r="C109" s="24" t="s">
        <v>353</v>
      </c>
      <c r="D109" s="160">
        <v>4283834.41</v>
      </c>
      <c r="E109" s="161">
        <v>2377</v>
      </c>
      <c r="F109" s="161">
        <v>2701</v>
      </c>
      <c r="G109" s="165">
        <v>0.13630626840555315</v>
      </c>
      <c r="H109" s="169">
        <v>2751</v>
      </c>
      <c r="I109" s="161">
        <v>3144</v>
      </c>
      <c r="J109" s="161">
        <v>130</v>
      </c>
      <c r="K109" s="170">
        <v>0</v>
      </c>
      <c r="L109" s="169">
        <v>2501</v>
      </c>
      <c r="M109" s="161">
        <v>2531</v>
      </c>
      <c r="N109" s="175">
        <v>1.1995201909999999E-2</v>
      </c>
      <c r="O109" s="161">
        <v>2498</v>
      </c>
      <c r="P109" s="176">
        <v>-1.19952019E-3</v>
      </c>
      <c r="Q109" s="182">
        <v>91.8</v>
      </c>
      <c r="R109" s="183">
        <v>5.2</v>
      </c>
      <c r="S109" s="183">
        <v>0.6</v>
      </c>
      <c r="T109" s="184">
        <v>97.6</v>
      </c>
      <c r="U109" s="169">
        <v>0</v>
      </c>
      <c r="V109" s="161">
        <v>0</v>
      </c>
      <c r="W109" s="161">
        <v>0</v>
      </c>
      <c r="X109" s="161">
        <v>0</v>
      </c>
      <c r="Y109" s="161">
        <v>0</v>
      </c>
      <c r="Z109" s="161">
        <v>900</v>
      </c>
      <c r="AA109" s="161">
        <v>915</v>
      </c>
      <c r="AB109" s="161">
        <v>1329</v>
      </c>
      <c r="AC109" s="161">
        <v>0</v>
      </c>
      <c r="AD109" s="170">
        <v>0</v>
      </c>
      <c r="AE109" s="169">
        <v>0</v>
      </c>
      <c r="AF109" s="161">
        <v>0</v>
      </c>
      <c r="AG109" s="161">
        <v>0</v>
      </c>
      <c r="AH109" s="161">
        <v>0</v>
      </c>
      <c r="AI109" s="161">
        <v>900</v>
      </c>
      <c r="AJ109" s="161">
        <v>2244</v>
      </c>
      <c r="AK109" s="161">
        <v>0</v>
      </c>
      <c r="AL109" s="170">
        <v>0</v>
      </c>
      <c r="AM109" s="216">
        <v>0</v>
      </c>
      <c r="AN109" s="161">
        <v>0</v>
      </c>
      <c r="AO109" s="219">
        <v>0</v>
      </c>
      <c r="AP109" s="161">
        <v>0</v>
      </c>
      <c r="AQ109" s="219">
        <v>0</v>
      </c>
      <c r="AR109" s="170">
        <v>0</v>
      </c>
    </row>
    <row r="110" spans="1:44" x14ac:dyDescent="0.3">
      <c r="A110" s="24">
        <v>355</v>
      </c>
      <c r="B110" s="24" t="s">
        <v>109</v>
      </c>
      <c r="C110" s="24" t="s">
        <v>350</v>
      </c>
      <c r="D110" s="160">
        <v>48479140.18</v>
      </c>
      <c r="E110" s="161">
        <v>9738</v>
      </c>
      <c r="F110" s="161">
        <v>10856</v>
      </c>
      <c r="G110" s="165">
        <v>0.11480796878209087</v>
      </c>
      <c r="H110" s="169">
        <v>13153</v>
      </c>
      <c r="I110" s="161">
        <v>12450</v>
      </c>
      <c r="J110" s="161">
        <v>250</v>
      </c>
      <c r="K110" s="170">
        <v>0</v>
      </c>
      <c r="L110" s="169">
        <v>10300</v>
      </c>
      <c r="M110" s="161">
        <v>10270</v>
      </c>
      <c r="N110" s="175">
        <v>-2.9126213500000001E-3</v>
      </c>
      <c r="O110" s="161">
        <v>10191</v>
      </c>
      <c r="P110" s="176">
        <v>-1.0582524269999999E-2</v>
      </c>
      <c r="Q110" s="182">
        <v>82</v>
      </c>
      <c r="R110" s="183">
        <v>7.7</v>
      </c>
      <c r="S110" s="183">
        <v>1.9</v>
      </c>
      <c r="T110" s="184">
        <v>91.6</v>
      </c>
      <c r="U110" s="169">
        <v>0</v>
      </c>
      <c r="V110" s="161">
        <v>0</v>
      </c>
      <c r="W110" s="161">
        <v>0</v>
      </c>
      <c r="X110" s="161">
        <v>0</v>
      </c>
      <c r="Y110" s="161">
        <v>0</v>
      </c>
      <c r="Z110" s="161">
        <v>1950</v>
      </c>
      <c r="AA110" s="161">
        <v>5250</v>
      </c>
      <c r="AB110" s="161">
        <v>2425</v>
      </c>
      <c r="AC110" s="161">
        <v>2825</v>
      </c>
      <c r="AD110" s="170">
        <v>0</v>
      </c>
      <c r="AE110" s="169">
        <v>0</v>
      </c>
      <c r="AF110" s="161">
        <v>0</v>
      </c>
      <c r="AG110" s="161">
        <v>0</v>
      </c>
      <c r="AH110" s="161">
        <v>0</v>
      </c>
      <c r="AI110" s="161">
        <v>900</v>
      </c>
      <c r="AJ110" s="161">
        <v>4475</v>
      </c>
      <c r="AK110" s="161">
        <v>7075</v>
      </c>
      <c r="AL110" s="170">
        <v>0</v>
      </c>
      <c r="AM110" s="216">
        <v>0</v>
      </c>
      <c r="AN110" s="161">
        <v>0</v>
      </c>
      <c r="AO110" s="219">
        <v>0</v>
      </c>
      <c r="AP110" s="161">
        <v>0</v>
      </c>
      <c r="AQ110" s="219">
        <v>0</v>
      </c>
      <c r="AR110" s="170">
        <v>0</v>
      </c>
    </row>
    <row r="111" spans="1:44" x14ac:dyDescent="0.3">
      <c r="A111" s="24">
        <v>333</v>
      </c>
      <c r="B111" s="24" t="s">
        <v>110</v>
      </c>
      <c r="C111" s="24" t="s">
        <v>349</v>
      </c>
      <c r="D111" s="160">
        <v>80736271.629999995</v>
      </c>
      <c r="E111" s="161">
        <v>13080</v>
      </c>
      <c r="F111" s="161">
        <v>19314</v>
      </c>
      <c r="G111" s="165">
        <v>0.476605504587156</v>
      </c>
      <c r="H111" s="169">
        <v>21792</v>
      </c>
      <c r="I111" s="161">
        <v>22859</v>
      </c>
      <c r="J111" s="161">
        <v>1450</v>
      </c>
      <c r="K111" s="170">
        <v>140</v>
      </c>
      <c r="L111" s="169">
        <v>17755</v>
      </c>
      <c r="M111" s="161">
        <v>17687</v>
      </c>
      <c r="N111" s="175">
        <v>-3.8299070600000002E-3</v>
      </c>
      <c r="O111" s="161">
        <v>17548</v>
      </c>
      <c r="P111" s="176">
        <v>-1.1658687690000001E-2</v>
      </c>
      <c r="Q111" s="182">
        <v>75</v>
      </c>
      <c r="R111" s="183">
        <v>10.6</v>
      </c>
      <c r="S111" s="183">
        <v>4.7</v>
      </c>
      <c r="T111" s="184">
        <v>90.3</v>
      </c>
      <c r="U111" s="169">
        <v>0</v>
      </c>
      <c r="V111" s="161">
        <v>394</v>
      </c>
      <c r="W111" s="161">
        <v>78</v>
      </c>
      <c r="X111" s="161">
        <v>0</v>
      </c>
      <c r="Y111" s="161">
        <v>0</v>
      </c>
      <c r="Z111" s="161">
        <v>3990</v>
      </c>
      <c r="AA111" s="161">
        <v>7940</v>
      </c>
      <c r="AB111" s="161">
        <v>7850</v>
      </c>
      <c r="AC111" s="161">
        <v>1438</v>
      </c>
      <c r="AD111" s="170">
        <v>0</v>
      </c>
      <c r="AE111" s="169">
        <v>394</v>
      </c>
      <c r="AF111" s="161">
        <v>78</v>
      </c>
      <c r="AG111" s="161">
        <v>0</v>
      </c>
      <c r="AH111" s="161">
        <v>0</v>
      </c>
      <c r="AI111" s="161">
        <v>2300</v>
      </c>
      <c r="AJ111" s="161">
        <v>11977</v>
      </c>
      <c r="AK111" s="161">
        <v>6941</v>
      </c>
      <c r="AL111" s="170">
        <v>0</v>
      </c>
      <c r="AM111" s="216">
        <v>0</v>
      </c>
      <c r="AN111" s="161">
        <v>0</v>
      </c>
      <c r="AO111" s="219">
        <v>0</v>
      </c>
      <c r="AP111" s="161">
        <v>0</v>
      </c>
      <c r="AQ111" s="219">
        <v>0</v>
      </c>
      <c r="AR111" s="170">
        <v>0</v>
      </c>
    </row>
    <row r="112" spans="1:44" x14ac:dyDescent="0.3">
      <c r="A112" s="24">
        <v>343</v>
      </c>
      <c r="B112" s="24" t="s">
        <v>111</v>
      </c>
      <c r="C112" s="24" t="s">
        <v>350</v>
      </c>
      <c r="D112" s="160">
        <v>6976748.3499999996</v>
      </c>
      <c r="E112" s="161">
        <v>16760</v>
      </c>
      <c r="F112" s="161">
        <v>14591</v>
      </c>
      <c r="G112" s="165">
        <v>-0.12941527446300716</v>
      </c>
      <c r="H112" s="169">
        <v>21574</v>
      </c>
      <c r="I112" s="161">
        <v>19888</v>
      </c>
      <c r="J112" s="161">
        <v>0</v>
      </c>
      <c r="K112" s="170">
        <v>0</v>
      </c>
      <c r="L112" s="169">
        <v>14811</v>
      </c>
      <c r="M112" s="161">
        <v>14972</v>
      </c>
      <c r="N112" s="175">
        <v>1.08702991E-2</v>
      </c>
      <c r="O112" s="161">
        <v>15373</v>
      </c>
      <c r="P112" s="176">
        <v>3.7944770769999997E-2</v>
      </c>
      <c r="Q112" s="182">
        <v>92.2</v>
      </c>
      <c r="R112" s="183">
        <v>4.8</v>
      </c>
      <c r="S112" s="183">
        <v>0.6</v>
      </c>
      <c r="T112" s="184">
        <v>97.6</v>
      </c>
      <c r="U112" s="169">
        <v>0</v>
      </c>
      <c r="V112" s="161">
        <v>20</v>
      </c>
      <c r="W112" s="161">
        <v>48</v>
      </c>
      <c r="X112" s="161">
        <v>0</v>
      </c>
      <c r="Y112" s="161">
        <v>0</v>
      </c>
      <c r="Z112" s="161">
        <v>3998</v>
      </c>
      <c r="AA112" s="161">
        <v>7443</v>
      </c>
      <c r="AB112" s="161">
        <v>4745</v>
      </c>
      <c r="AC112" s="161">
        <v>0</v>
      </c>
      <c r="AD112" s="170">
        <v>0</v>
      </c>
      <c r="AE112" s="169">
        <v>20</v>
      </c>
      <c r="AF112" s="161">
        <v>0</v>
      </c>
      <c r="AG112" s="161">
        <v>48</v>
      </c>
      <c r="AH112" s="161">
        <v>0</v>
      </c>
      <c r="AI112" s="161">
        <v>2720</v>
      </c>
      <c r="AJ112" s="161">
        <v>6041</v>
      </c>
      <c r="AK112" s="161">
        <v>7425</v>
      </c>
      <c r="AL112" s="170">
        <v>0</v>
      </c>
      <c r="AM112" s="216">
        <v>0</v>
      </c>
      <c r="AN112" s="161">
        <v>0</v>
      </c>
      <c r="AO112" s="219">
        <v>0</v>
      </c>
      <c r="AP112" s="161">
        <v>0</v>
      </c>
      <c r="AQ112" s="219">
        <v>0</v>
      </c>
      <c r="AR112" s="170">
        <v>0</v>
      </c>
    </row>
    <row r="113" spans="1:44" x14ac:dyDescent="0.3">
      <c r="A113" s="24">
        <v>373</v>
      </c>
      <c r="B113" s="24" t="s">
        <v>112</v>
      </c>
      <c r="C113" s="24" t="s">
        <v>346</v>
      </c>
      <c r="D113" s="160">
        <v>101285039.16</v>
      </c>
      <c r="E113" s="161">
        <v>24753</v>
      </c>
      <c r="F113" s="161">
        <v>27220</v>
      </c>
      <c r="G113" s="165">
        <v>9.9664687108633299E-2</v>
      </c>
      <c r="H113" s="169">
        <v>31313</v>
      </c>
      <c r="I113" s="161">
        <v>31910</v>
      </c>
      <c r="J113" s="161">
        <v>1050</v>
      </c>
      <c r="K113" s="170">
        <v>680</v>
      </c>
      <c r="L113" s="169">
        <v>25784</v>
      </c>
      <c r="M113" s="161">
        <v>25954</v>
      </c>
      <c r="N113" s="175">
        <v>6.5932361100000001E-3</v>
      </c>
      <c r="O113" s="161">
        <v>26218</v>
      </c>
      <c r="P113" s="176">
        <v>1.683214396E-2</v>
      </c>
      <c r="Q113" s="182">
        <v>86.6</v>
      </c>
      <c r="R113" s="183">
        <v>6.4</v>
      </c>
      <c r="S113" s="183">
        <v>1.4</v>
      </c>
      <c r="T113" s="184">
        <v>94.4</v>
      </c>
      <c r="U113" s="169">
        <v>0</v>
      </c>
      <c r="V113" s="161">
        <v>0</v>
      </c>
      <c r="W113" s="161">
        <v>0</v>
      </c>
      <c r="X113" s="161">
        <v>0</v>
      </c>
      <c r="Y113" s="161">
        <v>0</v>
      </c>
      <c r="Z113" s="161">
        <v>5369</v>
      </c>
      <c r="AA113" s="161">
        <v>15801</v>
      </c>
      <c r="AB113" s="161">
        <v>5640</v>
      </c>
      <c r="AC113" s="161">
        <v>900</v>
      </c>
      <c r="AD113" s="170">
        <v>0</v>
      </c>
      <c r="AE113" s="169">
        <v>0</v>
      </c>
      <c r="AF113" s="161">
        <v>0</v>
      </c>
      <c r="AG113" s="161">
        <v>0</v>
      </c>
      <c r="AH113" s="161">
        <v>0</v>
      </c>
      <c r="AI113" s="161">
        <v>11594</v>
      </c>
      <c r="AJ113" s="161">
        <v>6936</v>
      </c>
      <c r="AK113" s="161">
        <v>9180</v>
      </c>
      <c r="AL113" s="170">
        <v>0</v>
      </c>
      <c r="AM113" s="216">
        <v>4628671</v>
      </c>
      <c r="AN113" s="161">
        <v>300</v>
      </c>
      <c r="AO113" s="219">
        <v>0</v>
      </c>
      <c r="AP113" s="161">
        <v>0</v>
      </c>
      <c r="AQ113" s="219">
        <v>3284524.9998690002</v>
      </c>
      <c r="AR113" s="170">
        <v>150</v>
      </c>
    </row>
    <row r="114" spans="1:44" x14ac:dyDescent="0.3">
      <c r="A114" s="24">
        <v>893</v>
      </c>
      <c r="B114" s="24" t="s">
        <v>113</v>
      </c>
      <c r="C114" s="24" t="s">
        <v>349</v>
      </c>
      <c r="D114" s="160">
        <v>10307165.870000001</v>
      </c>
      <c r="E114" s="161">
        <v>15994</v>
      </c>
      <c r="F114" s="161">
        <v>14697</v>
      </c>
      <c r="G114" s="165">
        <v>-8.1092909841190441E-2</v>
      </c>
      <c r="H114" s="169">
        <v>18782</v>
      </c>
      <c r="I114" s="161">
        <v>18216</v>
      </c>
      <c r="J114" s="161">
        <v>0</v>
      </c>
      <c r="K114" s="170">
        <v>60</v>
      </c>
      <c r="L114" s="169">
        <v>14708</v>
      </c>
      <c r="M114" s="161">
        <v>14791</v>
      </c>
      <c r="N114" s="175">
        <v>5.6431873800000002E-3</v>
      </c>
      <c r="O114" s="161">
        <v>15241</v>
      </c>
      <c r="P114" s="176">
        <v>3.623878161E-2</v>
      </c>
      <c r="Q114" s="182">
        <v>95.2</v>
      </c>
      <c r="R114" s="183">
        <v>3.4</v>
      </c>
      <c r="S114" s="183">
        <v>0.4</v>
      </c>
      <c r="T114" s="184">
        <v>99</v>
      </c>
      <c r="U114" s="169">
        <v>24</v>
      </c>
      <c r="V114" s="161">
        <v>34</v>
      </c>
      <c r="W114" s="161">
        <v>0</v>
      </c>
      <c r="X114" s="161">
        <v>0</v>
      </c>
      <c r="Y114" s="161">
        <v>0</v>
      </c>
      <c r="Z114" s="161">
        <v>1656</v>
      </c>
      <c r="AA114" s="161">
        <v>10598</v>
      </c>
      <c r="AB114" s="161">
        <v>4099</v>
      </c>
      <c r="AC114" s="161">
        <v>1034</v>
      </c>
      <c r="AD114" s="170">
        <v>0</v>
      </c>
      <c r="AE114" s="169">
        <v>24</v>
      </c>
      <c r="AF114" s="161">
        <v>0</v>
      </c>
      <c r="AG114" s="161">
        <v>34</v>
      </c>
      <c r="AH114" s="161">
        <v>0</v>
      </c>
      <c r="AI114" s="161">
        <v>3413</v>
      </c>
      <c r="AJ114" s="161">
        <v>9847</v>
      </c>
      <c r="AK114" s="161">
        <v>4127</v>
      </c>
      <c r="AL114" s="170">
        <v>0</v>
      </c>
      <c r="AM114" s="216">
        <v>0</v>
      </c>
      <c r="AN114" s="161">
        <v>0</v>
      </c>
      <c r="AO114" s="219">
        <v>0</v>
      </c>
      <c r="AP114" s="161">
        <v>0</v>
      </c>
      <c r="AQ114" s="219">
        <v>0</v>
      </c>
      <c r="AR114" s="170">
        <v>0</v>
      </c>
    </row>
    <row r="115" spans="1:44" x14ac:dyDescent="0.3">
      <c r="A115" s="24">
        <v>871</v>
      </c>
      <c r="B115" s="24" t="s">
        <v>114</v>
      </c>
      <c r="C115" s="24" t="s">
        <v>351</v>
      </c>
      <c r="D115" s="160">
        <v>75672437.340000004</v>
      </c>
      <c r="E115" s="161">
        <v>7250</v>
      </c>
      <c r="F115" s="161">
        <v>9878</v>
      </c>
      <c r="G115" s="165">
        <v>0.36248275862068957</v>
      </c>
      <c r="H115" s="169">
        <v>10444</v>
      </c>
      <c r="I115" s="161">
        <v>13020</v>
      </c>
      <c r="J115" s="161">
        <v>558</v>
      </c>
      <c r="K115" s="170">
        <v>30</v>
      </c>
      <c r="L115" s="169">
        <v>8564</v>
      </c>
      <c r="M115" s="161">
        <v>8558</v>
      </c>
      <c r="N115" s="175">
        <v>-7.0060719000000001E-4</v>
      </c>
      <c r="O115" s="161">
        <v>8510</v>
      </c>
      <c r="P115" s="176">
        <v>-6.3054647299999999E-3</v>
      </c>
      <c r="Q115" s="182">
        <v>72.099999999999994</v>
      </c>
      <c r="R115" s="183">
        <v>13.6</v>
      </c>
      <c r="S115" s="183">
        <v>5.6</v>
      </c>
      <c r="T115" s="184">
        <v>91.3</v>
      </c>
      <c r="U115" s="169">
        <v>0</v>
      </c>
      <c r="V115" s="161">
        <v>0</v>
      </c>
      <c r="W115" s="161">
        <v>0</v>
      </c>
      <c r="X115" s="161">
        <v>0</v>
      </c>
      <c r="Y115" s="161">
        <v>0</v>
      </c>
      <c r="Z115" s="161">
        <v>7010</v>
      </c>
      <c r="AA115" s="161">
        <v>2135</v>
      </c>
      <c r="AB115" s="161">
        <v>1635</v>
      </c>
      <c r="AC115" s="161">
        <v>0</v>
      </c>
      <c r="AD115" s="170">
        <v>0</v>
      </c>
      <c r="AE115" s="169">
        <v>0</v>
      </c>
      <c r="AF115" s="161">
        <v>0</v>
      </c>
      <c r="AG115" s="161">
        <v>0</v>
      </c>
      <c r="AH115" s="161">
        <v>0</v>
      </c>
      <c r="AI115" s="161">
        <v>7729</v>
      </c>
      <c r="AJ115" s="161">
        <v>2146</v>
      </c>
      <c r="AK115" s="161">
        <v>905</v>
      </c>
      <c r="AL115" s="170">
        <v>0</v>
      </c>
      <c r="AM115" s="216">
        <v>0</v>
      </c>
      <c r="AN115" s="161">
        <v>0</v>
      </c>
      <c r="AO115" s="219">
        <v>0</v>
      </c>
      <c r="AP115" s="161">
        <v>0</v>
      </c>
      <c r="AQ115" s="219">
        <v>0</v>
      </c>
      <c r="AR115" s="170">
        <v>0</v>
      </c>
    </row>
    <row r="116" spans="1:44" x14ac:dyDescent="0.3">
      <c r="A116" s="24">
        <v>334</v>
      </c>
      <c r="B116" s="24" t="s">
        <v>115</v>
      </c>
      <c r="C116" s="24" t="s">
        <v>349</v>
      </c>
      <c r="D116" s="160">
        <v>24592459.889999997</v>
      </c>
      <c r="E116" s="161">
        <v>12318</v>
      </c>
      <c r="F116" s="161">
        <v>16005</v>
      </c>
      <c r="G116" s="165">
        <v>0.29931807111544084</v>
      </c>
      <c r="H116" s="169">
        <v>18286</v>
      </c>
      <c r="I116" s="161">
        <v>18627</v>
      </c>
      <c r="J116" s="161">
        <v>150</v>
      </c>
      <c r="K116" s="170">
        <v>20</v>
      </c>
      <c r="L116" s="169">
        <v>15146</v>
      </c>
      <c r="M116" s="161">
        <v>15405</v>
      </c>
      <c r="N116" s="175">
        <v>1.7100224479999999E-2</v>
      </c>
      <c r="O116" s="161">
        <v>15486</v>
      </c>
      <c r="P116" s="176">
        <v>2.244817113E-2</v>
      </c>
      <c r="Q116" s="182">
        <v>81.599999999999994</v>
      </c>
      <c r="R116" s="183">
        <v>9.6999999999999993</v>
      </c>
      <c r="S116" s="183">
        <v>3.8</v>
      </c>
      <c r="T116" s="184">
        <v>95</v>
      </c>
      <c r="U116" s="169">
        <v>0</v>
      </c>
      <c r="V116" s="161">
        <v>0</v>
      </c>
      <c r="W116" s="161">
        <v>0</v>
      </c>
      <c r="X116" s="161">
        <v>0</v>
      </c>
      <c r="Y116" s="161">
        <v>0</v>
      </c>
      <c r="Z116" s="161">
        <v>5603</v>
      </c>
      <c r="AA116" s="161">
        <v>8894</v>
      </c>
      <c r="AB116" s="161">
        <v>1350</v>
      </c>
      <c r="AC116" s="161">
        <v>2780</v>
      </c>
      <c r="AD116" s="170">
        <v>0</v>
      </c>
      <c r="AE116" s="169">
        <v>0</v>
      </c>
      <c r="AF116" s="161">
        <v>0</v>
      </c>
      <c r="AG116" s="161">
        <v>0</v>
      </c>
      <c r="AH116" s="161">
        <v>0</v>
      </c>
      <c r="AI116" s="161">
        <v>5487</v>
      </c>
      <c r="AJ116" s="161">
        <v>6060</v>
      </c>
      <c r="AK116" s="161">
        <v>7080</v>
      </c>
      <c r="AL116" s="170">
        <v>0</v>
      </c>
      <c r="AM116" s="216">
        <v>0</v>
      </c>
      <c r="AN116" s="161">
        <v>0</v>
      </c>
      <c r="AO116" s="219">
        <v>0</v>
      </c>
      <c r="AP116" s="161">
        <v>0</v>
      </c>
      <c r="AQ116" s="219">
        <v>0</v>
      </c>
      <c r="AR116" s="170">
        <v>0</v>
      </c>
    </row>
    <row r="117" spans="1:44" x14ac:dyDescent="0.3">
      <c r="A117" s="24">
        <v>933</v>
      </c>
      <c r="B117" s="24" t="s">
        <v>116</v>
      </c>
      <c r="C117" s="24" t="s">
        <v>347</v>
      </c>
      <c r="D117" s="160">
        <v>39146818.620000005</v>
      </c>
      <c r="E117" s="161">
        <v>27300</v>
      </c>
      <c r="F117" s="161">
        <v>25553</v>
      </c>
      <c r="G117" s="165">
        <v>-6.3992673992673943E-2</v>
      </c>
      <c r="H117" s="169">
        <v>31710</v>
      </c>
      <c r="I117" s="161">
        <v>32192</v>
      </c>
      <c r="J117" s="161">
        <v>190</v>
      </c>
      <c r="K117" s="170">
        <v>50</v>
      </c>
      <c r="L117" s="169">
        <v>25014</v>
      </c>
      <c r="M117" s="161">
        <v>25136</v>
      </c>
      <c r="N117" s="175">
        <v>4.8772687200000003E-3</v>
      </c>
      <c r="O117" s="161">
        <v>25636</v>
      </c>
      <c r="P117" s="176">
        <v>2.4866074990000001E-2</v>
      </c>
      <c r="Q117" s="182">
        <v>95.8</v>
      </c>
      <c r="R117" s="183">
        <v>2.1</v>
      </c>
      <c r="S117" s="183">
        <v>0.4</v>
      </c>
      <c r="T117" s="184">
        <v>98.3</v>
      </c>
      <c r="U117" s="169">
        <v>0</v>
      </c>
      <c r="V117" s="161">
        <v>238</v>
      </c>
      <c r="W117" s="161">
        <v>0</v>
      </c>
      <c r="X117" s="161">
        <v>0</v>
      </c>
      <c r="Y117" s="161">
        <v>0</v>
      </c>
      <c r="Z117" s="161">
        <v>4001</v>
      </c>
      <c r="AA117" s="161">
        <v>19967</v>
      </c>
      <c r="AB117" s="161">
        <v>5357</v>
      </c>
      <c r="AC117" s="161">
        <v>1509</v>
      </c>
      <c r="AD117" s="170">
        <v>0</v>
      </c>
      <c r="AE117" s="169">
        <v>0</v>
      </c>
      <c r="AF117" s="161">
        <v>238</v>
      </c>
      <c r="AG117" s="161">
        <v>0</v>
      </c>
      <c r="AH117" s="161">
        <v>0</v>
      </c>
      <c r="AI117" s="161">
        <v>7447</v>
      </c>
      <c r="AJ117" s="161">
        <v>15072</v>
      </c>
      <c r="AK117" s="161">
        <v>5989</v>
      </c>
      <c r="AL117" s="170">
        <v>2326</v>
      </c>
      <c r="AM117" s="216">
        <v>179679</v>
      </c>
      <c r="AN117" s="161">
        <v>158</v>
      </c>
      <c r="AO117" s="219">
        <v>0</v>
      </c>
      <c r="AP117" s="161">
        <v>0</v>
      </c>
      <c r="AQ117" s="219">
        <v>0</v>
      </c>
      <c r="AR117" s="170">
        <v>0</v>
      </c>
    </row>
    <row r="118" spans="1:44" x14ac:dyDescent="0.3">
      <c r="A118" s="24">
        <v>803</v>
      </c>
      <c r="B118" s="24" t="s">
        <v>117</v>
      </c>
      <c r="C118" s="24" t="s">
        <v>347</v>
      </c>
      <c r="D118" s="160">
        <v>37728606.780000001</v>
      </c>
      <c r="E118" s="161">
        <v>12830</v>
      </c>
      <c r="F118" s="161">
        <v>13757</v>
      </c>
      <c r="G118" s="165">
        <v>7.2252533125487073E-2</v>
      </c>
      <c r="H118" s="169">
        <v>21092</v>
      </c>
      <c r="I118" s="161">
        <v>21575</v>
      </c>
      <c r="J118" s="161">
        <v>180</v>
      </c>
      <c r="K118" s="170">
        <v>0</v>
      </c>
      <c r="L118" s="169">
        <v>13422</v>
      </c>
      <c r="M118" s="161">
        <v>13461</v>
      </c>
      <c r="N118" s="175">
        <v>2.9056772400000001E-3</v>
      </c>
      <c r="O118" s="161">
        <v>13640</v>
      </c>
      <c r="P118" s="176">
        <v>1.6241990760000002E-2</v>
      </c>
      <c r="Q118" s="182">
        <v>88.9</v>
      </c>
      <c r="R118" s="183">
        <v>7.8</v>
      </c>
      <c r="S118" s="183">
        <v>1.7</v>
      </c>
      <c r="T118" s="184">
        <v>98.4</v>
      </c>
      <c r="U118" s="169">
        <v>0</v>
      </c>
      <c r="V118" s="161">
        <v>114</v>
      </c>
      <c r="W118" s="161">
        <v>0</v>
      </c>
      <c r="X118" s="161">
        <v>0</v>
      </c>
      <c r="Y118" s="161">
        <v>0</v>
      </c>
      <c r="Z118" s="161">
        <v>1056</v>
      </c>
      <c r="AA118" s="161">
        <v>8178</v>
      </c>
      <c r="AB118" s="161">
        <v>7872</v>
      </c>
      <c r="AC118" s="161">
        <v>0</v>
      </c>
      <c r="AD118" s="170">
        <v>0</v>
      </c>
      <c r="AE118" s="169">
        <v>0</v>
      </c>
      <c r="AF118" s="161">
        <v>0</v>
      </c>
      <c r="AG118" s="161">
        <v>114</v>
      </c>
      <c r="AH118" s="161">
        <v>0</v>
      </c>
      <c r="AI118" s="161">
        <v>2789</v>
      </c>
      <c r="AJ118" s="161">
        <v>3539</v>
      </c>
      <c r="AK118" s="161">
        <v>10778</v>
      </c>
      <c r="AL118" s="170">
        <v>0</v>
      </c>
      <c r="AM118" s="216">
        <v>0</v>
      </c>
      <c r="AN118" s="161">
        <v>0</v>
      </c>
      <c r="AO118" s="219">
        <v>0</v>
      </c>
      <c r="AP118" s="161">
        <v>0</v>
      </c>
      <c r="AQ118" s="219">
        <v>0</v>
      </c>
      <c r="AR118" s="170">
        <v>0</v>
      </c>
    </row>
    <row r="119" spans="1:44" x14ac:dyDescent="0.3">
      <c r="A119" s="24">
        <v>393</v>
      </c>
      <c r="B119" s="24" t="s">
        <v>118</v>
      </c>
      <c r="C119" s="24" t="s">
        <v>352</v>
      </c>
      <c r="D119" s="160">
        <v>6258916.3000000007</v>
      </c>
      <c r="E119" s="161">
        <v>8555</v>
      </c>
      <c r="F119" s="161">
        <v>7831</v>
      </c>
      <c r="G119" s="165">
        <v>-8.4628872004675615E-2</v>
      </c>
      <c r="H119" s="169">
        <v>10255</v>
      </c>
      <c r="I119" s="161">
        <v>9979</v>
      </c>
      <c r="J119" s="161">
        <v>0</v>
      </c>
      <c r="K119" s="170">
        <v>0</v>
      </c>
      <c r="L119" s="169">
        <v>7469</v>
      </c>
      <c r="M119" s="161">
        <v>7503</v>
      </c>
      <c r="N119" s="175">
        <v>4.5521488799999997E-3</v>
      </c>
      <c r="O119" s="161">
        <v>7392</v>
      </c>
      <c r="P119" s="176">
        <v>-1.0309278349999999E-2</v>
      </c>
      <c r="Q119" s="182">
        <v>90.8</v>
      </c>
      <c r="R119" s="183">
        <v>4.5999999999999996</v>
      </c>
      <c r="S119" s="183">
        <v>1</v>
      </c>
      <c r="T119" s="184">
        <v>96.4</v>
      </c>
      <c r="U119" s="169">
        <v>0</v>
      </c>
      <c r="V119" s="161">
        <v>57</v>
      </c>
      <c r="W119" s="161">
        <v>0</v>
      </c>
      <c r="X119" s="161">
        <v>0</v>
      </c>
      <c r="Y119" s="161">
        <v>0</v>
      </c>
      <c r="Z119" s="161">
        <v>3505</v>
      </c>
      <c r="AA119" s="161">
        <v>5317</v>
      </c>
      <c r="AB119" s="161">
        <v>1100</v>
      </c>
      <c r="AC119" s="161">
        <v>0</v>
      </c>
      <c r="AD119" s="170">
        <v>0</v>
      </c>
      <c r="AE119" s="169">
        <v>0</v>
      </c>
      <c r="AF119" s="161">
        <v>57</v>
      </c>
      <c r="AG119" s="161">
        <v>0</v>
      </c>
      <c r="AH119" s="161">
        <v>0</v>
      </c>
      <c r="AI119" s="161">
        <v>2879</v>
      </c>
      <c r="AJ119" s="161">
        <v>5138</v>
      </c>
      <c r="AK119" s="161">
        <v>1905</v>
      </c>
      <c r="AL119" s="170">
        <v>0</v>
      </c>
      <c r="AM119" s="216">
        <v>0</v>
      </c>
      <c r="AN119" s="161">
        <v>0</v>
      </c>
      <c r="AO119" s="219">
        <v>0</v>
      </c>
      <c r="AP119" s="161">
        <v>0</v>
      </c>
      <c r="AQ119" s="219">
        <v>0</v>
      </c>
      <c r="AR119" s="170">
        <v>0</v>
      </c>
    </row>
    <row r="120" spans="1:44" x14ac:dyDescent="0.3">
      <c r="A120" s="24">
        <v>852</v>
      </c>
      <c r="B120" s="24" t="s">
        <v>119</v>
      </c>
      <c r="C120" s="24" t="s">
        <v>351</v>
      </c>
      <c r="D120" s="160">
        <v>39445736.460000001</v>
      </c>
      <c r="E120" s="161">
        <v>8585</v>
      </c>
      <c r="F120" s="161">
        <v>10370</v>
      </c>
      <c r="G120" s="165">
        <v>0.20792079207920788</v>
      </c>
      <c r="H120" s="169">
        <v>12272</v>
      </c>
      <c r="I120" s="161">
        <v>12644</v>
      </c>
      <c r="J120" s="161">
        <v>300</v>
      </c>
      <c r="K120" s="170">
        <v>0</v>
      </c>
      <c r="L120" s="169">
        <v>9579</v>
      </c>
      <c r="M120" s="161">
        <v>9578</v>
      </c>
      <c r="N120" s="175">
        <v>-1.0439502999999999E-4</v>
      </c>
      <c r="O120" s="161">
        <v>9577</v>
      </c>
      <c r="P120" s="176">
        <v>-2.0879005999999999E-4</v>
      </c>
      <c r="Q120" s="182">
        <v>88.5</v>
      </c>
      <c r="R120" s="183">
        <v>7.1</v>
      </c>
      <c r="S120" s="183">
        <v>1.6</v>
      </c>
      <c r="T120" s="184">
        <v>97.3</v>
      </c>
      <c r="U120" s="169">
        <v>0</v>
      </c>
      <c r="V120" s="161">
        <v>42</v>
      </c>
      <c r="W120" s="161">
        <v>0</v>
      </c>
      <c r="X120" s="161">
        <v>0</v>
      </c>
      <c r="Y120" s="161">
        <v>0</v>
      </c>
      <c r="Z120" s="161">
        <v>1050</v>
      </c>
      <c r="AA120" s="161">
        <v>8291</v>
      </c>
      <c r="AB120" s="161">
        <v>2961</v>
      </c>
      <c r="AC120" s="161">
        <v>0</v>
      </c>
      <c r="AD120" s="170">
        <v>0</v>
      </c>
      <c r="AE120" s="169">
        <v>0</v>
      </c>
      <c r="AF120" s="161">
        <v>0</v>
      </c>
      <c r="AG120" s="161">
        <v>42</v>
      </c>
      <c r="AH120" s="161">
        <v>0</v>
      </c>
      <c r="AI120" s="161">
        <v>4493</v>
      </c>
      <c r="AJ120" s="161">
        <v>3640</v>
      </c>
      <c r="AK120" s="161">
        <v>4169</v>
      </c>
      <c r="AL120" s="170">
        <v>0</v>
      </c>
      <c r="AM120" s="216">
        <v>0</v>
      </c>
      <c r="AN120" s="161">
        <v>0</v>
      </c>
      <c r="AO120" s="219">
        <v>0</v>
      </c>
      <c r="AP120" s="161">
        <v>0</v>
      </c>
      <c r="AQ120" s="219">
        <v>0</v>
      </c>
      <c r="AR120" s="170">
        <v>0</v>
      </c>
    </row>
    <row r="121" spans="1:44" x14ac:dyDescent="0.3">
      <c r="A121" s="24">
        <v>882</v>
      </c>
      <c r="B121" s="24" t="s">
        <v>120</v>
      </c>
      <c r="C121" s="24" t="s">
        <v>348</v>
      </c>
      <c r="D121" s="160">
        <v>25590762.260000002</v>
      </c>
      <c r="E121" s="161">
        <v>10743</v>
      </c>
      <c r="F121" s="161">
        <v>10713</v>
      </c>
      <c r="G121" s="165">
        <v>-2.7925160569672869E-3</v>
      </c>
      <c r="H121" s="169">
        <v>13216</v>
      </c>
      <c r="I121" s="161">
        <v>14347</v>
      </c>
      <c r="J121" s="161">
        <v>155</v>
      </c>
      <c r="K121" s="170">
        <v>0</v>
      </c>
      <c r="L121" s="169">
        <v>9391</v>
      </c>
      <c r="M121" s="161">
        <v>10474</v>
      </c>
      <c r="N121" s="175">
        <v>0.11532318176</v>
      </c>
      <c r="O121" s="161">
        <v>10424</v>
      </c>
      <c r="P121" s="176">
        <v>0.10999893515</v>
      </c>
      <c r="Q121" s="182">
        <v>79.8</v>
      </c>
      <c r="R121" s="183">
        <v>9.8000000000000007</v>
      </c>
      <c r="S121" s="183">
        <v>3.4</v>
      </c>
      <c r="T121" s="184">
        <v>93</v>
      </c>
      <c r="U121" s="169">
        <v>187</v>
      </c>
      <c r="V121" s="161">
        <v>0</v>
      </c>
      <c r="W121" s="161">
        <v>0</v>
      </c>
      <c r="X121" s="161">
        <v>0</v>
      </c>
      <c r="Y121" s="161">
        <v>0</v>
      </c>
      <c r="Z121" s="161">
        <v>4451</v>
      </c>
      <c r="AA121" s="161">
        <v>6109</v>
      </c>
      <c r="AB121" s="161">
        <v>0</v>
      </c>
      <c r="AC121" s="161">
        <v>2444</v>
      </c>
      <c r="AD121" s="170">
        <v>0</v>
      </c>
      <c r="AE121" s="169">
        <v>187</v>
      </c>
      <c r="AF121" s="161">
        <v>0</v>
      </c>
      <c r="AG121" s="161">
        <v>0</v>
      </c>
      <c r="AH121" s="161">
        <v>0</v>
      </c>
      <c r="AI121" s="161">
        <v>9120</v>
      </c>
      <c r="AJ121" s="161">
        <v>1440</v>
      </c>
      <c r="AK121" s="161">
        <v>2444</v>
      </c>
      <c r="AL121" s="170">
        <v>0</v>
      </c>
      <c r="AM121" s="216">
        <v>0</v>
      </c>
      <c r="AN121" s="161">
        <v>0</v>
      </c>
      <c r="AO121" s="219">
        <v>0</v>
      </c>
      <c r="AP121" s="161">
        <v>0</v>
      </c>
      <c r="AQ121" s="219">
        <v>0</v>
      </c>
      <c r="AR121" s="170">
        <v>0</v>
      </c>
    </row>
    <row r="122" spans="1:44" x14ac:dyDescent="0.3">
      <c r="A122" s="24">
        <v>210</v>
      </c>
      <c r="B122" s="24" t="s">
        <v>121</v>
      </c>
      <c r="C122" s="24" t="s">
        <v>345</v>
      </c>
      <c r="D122" s="160">
        <v>70111011.329999998</v>
      </c>
      <c r="E122" s="161">
        <v>5391</v>
      </c>
      <c r="F122" s="161">
        <v>13499</v>
      </c>
      <c r="G122" s="165">
        <v>1.5039881283620851</v>
      </c>
      <c r="H122" s="169">
        <v>15079</v>
      </c>
      <c r="I122" s="161">
        <v>17592</v>
      </c>
      <c r="J122" s="161">
        <v>910</v>
      </c>
      <c r="K122" s="170">
        <v>0</v>
      </c>
      <c r="L122" s="169">
        <v>12233</v>
      </c>
      <c r="M122" s="161">
        <v>12257</v>
      </c>
      <c r="N122" s="175">
        <v>1.9619063099999999E-3</v>
      </c>
      <c r="O122" s="161">
        <v>12548</v>
      </c>
      <c r="P122" s="176">
        <v>2.5750020429999999E-2</v>
      </c>
      <c r="Q122" s="182">
        <v>59.6</v>
      </c>
      <c r="R122" s="183">
        <v>17.7</v>
      </c>
      <c r="S122" s="183">
        <v>9.1999999999999993</v>
      </c>
      <c r="T122" s="184">
        <v>86.6</v>
      </c>
      <c r="U122" s="169">
        <v>0</v>
      </c>
      <c r="V122" s="161">
        <v>425</v>
      </c>
      <c r="W122" s="161">
        <v>0</v>
      </c>
      <c r="X122" s="161">
        <v>0</v>
      </c>
      <c r="Y122" s="161">
        <v>0</v>
      </c>
      <c r="Z122" s="161">
        <v>7708</v>
      </c>
      <c r="AA122" s="161">
        <v>7959</v>
      </c>
      <c r="AB122" s="161">
        <v>0</v>
      </c>
      <c r="AC122" s="161">
        <v>0</v>
      </c>
      <c r="AD122" s="170">
        <v>0</v>
      </c>
      <c r="AE122" s="169">
        <v>100</v>
      </c>
      <c r="AF122" s="161">
        <v>325</v>
      </c>
      <c r="AG122" s="161">
        <v>0</v>
      </c>
      <c r="AH122" s="161">
        <v>0</v>
      </c>
      <c r="AI122" s="161">
        <v>9759</v>
      </c>
      <c r="AJ122" s="161">
        <v>5108</v>
      </c>
      <c r="AK122" s="161">
        <v>0</v>
      </c>
      <c r="AL122" s="170">
        <v>800</v>
      </c>
      <c r="AM122" s="216">
        <v>0</v>
      </c>
      <c r="AN122" s="161">
        <v>0</v>
      </c>
      <c r="AO122" s="219">
        <v>0</v>
      </c>
      <c r="AP122" s="161">
        <v>0</v>
      </c>
      <c r="AQ122" s="219">
        <v>0</v>
      </c>
      <c r="AR122" s="170">
        <v>0</v>
      </c>
    </row>
    <row r="123" spans="1:44" x14ac:dyDescent="0.3">
      <c r="A123" s="24">
        <v>342</v>
      </c>
      <c r="B123" s="24" t="s">
        <v>122</v>
      </c>
      <c r="C123" s="24" t="s">
        <v>350</v>
      </c>
      <c r="D123" s="160">
        <v>12644029.65</v>
      </c>
      <c r="E123" s="161">
        <v>9671</v>
      </c>
      <c r="F123" s="161">
        <v>8920</v>
      </c>
      <c r="G123" s="165">
        <v>-7.7654844380105503E-2</v>
      </c>
      <c r="H123" s="169">
        <v>11179</v>
      </c>
      <c r="I123" s="161">
        <v>11548</v>
      </c>
      <c r="J123" s="161">
        <v>0</v>
      </c>
      <c r="K123" s="170">
        <v>0</v>
      </c>
      <c r="L123" s="169">
        <v>8908</v>
      </c>
      <c r="M123" s="161">
        <v>9033</v>
      </c>
      <c r="N123" s="175">
        <v>1.4032330480000001E-2</v>
      </c>
      <c r="O123" s="161">
        <v>9014</v>
      </c>
      <c r="P123" s="176">
        <v>1.1899416249999999E-2</v>
      </c>
      <c r="Q123" s="182">
        <v>95.6</v>
      </c>
      <c r="R123" s="183">
        <v>3.1</v>
      </c>
      <c r="S123" s="183">
        <v>0.4</v>
      </c>
      <c r="T123" s="184">
        <v>99.1</v>
      </c>
      <c r="U123" s="169">
        <v>0</v>
      </c>
      <c r="V123" s="161">
        <v>0</v>
      </c>
      <c r="W123" s="161">
        <v>0</v>
      </c>
      <c r="X123" s="161">
        <v>0</v>
      </c>
      <c r="Y123" s="161">
        <v>0</v>
      </c>
      <c r="Z123" s="161">
        <v>0</v>
      </c>
      <c r="AA123" s="161">
        <v>6238</v>
      </c>
      <c r="AB123" s="161">
        <v>2460</v>
      </c>
      <c r="AC123" s="161">
        <v>2850</v>
      </c>
      <c r="AD123" s="170">
        <v>0</v>
      </c>
      <c r="AE123" s="169">
        <v>0</v>
      </c>
      <c r="AF123" s="161">
        <v>0</v>
      </c>
      <c r="AG123" s="161">
        <v>0</v>
      </c>
      <c r="AH123" s="161">
        <v>0</v>
      </c>
      <c r="AI123" s="161">
        <v>0</v>
      </c>
      <c r="AJ123" s="161">
        <v>4980</v>
      </c>
      <c r="AK123" s="161">
        <v>6568</v>
      </c>
      <c r="AL123" s="170">
        <v>0</v>
      </c>
      <c r="AM123" s="216">
        <v>0</v>
      </c>
      <c r="AN123" s="161">
        <v>0</v>
      </c>
      <c r="AO123" s="219">
        <v>0</v>
      </c>
      <c r="AP123" s="161">
        <v>0</v>
      </c>
      <c r="AQ123" s="219">
        <v>0</v>
      </c>
      <c r="AR123" s="170">
        <v>0</v>
      </c>
    </row>
    <row r="124" spans="1:44" x14ac:dyDescent="0.3">
      <c r="A124" s="24">
        <v>860</v>
      </c>
      <c r="B124" s="24" t="s">
        <v>123</v>
      </c>
      <c r="C124" s="24" t="s">
        <v>349</v>
      </c>
      <c r="D124" s="160">
        <v>95116024.180000007</v>
      </c>
      <c r="E124" s="161">
        <v>47405</v>
      </c>
      <c r="F124" s="161">
        <v>44033</v>
      </c>
      <c r="G124" s="165">
        <v>-7.1131737158527608E-2</v>
      </c>
      <c r="H124" s="169">
        <v>58125</v>
      </c>
      <c r="I124" s="161">
        <v>59593</v>
      </c>
      <c r="J124" s="161">
        <v>516</v>
      </c>
      <c r="K124" s="170">
        <v>250</v>
      </c>
      <c r="L124" s="169">
        <v>42453</v>
      </c>
      <c r="M124" s="161">
        <v>42800</v>
      </c>
      <c r="N124" s="175">
        <v>8.1737450799999993E-3</v>
      </c>
      <c r="O124" s="161">
        <v>43888</v>
      </c>
      <c r="P124" s="176">
        <v>3.3802087010000002E-2</v>
      </c>
      <c r="Q124" s="182">
        <v>94</v>
      </c>
      <c r="R124" s="183">
        <v>3.7</v>
      </c>
      <c r="S124" s="183">
        <v>0.7</v>
      </c>
      <c r="T124" s="184">
        <v>98.3</v>
      </c>
      <c r="U124" s="169">
        <v>0</v>
      </c>
      <c r="V124" s="161">
        <v>21</v>
      </c>
      <c r="W124" s="161">
        <v>135</v>
      </c>
      <c r="X124" s="161">
        <v>0</v>
      </c>
      <c r="Y124" s="161">
        <v>0</v>
      </c>
      <c r="Z124" s="161">
        <v>2362</v>
      </c>
      <c r="AA124" s="161">
        <v>34678</v>
      </c>
      <c r="AB124" s="161">
        <v>17112</v>
      </c>
      <c r="AC124" s="161">
        <v>1791</v>
      </c>
      <c r="AD124" s="170">
        <v>866</v>
      </c>
      <c r="AE124" s="169">
        <v>25</v>
      </c>
      <c r="AF124" s="161">
        <v>131</v>
      </c>
      <c r="AG124" s="161">
        <v>0</v>
      </c>
      <c r="AH124" s="161">
        <v>0</v>
      </c>
      <c r="AI124" s="161">
        <v>10113</v>
      </c>
      <c r="AJ124" s="161">
        <v>24725</v>
      </c>
      <c r="AK124" s="161">
        <v>17893</v>
      </c>
      <c r="AL124" s="170">
        <v>4078</v>
      </c>
      <c r="AM124" s="216">
        <v>0</v>
      </c>
      <c r="AN124" s="161">
        <v>0</v>
      </c>
      <c r="AO124" s="219">
        <v>0</v>
      </c>
      <c r="AP124" s="161">
        <v>0</v>
      </c>
      <c r="AQ124" s="219">
        <v>0</v>
      </c>
      <c r="AR124" s="170">
        <v>0</v>
      </c>
    </row>
    <row r="125" spans="1:44" x14ac:dyDescent="0.3">
      <c r="A125" s="24">
        <v>356</v>
      </c>
      <c r="B125" s="24" t="s">
        <v>124</v>
      </c>
      <c r="C125" s="24" t="s">
        <v>350</v>
      </c>
      <c r="D125" s="160">
        <v>33472787.859999999</v>
      </c>
      <c r="E125" s="161">
        <v>14013</v>
      </c>
      <c r="F125" s="161">
        <v>14082</v>
      </c>
      <c r="G125" s="165">
        <v>4.923999143652269E-3</v>
      </c>
      <c r="H125" s="169">
        <v>17325</v>
      </c>
      <c r="I125" s="161">
        <v>17418</v>
      </c>
      <c r="J125" s="161">
        <v>0</v>
      </c>
      <c r="K125" s="170">
        <v>0</v>
      </c>
      <c r="L125" s="169">
        <v>13452</v>
      </c>
      <c r="M125" s="161">
        <v>13512</v>
      </c>
      <c r="N125" s="175">
        <v>4.4603033000000002E-3</v>
      </c>
      <c r="O125" s="161">
        <v>13615</v>
      </c>
      <c r="P125" s="176">
        <v>1.21171573E-2</v>
      </c>
      <c r="Q125" s="182">
        <v>84</v>
      </c>
      <c r="R125" s="183">
        <v>8.5</v>
      </c>
      <c r="S125" s="183">
        <v>2.2999999999999998</v>
      </c>
      <c r="T125" s="184">
        <v>94.7</v>
      </c>
      <c r="U125" s="169">
        <v>242</v>
      </c>
      <c r="V125" s="161">
        <v>225</v>
      </c>
      <c r="W125" s="161">
        <v>0</v>
      </c>
      <c r="X125" s="161">
        <v>0</v>
      </c>
      <c r="Y125" s="161">
        <v>0</v>
      </c>
      <c r="Z125" s="161">
        <v>2589</v>
      </c>
      <c r="AA125" s="161">
        <v>9273</v>
      </c>
      <c r="AB125" s="161">
        <v>2409</v>
      </c>
      <c r="AC125" s="161">
        <v>2360</v>
      </c>
      <c r="AD125" s="170">
        <v>0</v>
      </c>
      <c r="AE125" s="169">
        <v>467</v>
      </c>
      <c r="AF125" s="161">
        <v>0</v>
      </c>
      <c r="AG125" s="161">
        <v>0</v>
      </c>
      <c r="AH125" s="161">
        <v>0</v>
      </c>
      <c r="AI125" s="161">
        <v>8672</v>
      </c>
      <c r="AJ125" s="161">
        <v>4142</v>
      </c>
      <c r="AK125" s="161">
        <v>3817</v>
      </c>
      <c r="AL125" s="170">
        <v>0</v>
      </c>
      <c r="AM125" s="216">
        <v>549601</v>
      </c>
      <c r="AN125" s="161">
        <v>117</v>
      </c>
      <c r="AO125" s="219">
        <v>0</v>
      </c>
      <c r="AP125" s="161">
        <v>0</v>
      </c>
      <c r="AQ125" s="219">
        <v>0</v>
      </c>
      <c r="AR125" s="170">
        <v>0</v>
      </c>
    </row>
    <row r="126" spans="1:44" x14ac:dyDescent="0.3">
      <c r="A126" s="24">
        <v>808</v>
      </c>
      <c r="B126" s="24" t="s">
        <v>125</v>
      </c>
      <c r="C126" s="24" t="s">
        <v>352</v>
      </c>
      <c r="D126" s="160">
        <v>48428320.590000004</v>
      </c>
      <c r="E126" s="161">
        <v>10851</v>
      </c>
      <c r="F126" s="161">
        <v>10863</v>
      </c>
      <c r="G126" s="165">
        <v>1.1058888581696458E-3</v>
      </c>
      <c r="H126" s="169">
        <v>13118</v>
      </c>
      <c r="I126" s="161">
        <v>12383</v>
      </c>
      <c r="J126" s="161">
        <v>155</v>
      </c>
      <c r="K126" s="170">
        <v>650</v>
      </c>
      <c r="L126" s="169">
        <v>9869</v>
      </c>
      <c r="M126" s="161">
        <v>9819</v>
      </c>
      <c r="N126" s="175">
        <v>-5.0663694300000003E-3</v>
      </c>
      <c r="O126" s="161">
        <v>9893</v>
      </c>
      <c r="P126" s="176">
        <v>2.4318573299999999E-3</v>
      </c>
      <c r="Q126" s="182">
        <v>94.8</v>
      </c>
      <c r="R126" s="183">
        <v>4</v>
      </c>
      <c r="S126" s="183">
        <v>0.5</v>
      </c>
      <c r="T126" s="184">
        <v>99.3</v>
      </c>
      <c r="U126" s="169">
        <v>0</v>
      </c>
      <c r="V126" s="161">
        <v>0</v>
      </c>
      <c r="W126" s="161">
        <v>0</v>
      </c>
      <c r="X126" s="161">
        <v>0</v>
      </c>
      <c r="Y126" s="161">
        <v>0</v>
      </c>
      <c r="Z126" s="161">
        <v>2134</v>
      </c>
      <c r="AA126" s="161">
        <v>1922</v>
      </c>
      <c r="AB126" s="161">
        <v>4592</v>
      </c>
      <c r="AC126" s="161">
        <v>0</v>
      </c>
      <c r="AD126" s="170">
        <v>0</v>
      </c>
      <c r="AE126" s="169">
        <v>0</v>
      </c>
      <c r="AF126" s="161">
        <v>0</v>
      </c>
      <c r="AG126" s="161">
        <v>0</v>
      </c>
      <c r="AH126" s="161">
        <v>0</v>
      </c>
      <c r="AI126" s="161">
        <v>0</v>
      </c>
      <c r="AJ126" s="161">
        <v>5690</v>
      </c>
      <c r="AK126" s="161">
        <v>2958</v>
      </c>
      <c r="AL126" s="170">
        <v>0</v>
      </c>
      <c r="AM126" s="216">
        <v>0</v>
      </c>
      <c r="AN126" s="161">
        <v>0</v>
      </c>
      <c r="AO126" s="219">
        <v>0</v>
      </c>
      <c r="AP126" s="161">
        <v>0</v>
      </c>
      <c r="AQ126" s="219">
        <v>0</v>
      </c>
      <c r="AR126" s="170">
        <v>0</v>
      </c>
    </row>
    <row r="127" spans="1:44" x14ac:dyDescent="0.3">
      <c r="A127" s="24">
        <v>861</v>
      </c>
      <c r="B127" s="24" t="s">
        <v>126</v>
      </c>
      <c r="C127" s="24" t="s">
        <v>349</v>
      </c>
      <c r="D127" s="160">
        <v>16769984.74</v>
      </c>
      <c r="E127" s="161">
        <v>12695</v>
      </c>
      <c r="F127" s="161">
        <v>12321</v>
      </c>
      <c r="G127" s="165">
        <v>-2.946041748719963E-2</v>
      </c>
      <c r="H127" s="169">
        <v>15793</v>
      </c>
      <c r="I127" s="161">
        <v>15149</v>
      </c>
      <c r="J127" s="161">
        <v>0</v>
      </c>
      <c r="K127" s="170">
        <v>0</v>
      </c>
      <c r="L127" s="169">
        <v>11538</v>
      </c>
      <c r="M127" s="161">
        <v>11528</v>
      </c>
      <c r="N127" s="175">
        <v>-8.6670132999999998E-4</v>
      </c>
      <c r="O127" s="161">
        <v>11982</v>
      </c>
      <c r="P127" s="176">
        <v>3.8481539260000003E-2</v>
      </c>
      <c r="Q127" s="182">
        <v>89.4</v>
      </c>
      <c r="R127" s="183">
        <v>6.8</v>
      </c>
      <c r="S127" s="183">
        <v>1.1000000000000001</v>
      </c>
      <c r="T127" s="184">
        <v>97.3</v>
      </c>
      <c r="U127" s="169">
        <v>0</v>
      </c>
      <c r="V127" s="161">
        <v>0</v>
      </c>
      <c r="W127" s="161">
        <v>0</v>
      </c>
      <c r="X127" s="161">
        <v>0</v>
      </c>
      <c r="Y127" s="161">
        <v>0</v>
      </c>
      <c r="Z127" s="161">
        <v>1060</v>
      </c>
      <c r="AA127" s="161">
        <v>6450</v>
      </c>
      <c r="AB127" s="161">
        <v>2935</v>
      </c>
      <c r="AC127" s="161">
        <v>4404</v>
      </c>
      <c r="AD127" s="170">
        <v>0</v>
      </c>
      <c r="AE127" s="169">
        <v>0</v>
      </c>
      <c r="AF127" s="161">
        <v>0</v>
      </c>
      <c r="AG127" s="161">
        <v>0</v>
      </c>
      <c r="AH127" s="161">
        <v>0</v>
      </c>
      <c r="AI127" s="161">
        <v>3160</v>
      </c>
      <c r="AJ127" s="161">
        <v>3300</v>
      </c>
      <c r="AK127" s="161">
        <v>8389</v>
      </c>
      <c r="AL127" s="170">
        <v>0</v>
      </c>
      <c r="AM127" s="216">
        <v>0</v>
      </c>
      <c r="AN127" s="161">
        <v>0</v>
      </c>
      <c r="AO127" s="219">
        <v>0</v>
      </c>
      <c r="AP127" s="161">
        <v>0</v>
      </c>
      <c r="AQ127" s="219">
        <v>0</v>
      </c>
      <c r="AR127" s="170">
        <v>0</v>
      </c>
    </row>
    <row r="128" spans="1:44" x14ac:dyDescent="0.3">
      <c r="A128" s="24">
        <v>935</v>
      </c>
      <c r="B128" s="24" t="s">
        <v>127</v>
      </c>
      <c r="C128" s="24" t="s">
        <v>348</v>
      </c>
      <c r="D128" s="160">
        <v>75323912.25</v>
      </c>
      <c r="E128" s="161">
        <v>38616</v>
      </c>
      <c r="F128" s="161">
        <v>36914</v>
      </c>
      <c r="G128" s="165">
        <v>-4.4074994820799684E-2</v>
      </c>
      <c r="H128" s="169">
        <v>52658</v>
      </c>
      <c r="I128" s="161">
        <v>50850</v>
      </c>
      <c r="J128" s="161">
        <v>828</v>
      </c>
      <c r="K128" s="170">
        <v>110</v>
      </c>
      <c r="L128" s="169">
        <v>35243</v>
      </c>
      <c r="M128" s="161">
        <v>35515</v>
      </c>
      <c r="N128" s="175">
        <v>7.7178446699999997E-3</v>
      </c>
      <c r="O128" s="161">
        <v>35571</v>
      </c>
      <c r="P128" s="176">
        <v>9.3068127E-3</v>
      </c>
      <c r="Q128" s="182">
        <v>92.8</v>
      </c>
      <c r="R128" s="183">
        <v>3.3</v>
      </c>
      <c r="S128" s="183">
        <v>0.9</v>
      </c>
      <c r="T128" s="184">
        <v>97</v>
      </c>
      <c r="U128" s="169">
        <v>27</v>
      </c>
      <c r="V128" s="161">
        <v>723</v>
      </c>
      <c r="W128" s="161">
        <v>0</v>
      </c>
      <c r="X128" s="161">
        <v>29</v>
      </c>
      <c r="Y128" s="161">
        <v>0</v>
      </c>
      <c r="Z128" s="161">
        <v>7041</v>
      </c>
      <c r="AA128" s="161">
        <v>20457</v>
      </c>
      <c r="AB128" s="161">
        <v>11764</v>
      </c>
      <c r="AC128" s="161">
        <v>5128</v>
      </c>
      <c r="AD128" s="170">
        <v>0</v>
      </c>
      <c r="AE128" s="169">
        <v>47</v>
      </c>
      <c r="AF128" s="161">
        <v>216</v>
      </c>
      <c r="AG128" s="161">
        <v>516</v>
      </c>
      <c r="AH128" s="161">
        <v>0</v>
      </c>
      <c r="AI128" s="161">
        <v>16909</v>
      </c>
      <c r="AJ128" s="161">
        <v>14378</v>
      </c>
      <c r="AK128" s="161">
        <v>10795</v>
      </c>
      <c r="AL128" s="170">
        <v>2308</v>
      </c>
      <c r="AM128" s="216">
        <v>6172108.3444440002</v>
      </c>
      <c r="AN128" s="161">
        <v>1464</v>
      </c>
      <c r="AO128" s="219">
        <v>0</v>
      </c>
      <c r="AP128" s="161">
        <v>0</v>
      </c>
      <c r="AQ128" s="219">
        <v>10594009</v>
      </c>
      <c r="AR128" s="170">
        <v>540</v>
      </c>
    </row>
    <row r="129" spans="1:44" x14ac:dyDescent="0.3">
      <c r="A129" s="24">
        <v>394</v>
      </c>
      <c r="B129" s="24" t="s">
        <v>128</v>
      </c>
      <c r="C129" s="24" t="s">
        <v>352</v>
      </c>
      <c r="D129" s="160">
        <v>7594804.0599999996</v>
      </c>
      <c r="E129" s="161">
        <v>14060</v>
      </c>
      <c r="F129" s="161">
        <v>13991</v>
      </c>
      <c r="G129" s="165">
        <v>-4.9075391180654071E-3</v>
      </c>
      <c r="H129" s="169">
        <v>19573</v>
      </c>
      <c r="I129" s="161">
        <v>19845</v>
      </c>
      <c r="J129" s="161">
        <v>72</v>
      </c>
      <c r="K129" s="170">
        <v>0</v>
      </c>
      <c r="L129" s="169">
        <v>13915</v>
      </c>
      <c r="M129" s="161">
        <v>14069</v>
      </c>
      <c r="N129" s="175">
        <v>1.1067193669999999E-2</v>
      </c>
      <c r="O129" s="161">
        <v>14089</v>
      </c>
      <c r="P129" s="176">
        <v>1.250449155E-2</v>
      </c>
      <c r="Q129" s="182">
        <v>95.3</v>
      </c>
      <c r="R129" s="183">
        <v>3.1</v>
      </c>
      <c r="S129" s="183">
        <v>0.2</v>
      </c>
      <c r="T129" s="184">
        <v>98.6</v>
      </c>
      <c r="U129" s="169">
        <v>0</v>
      </c>
      <c r="V129" s="161">
        <v>0</v>
      </c>
      <c r="W129" s="161">
        <v>0</v>
      </c>
      <c r="X129" s="161">
        <v>0</v>
      </c>
      <c r="Y129" s="161">
        <v>0</v>
      </c>
      <c r="Z129" s="161">
        <v>1359</v>
      </c>
      <c r="AA129" s="161">
        <v>11834</v>
      </c>
      <c r="AB129" s="161">
        <v>5500</v>
      </c>
      <c r="AC129" s="161">
        <v>900</v>
      </c>
      <c r="AD129" s="170">
        <v>0</v>
      </c>
      <c r="AE129" s="169">
        <v>0</v>
      </c>
      <c r="AF129" s="161">
        <v>0</v>
      </c>
      <c r="AG129" s="161">
        <v>0</v>
      </c>
      <c r="AH129" s="161">
        <v>0</v>
      </c>
      <c r="AI129" s="161">
        <v>1399</v>
      </c>
      <c r="AJ129" s="161">
        <v>11268</v>
      </c>
      <c r="AK129" s="161">
        <v>6926</v>
      </c>
      <c r="AL129" s="170">
        <v>0</v>
      </c>
      <c r="AM129" s="216">
        <v>0</v>
      </c>
      <c r="AN129" s="161">
        <v>0</v>
      </c>
      <c r="AO129" s="219">
        <v>0</v>
      </c>
      <c r="AP129" s="161">
        <v>0</v>
      </c>
      <c r="AQ129" s="219">
        <v>0</v>
      </c>
      <c r="AR129" s="170">
        <v>0</v>
      </c>
    </row>
    <row r="130" spans="1:44" x14ac:dyDescent="0.3">
      <c r="A130" s="24">
        <v>936</v>
      </c>
      <c r="B130" s="24" t="s">
        <v>129</v>
      </c>
      <c r="C130" s="24" t="s">
        <v>351</v>
      </c>
      <c r="D130" s="160">
        <v>279023210.93000001</v>
      </c>
      <c r="E130" s="161">
        <v>52871</v>
      </c>
      <c r="F130" s="161">
        <v>53994</v>
      </c>
      <c r="G130" s="165">
        <v>2.1240377522649512E-2</v>
      </c>
      <c r="H130" s="169">
        <v>62118</v>
      </c>
      <c r="I130" s="161">
        <v>63938</v>
      </c>
      <c r="J130" s="161">
        <v>1970</v>
      </c>
      <c r="K130" s="170">
        <v>1290</v>
      </c>
      <c r="L130" s="169">
        <v>51065</v>
      </c>
      <c r="M130" s="161">
        <v>51878</v>
      </c>
      <c r="N130" s="175">
        <v>1.592088514E-2</v>
      </c>
      <c r="O130" s="161">
        <v>51405</v>
      </c>
      <c r="P130" s="176">
        <v>6.6581807500000001E-3</v>
      </c>
      <c r="Q130" s="182">
        <v>82.1</v>
      </c>
      <c r="R130" s="183">
        <v>8.3000000000000007</v>
      </c>
      <c r="S130" s="183">
        <v>2.5</v>
      </c>
      <c r="T130" s="184">
        <v>92.9</v>
      </c>
      <c r="U130" s="169">
        <v>70</v>
      </c>
      <c r="V130" s="161">
        <v>33</v>
      </c>
      <c r="W130" s="161">
        <v>0</v>
      </c>
      <c r="X130" s="161">
        <v>0</v>
      </c>
      <c r="Y130" s="161">
        <v>0</v>
      </c>
      <c r="Z130" s="161">
        <v>16936</v>
      </c>
      <c r="AA130" s="161">
        <v>41310</v>
      </c>
      <c r="AB130" s="161">
        <v>3158</v>
      </c>
      <c r="AC130" s="161">
        <v>1029</v>
      </c>
      <c r="AD130" s="170">
        <v>0</v>
      </c>
      <c r="AE130" s="169">
        <v>70</v>
      </c>
      <c r="AF130" s="161">
        <v>33</v>
      </c>
      <c r="AG130" s="161">
        <v>0</v>
      </c>
      <c r="AH130" s="161">
        <v>0</v>
      </c>
      <c r="AI130" s="161">
        <v>30947</v>
      </c>
      <c r="AJ130" s="161">
        <v>25674</v>
      </c>
      <c r="AK130" s="161">
        <v>5812</v>
      </c>
      <c r="AL130" s="170">
        <v>0</v>
      </c>
      <c r="AM130" s="216">
        <v>2194000</v>
      </c>
      <c r="AN130" s="161">
        <v>150</v>
      </c>
      <c r="AO130" s="219">
        <v>2811534</v>
      </c>
      <c r="AP130" s="161">
        <v>120</v>
      </c>
      <c r="AQ130" s="219">
        <v>0</v>
      </c>
      <c r="AR130" s="170">
        <v>0</v>
      </c>
    </row>
    <row r="131" spans="1:44" x14ac:dyDescent="0.3">
      <c r="A131" s="24">
        <v>319</v>
      </c>
      <c r="B131" s="24" t="s">
        <v>130</v>
      </c>
      <c r="C131" s="24" t="s">
        <v>345</v>
      </c>
      <c r="D131" s="160">
        <v>122292041.63</v>
      </c>
      <c r="E131" s="161">
        <v>13351</v>
      </c>
      <c r="F131" s="161">
        <v>14690</v>
      </c>
      <c r="G131" s="165">
        <v>0.10029211295034091</v>
      </c>
      <c r="H131" s="169">
        <v>16960</v>
      </c>
      <c r="I131" s="161">
        <v>18103</v>
      </c>
      <c r="J131" s="161">
        <v>1560</v>
      </c>
      <c r="K131" s="170">
        <v>0</v>
      </c>
      <c r="L131" s="169">
        <v>13696</v>
      </c>
      <c r="M131" s="161">
        <v>13880</v>
      </c>
      <c r="N131" s="175">
        <v>1.3434579429999999E-2</v>
      </c>
      <c r="O131" s="161">
        <v>13738</v>
      </c>
      <c r="P131" s="176">
        <v>3.0665887799999998E-3</v>
      </c>
      <c r="Q131" s="182">
        <v>74.400000000000006</v>
      </c>
      <c r="R131" s="183">
        <v>13.9</v>
      </c>
      <c r="S131" s="183">
        <v>4.5</v>
      </c>
      <c r="T131" s="184">
        <v>92.9</v>
      </c>
      <c r="U131" s="169">
        <v>0</v>
      </c>
      <c r="V131" s="161">
        <v>0</v>
      </c>
      <c r="W131" s="161">
        <v>0</v>
      </c>
      <c r="X131" s="161">
        <v>0</v>
      </c>
      <c r="Y131" s="161">
        <v>0</v>
      </c>
      <c r="Z131" s="161">
        <v>6759</v>
      </c>
      <c r="AA131" s="161">
        <v>8608</v>
      </c>
      <c r="AB131" s="161">
        <v>2736</v>
      </c>
      <c r="AC131" s="161">
        <v>0</v>
      </c>
      <c r="AD131" s="170">
        <v>0</v>
      </c>
      <c r="AE131" s="169">
        <v>0</v>
      </c>
      <c r="AF131" s="161">
        <v>0</v>
      </c>
      <c r="AG131" s="161">
        <v>0</v>
      </c>
      <c r="AH131" s="161">
        <v>0</v>
      </c>
      <c r="AI131" s="161">
        <v>10889</v>
      </c>
      <c r="AJ131" s="161">
        <v>7214</v>
      </c>
      <c r="AK131" s="161">
        <v>0</v>
      </c>
      <c r="AL131" s="170">
        <v>0</v>
      </c>
      <c r="AM131" s="216">
        <v>0</v>
      </c>
      <c r="AN131" s="161">
        <v>0</v>
      </c>
      <c r="AO131" s="219">
        <v>0</v>
      </c>
      <c r="AP131" s="161">
        <v>0</v>
      </c>
      <c r="AQ131" s="219">
        <v>0</v>
      </c>
      <c r="AR131" s="170">
        <v>0</v>
      </c>
    </row>
    <row r="132" spans="1:44" x14ac:dyDescent="0.3">
      <c r="A132" s="24">
        <v>866</v>
      </c>
      <c r="B132" s="24" t="s">
        <v>131</v>
      </c>
      <c r="C132" s="24" t="s">
        <v>347</v>
      </c>
      <c r="D132" s="160">
        <v>23495660.189999998</v>
      </c>
      <c r="E132" s="161">
        <v>10604</v>
      </c>
      <c r="F132" s="161">
        <v>10725</v>
      </c>
      <c r="G132" s="165">
        <v>1.1410788381742698E-2</v>
      </c>
      <c r="H132" s="169">
        <v>12807</v>
      </c>
      <c r="I132" s="161">
        <v>14754</v>
      </c>
      <c r="J132" s="161">
        <v>0</v>
      </c>
      <c r="K132" s="170">
        <v>0</v>
      </c>
      <c r="L132" s="169">
        <v>10440</v>
      </c>
      <c r="M132" s="161">
        <v>10454</v>
      </c>
      <c r="N132" s="175">
        <v>1.3409961599999999E-3</v>
      </c>
      <c r="O132" s="161">
        <v>10549</v>
      </c>
      <c r="P132" s="176">
        <v>1.044061302E-2</v>
      </c>
      <c r="Q132" s="182">
        <v>95.6</v>
      </c>
      <c r="R132" s="183">
        <v>3</v>
      </c>
      <c r="S132" s="183">
        <v>0.6</v>
      </c>
      <c r="T132" s="184">
        <v>99.2</v>
      </c>
      <c r="U132" s="169">
        <v>0</v>
      </c>
      <c r="V132" s="161">
        <v>0</v>
      </c>
      <c r="W132" s="161">
        <v>0</v>
      </c>
      <c r="X132" s="161">
        <v>0</v>
      </c>
      <c r="Y132" s="161">
        <v>0</v>
      </c>
      <c r="Z132" s="161">
        <v>0</v>
      </c>
      <c r="AA132" s="161">
        <v>7652</v>
      </c>
      <c r="AB132" s="161">
        <v>6502</v>
      </c>
      <c r="AC132" s="161">
        <v>0</v>
      </c>
      <c r="AD132" s="170">
        <v>0</v>
      </c>
      <c r="AE132" s="169">
        <v>0</v>
      </c>
      <c r="AF132" s="161">
        <v>0</v>
      </c>
      <c r="AG132" s="161">
        <v>0</v>
      </c>
      <c r="AH132" s="161">
        <v>0</v>
      </c>
      <c r="AI132" s="161">
        <v>3649</v>
      </c>
      <c r="AJ132" s="161">
        <v>6871</v>
      </c>
      <c r="AK132" s="161">
        <v>3634</v>
      </c>
      <c r="AL132" s="170">
        <v>0</v>
      </c>
      <c r="AM132" s="216">
        <v>0</v>
      </c>
      <c r="AN132" s="161">
        <v>0</v>
      </c>
      <c r="AO132" s="219">
        <v>0</v>
      </c>
      <c r="AP132" s="161">
        <v>0</v>
      </c>
      <c r="AQ132" s="219">
        <v>0</v>
      </c>
      <c r="AR132" s="170">
        <v>0</v>
      </c>
    </row>
    <row r="133" spans="1:44" x14ac:dyDescent="0.3">
      <c r="A133" s="24">
        <v>357</v>
      </c>
      <c r="B133" s="24" t="s">
        <v>132</v>
      </c>
      <c r="C133" s="24" t="s">
        <v>350</v>
      </c>
      <c r="D133" s="160">
        <v>37902860.909999996</v>
      </c>
      <c r="E133" s="161">
        <v>11526</v>
      </c>
      <c r="F133" s="161">
        <v>13200</v>
      </c>
      <c r="G133" s="165">
        <v>0.14523685580426871</v>
      </c>
      <c r="H133" s="169">
        <v>15112</v>
      </c>
      <c r="I133" s="161">
        <v>15127</v>
      </c>
      <c r="J133" s="161">
        <v>260</v>
      </c>
      <c r="K133" s="170">
        <v>0</v>
      </c>
      <c r="L133" s="169">
        <v>12576</v>
      </c>
      <c r="M133" s="161">
        <v>13094</v>
      </c>
      <c r="N133" s="175">
        <v>4.1189567429999997E-2</v>
      </c>
      <c r="O133" s="161">
        <v>13094</v>
      </c>
      <c r="P133" s="176">
        <v>4.1189567429999997E-2</v>
      </c>
      <c r="Q133" s="182">
        <v>86.8</v>
      </c>
      <c r="R133" s="183">
        <v>8.1999999999999993</v>
      </c>
      <c r="S133" s="183">
        <v>1.8</v>
      </c>
      <c r="T133" s="184">
        <v>96.8</v>
      </c>
      <c r="U133" s="169">
        <v>30</v>
      </c>
      <c r="V133" s="161">
        <v>0</v>
      </c>
      <c r="W133" s="161">
        <v>0</v>
      </c>
      <c r="X133" s="161">
        <v>0</v>
      </c>
      <c r="Y133" s="161">
        <v>0</v>
      </c>
      <c r="Z133" s="161">
        <v>1725</v>
      </c>
      <c r="AA133" s="161">
        <v>5156</v>
      </c>
      <c r="AB133" s="161">
        <v>5576</v>
      </c>
      <c r="AC133" s="161">
        <v>2640</v>
      </c>
      <c r="AD133" s="170">
        <v>0</v>
      </c>
      <c r="AE133" s="169">
        <v>30</v>
      </c>
      <c r="AF133" s="161">
        <v>0</v>
      </c>
      <c r="AG133" s="161">
        <v>0</v>
      </c>
      <c r="AH133" s="161">
        <v>0</v>
      </c>
      <c r="AI133" s="161">
        <v>2550</v>
      </c>
      <c r="AJ133" s="161">
        <v>5641</v>
      </c>
      <c r="AK133" s="161">
        <v>6906</v>
      </c>
      <c r="AL133" s="170">
        <v>0</v>
      </c>
      <c r="AM133" s="216">
        <v>0</v>
      </c>
      <c r="AN133" s="161">
        <v>0</v>
      </c>
      <c r="AO133" s="219">
        <v>0</v>
      </c>
      <c r="AP133" s="161">
        <v>0</v>
      </c>
      <c r="AQ133" s="219">
        <v>3431571</v>
      </c>
      <c r="AR133" s="170">
        <v>150</v>
      </c>
    </row>
    <row r="134" spans="1:44" x14ac:dyDescent="0.3">
      <c r="A134" s="24">
        <v>894</v>
      </c>
      <c r="B134" s="24" t="s">
        <v>133</v>
      </c>
      <c r="C134" s="24" t="s">
        <v>349</v>
      </c>
      <c r="D134" s="160">
        <v>13631693.449999999</v>
      </c>
      <c r="E134" s="161">
        <v>8041</v>
      </c>
      <c r="F134" s="161">
        <v>10598</v>
      </c>
      <c r="G134" s="165">
        <v>0.31799527421962437</v>
      </c>
      <c r="H134" s="169">
        <v>10863</v>
      </c>
      <c r="I134" s="161">
        <v>13035</v>
      </c>
      <c r="J134" s="161">
        <v>0</v>
      </c>
      <c r="K134" s="170">
        <v>0</v>
      </c>
      <c r="L134" s="169">
        <v>9655</v>
      </c>
      <c r="M134" s="161">
        <v>9673</v>
      </c>
      <c r="N134" s="175">
        <v>1.8643189999999999E-3</v>
      </c>
      <c r="O134" s="161">
        <v>9809</v>
      </c>
      <c r="P134" s="176">
        <v>1.5950284820000001E-2</v>
      </c>
      <c r="Q134" s="182">
        <v>84.4</v>
      </c>
      <c r="R134" s="183">
        <v>9.4</v>
      </c>
      <c r="S134" s="183">
        <v>3.3</v>
      </c>
      <c r="T134" s="184">
        <v>97.1</v>
      </c>
      <c r="U134" s="169">
        <v>60</v>
      </c>
      <c r="V134" s="161">
        <v>0</v>
      </c>
      <c r="W134" s="161">
        <v>0</v>
      </c>
      <c r="X134" s="161">
        <v>0</v>
      </c>
      <c r="Y134" s="161">
        <v>0</v>
      </c>
      <c r="Z134" s="161">
        <v>2585</v>
      </c>
      <c r="AA134" s="161">
        <v>4987</v>
      </c>
      <c r="AB134" s="161">
        <v>900</v>
      </c>
      <c r="AC134" s="161">
        <v>4503</v>
      </c>
      <c r="AD134" s="170">
        <v>0</v>
      </c>
      <c r="AE134" s="169">
        <v>60</v>
      </c>
      <c r="AF134" s="161">
        <v>0</v>
      </c>
      <c r="AG134" s="161">
        <v>0</v>
      </c>
      <c r="AH134" s="161">
        <v>0</v>
      </c>
      <c r="AI134" s="161">
        <v>3486</v>
      </c>
      <c r="AJ134" s="161">
        <v>3981</v>
      </c>
      <c r="AK134" s="161">
        <v>5508</v>
      </c>
      <c r="AL134" s="170">
        <v>0</v>
      </c>
      <c r="AM134" s="216">
        <v>0</v>
      </c>
      <c r="AN134" s="161">
        <v>0</v>
      </c>
      <c r="AO134" s="219">
        <v>0</v>
      </c>
      <c r="AP134" s="161">
        <v>0</v>
      </c>
      <c r="AQ134" s="219">
        <v>0</v>
      </c>
      <c r="AR134" s="170">
        <v>0</v>
      </c>
    </row>
    <row r="135" spans="1:44" x14ac:dyDescent="0.3">
      <c r="A135" s="24">
        <v>883</v>
      </c>
      <c r="B135" s="24" t="s">
        <v>134</v>
      </c>
      <c r="C135" s="24" t="s">
        <v>348</v>
      </c>
      <c r="D135" s="160">
        <v>41193151.920000002</v>
      </c>
      <c r="E135" s="161">
        <v>7455</v>
      </c>
      <c r="F135" s="161">
        <v>9523</v>
      </c>
      <c r="G135" s="165">
        <v>0.27739771965124072</v>
      </c>
      <c r="H135" s="169">
        <v>9255</v>
      </c>
      <c r="I135" s="161">
        <v>10645</v>
      </c>
      <c r="J135" s="161">
        <v>30</v>
      </c>
      <c r="K135" s="170">
        <v>170</v>
      </c>
      <c r="L135" s="169">
        <v>8470</v>
      </c>
      <c r="M135" s="161">
        <v>8527</v>
      </c>
      <c r="N135" s="175">
        <v>6.729634E-3</v>
      </c>
      <c r="O135" s="161">
        <v>8573</v>
      </c>
      <c r="P135" s="176">
        <v>1.21605667E-2</v>
      </c>
      <c r="Q135" s="182">
        <v>75.3</v>
      </c>
      <c r="R135" s="183">
        <v>10.3</v>
      </c>
      <c r="S135" s="183">
        <v>4</v>
      </c>
      <c r="T135" s="184">
        <v>89.6</v>
      </c>
      <c r="U135" s="169">
        <v>100</v>
      </c>
      <c r="V135" s="161">
        <v>300</v>
      </c>
      <c r="W135" s="161">
        <v>0</v>
      </c>
      <c r="X135" s="161">
        <v>0</v>
      </c>
      <c r="Y135" s="161">
        <v>0</v>
      </c>
      <c r="Z135" s="161">
        <v>3290</v>
      </c>
      <c r="AA135" s="161">
        <v>5185</v>
      </c>
      <c r="AB135" s="161">
        <v>1770</v>
      </c>
      <c r="AC135" s="161">
        <v>0</v>
      </c>
      <c r="AD135" s="170">
        <v>0</v>
      </c>
      <c r="AE135" s="169">
        <v>100</v>
      </c>
      <c r="AF135" s="161">
        <v>300</v>
      </c>
      <c r="AG135" s="161">
        <v>0</v>
      </c>
      <c r="AH135" s="161">
        <v>0</v>
      </c>
      <c r="AI135" s="161">
        <v>2725</v>
      </c>
      <c r="AJ135" s="161">
        <v>4760</v>
      </c>
      <c r="AK135" s="161">
        <v>2760</v>
      </c>
      <c r="AL135" s="170">
        <v>0</v>
      </c>
      <c r="AM135" s="216">
        <v>0</v>
      </c>
      <c r="AN135" s="161">
        <v>0</v>
      </c>
      <c r="AO135" s="219">
        <v>0</v>
      </c>
      <c r="AP135" s="161">
        <v>0</v>
      </c>
      <c r="AQ135" s="219">
        <v>0</v>
      </c>
      <c r="AR135" s="170">
        <v>0</v>
      </c>
    </row>
    <row r="136" spans="1:44" x14ac:dyDescent="0.3">
      <c r="A136" s="24">
        <v>880</v>
      </c>
      <c r="B136" s="24" t="s">
        <v>135</v>
      </c>
      <c r="C136" s="24" t="s">
        <v>347</v>
      </c>
      <c r="D136" s="160">
        <v>15996561.600000001</v>
      </c>
      <c r="E136" s="161">
        <v>7283</v>
      </c>
      <c r="F136" s="161">
        <v>7346</v>
      </c>
      <c r="G136" s="165">
        <v>8.650281477413202E-3</v>
      </c>
      <c r="H136" s="169">
        <v>9951</v>
      </c>
      <c r="I136" s="161">
        <v>9871</v>
      </c>
      <c r="J136" s="161">
        <v>0</v>
      </c>
      <c r="K136" s="170">
        <v>10</v>
      </c>
      <c r="L136" s="169">
        <v>6869</v>
      </c>
      <c r="M136" s="161">
        <v>6931</v>
      </c>
      <c r="N136" s="175">
        <v>9.0260591000000008E-3</v>
      </c>
      <c r="O136" s="161">
        <v>6827</v>
      </c>
      <c r="P136" s="176">
        <v>-6.1144271299999999E-3</v>
      </c>
      <c r="Q136" s="182">
        <v>87.8</v>
      </c>
      <c r="R136" s="183">
        <v>9.4</v>
      </c>
      <c r="S136" s="183">
        <v>1.5</v>
      </c>
      <c r="T136" s="184">
        <v>98.7</v>
      </c>
      <c r="U136" s="169">
        <v>180</v>
      </c>
      <c r="V136" s="161">
        <v>119</v>
      </c>
      <c r="W136" s="161">
        <v>0</v>
      </c>
      <c r="X136" s="161">
        <v>0</v>
      </c>
      <c r="Y136" s="161">
        <v>0</v>
      </c>
      <c r="Z136" s="161">
        <v>3010</v>
      </c>
      <c r="AA136" s="161">
        <v>2156</v>
      </c>
      <c r="AB136" s="161">
        <v>4106</v>
      </c>
      <c r="AC136" s="161">
        <v>0</v>
      </c>
      <c r="AD136" s="170">
        <v>0</v>
      </c>
      <c r="AE136" s="169">
        <v>180</v>
      </c>
      <c r="AF136" s="161">
        <v>119</v>
      </c>
      <c r="AG136" s="161">
        <v>0</v>
      </c>
      <c r="AH136" s="161">
        <v>0</v>
      </c>
      <c r="AI136" s="161">
        <v>3010</v>
      </c>
      <c r="AJ136" s="161">
        <v>4984</v>
      </c>
      <c r="AK136" s="161">
        <v>1278</v>
      </c>
      <c r="AL136" s="170">
        <v>0</v>
      </c>
      <c r="AM136" s="216">
        <v>0</v>
      </c>
      <c r="AN136" s="161">
        <v>0</v>
      </c>
      <c r="AO136" s="219">
        <v>0</v>
      </c>
      <c r="AP136" s="161">
        <v>0</v>
      </c>
      <c r="AQ136" s="219">
        <v>0</v>
      </c>
      <c r="AR136" s="170">
        <v>0</v>
      </c>
    </row>
    <row r="137" spans="1:44" x14ac:dyDescent="0.3">
      <c r="A137" s="24">
        <v>211</v>
      </c>
      <c r="B137" s="24" t="s">
        <v>136</v>
      </c>
      <c r="C137" s="24" t="s">
        <v>345</v>
      </c>
      <c r="D137" s="160">
        <v>85665679.800000012</v>
      </c>
      <c r="E137" s="161">
        <v>12831</v>
      </c>
      <c r="F137" s="161">
        <v>14294</v>
      </c>
      <c r="G137" s="165">
        <v>0.11402073104200761</v>
      </c>
      <c r="H137" s="169">
        <v>15410</v>
      </c>
      <c r="I137" s="161">
        <v>18135</v>
      </c>
      <c r="J137" s="161">
        <v>0</v>
      </c>
      <c r="K137" s="170">
        <v>0</v>
      </c>
      <c r="L137" s="169">
        <v>13176</v>
      </c>
      <c r="M137" s="161">
        <v>13319</v>
      </c>
      <c r="N137" s="175">
        <v>1.0853066180000001E-2</v>
      </c>
      <c r="O137" s="161">
        <v>13490</v>
      </c>
      <c r="P137" s="176">
        <v>2.3831208249999999E-2</v>
      </c>
      <c r="Q137" s="182">
        <v>74.2</v>
      </c>
      <c r="R137" s="183">
        <v>14</v>
      </c>
      <c r="S137" s="183">
        <v>5.4</v>
      </c>
      <c r="T137" s="184">
        <v>93.5</v>
      </c>
      <c r="U137" s="169">
        <v>426</v>
      </c>
      <c r="V137" s="161">
        <v>888</v>
      </c>
      <c r="W137" s="161">
        <v>31</v>
      </c>
      <c r="X137" s="161">
        <v>196</v>
      </c>
      <c r="Y137" s="161">
        <v>0</v>
      </c>
      <c r="Z137" s="161">
        <v>7032</v>
      </c>
      <c r="AA137" s="161">
        <v>6233</v>
      </c>
      <c r="AB137" s="161">
        <v>950</v>
      </c>
      <c r="AC137" s="161">
        <v>1359</v>
      </c>
      <c r="AD137" s="170">
        <v>0</v>
      </c>
      <c r="AE137" s="169">
        <v>1488</v>
      </c>
      <c r="AF137" s="161">
        <v>53</v>
      </c>
      <c r="AG137" s="161">
        <v>0</v>
      </c>
      <c r="AH137" s="161">
        <v>0</v>
      </c>
      <c r="AI137" s="161">
        <v>10035</v>
      </c>
      <c r="AJ137" s="161">
        <v>4789</v>
      </c>
      <c r="AK137" s="161">
        <v>750</v>
      </c>
      <c r="AL137" s="170">
        <v>0</v>
      </c>
      <c r="AM137" s="216">
        <v>11330000</v>
      </c>
      <c r="AN137" s="161">
        <v>975</v>
      </c>
      <c r="AO137" s="219">
        <v>0</v>
      </c>
      <c r="AP137" s="161">
        <v>0</v>
      </c>
      <c r="AQ137" s="219">
        <v>0</v>
      </c>
      <c r="AR137" s="170">
        <v>0</v>
      </c>
    </row>
    <row r="138" spans="1:44" x14ac:dyDescent="0.3">
      <c r="A138" s="24">
        <v>358</v>
      </c>
      <c r="B138" s="24" t="s">
        <v>137</v>
      </c>
      <c r="C138" s="24" t="s">
        <v>350</v>
      </c>
      <c r="D138" s="160">
        <v>51952889.369999997</v>
      </c>
      <c r="E138" s="161">
        <v>14412</v>
      </c>
      <c r="F138" s="161">
        <v>14744</v>
      </c>
      <c r="G138" s="165">
        <v>2.3036358590063921E-2</v>
      </c>
      <c r="H138" s="169">
        <v>18748</v>
      </c>
      <c r="I138" s="161">
        <v>19929</v>
      </c>
      <c r="J138" s="161">
        <v>0</v>
      </c>
      <c r="K138" s="170">
        <v>190</v>
      </c>
      <c r="L138" s="169">
        <v>13926</v>
      </c>
      <c r="M138" s="161">
        <v>14031</v>
      </c>
      <c r="N138" s="175">
        <v>7.5398535099999997E-3</v>
      </c>
      <c r="O138" s="161">
        <v>14059</v>
      </c>
      <c r="P138" s="176">
        <v>9.55048111E-3</v>
      </c>
      <c r="Q138" s="182">
        <v>76.099999999999994</v>
      </c>
      <c r="R138" s="183">
        <v>13</v>
      </c>
      <c r="S138" s="183">
        <v>4.5999999999999996</v>
      </c>
      <c r="T138" s="184">
        <v>93.6</v>
      </c>
      <c r="U138" s="169">
        <v>132</v>
      </c>
      <c r="V138" s="161">
        <v>119</v>
      </c>
      <c r="W138" s="161">
        <v>0</v>
      </c>
      <c r="X138" s="161">
        <v>0</v>
      </c>
      <c r="Y138" s="161">
        <v>0</v>
      </c>
      <c r="Z138" s="161">
        <v>10910</v>
      </c>
      <c r="AA138" s="161">
        <v>6571</v>
      </c>
      <c r="AB138" s="161">
        <v>2197</v>
      </c>
      <c r="AC138" s="161">
        <v>0</v>
      </c>
      <c r="AD138" s="170">
        <v>0</v>
      </c>
      <c r="AE138" s="169">
        <v>126</v>
      </c>
      <c r="AF138" s="161">
        <v>93</v>
      </c>
      <c r="AG138" s="161">
        <v>32</v>
      </c>
      <c r="AH138" s="161">
        <v>0</v>
      </c>
      <c r="AI138" s="161">
        <v>10372</v>
      </c>
      <c r="AJ138" s="161">
        <v>4665</v>
      </c>
      <c r="AK138" s="161">
        <v>4641</v>
      </c>
      <c r="AL138" s="170">
        <v>0</v>
      </c>
      <c r="AM138" s="216">
        <v>350000</v>
      </c>
      <c r="AN138" s="161">
        <v>28</v>
      </c>
      <c r="AO138" s="219">
        <v>0</v>
      </c>
      <c r="AP138" s="161">
        <v>0</v>
      </c>
      <c r="AQ138" s="219">
        <v>0</v>
      </c>
      <c r="AR138" s="170">
        <v>0</v>
      </c>
    </row>
    <row r="139" spans="1:44" x14ac:dyDescent="0.3">
      <c r="A139" s="24">
        <v>384</v>
      </c>
      <c r="B139" s="24" t="s">
        <v>138</v>
      </c>
      <c r="C139" s="24" t="s">
        <v>346</v>
      </c>
      <c r="D139" s="160">
        <v>27673760.829999998</v>
      </c>
      <c r="E139" s="161">
        <v>17631</v>
      </c>
      <c r="F139" s="161">
        <v>18410</v>
      </c>
      <c r="G139" s="165">
        <v>4.4183540355056339E-2</v>
      </c>
      <c r="H139" s="169">
        <v>22975</v>
      </c>
      <c r="I139" s="161">
        <v>23165</v>
      </c>
      <c r="J139" s="161">
        <v>0</v>
      </c>
      <c r="K139" s="170">
        <v>20</v>
      </c>
      <c r="L139" s="169">
        <v>17656</v>
      </c>
      <c r="M139" s="161">
        <v>17789</v>
      </c>
      <c r="N139" s="175">
        <v>7.5328500199999997E-3</v>
      </c>
      <c r="O139" s="161">
        <v>17988</v>
      </c>
      <c r="P139" s="176">
        <v>1.8803806070000002E-2</v>
      </c>
      <c r="Q139" s="182">
        <v>96.2</v>
      </c>
      <c r="R139" s="183">
        <v>2</v>
      </c>
      <c r="S139" s="183">
        <v>0.3</v>
      </c>
      <c r="T139" s="184">
        <v>98.5</v>
      </c>
      <c r="U139" s="169">
        <v>0</v>
      </c>
      <c r="V139" s="161">
        <v>0</v>
      </c>
      <c r="W139" s="161">
        <v>0</v>
      </c>
      <c r="X139" s="161">
        <v>0</v>
      </c>
      <c r="Y139" s="161">
        <v>0</v>
      </c>
      <c r="Z139" s="161">
        <v>4011</v>
      </c>
      <c r="AA139" s="161">
        <v>11368</v>
      </c>
      <c r="AB139" s="161">
        <v>6633</v>
      </c>
      <c r="AC139" s="161">
        <v>1153</v>
      </c>
      <c r="AD139" s="170">
        <v>0</v>
      </c>
      <c r="AE139" s="169">
        <v>0</v>
      </c>
      <c r="AF139" s="161">
        <v>0</v>
      </c>
      <c r="AG139" s="161">
        <v>0</v>
      </c>
      <c r="AH139" s="161">
        <v>0</v>
      </c>
      <c r="AI139" s="161">
        <v>4254</v>
      </c>
      <c r="AJ139" s="161">
        <v>12624</v>
      </c>
      <c r="AK139" s="161">
        <v>6287</v>
      </c>
      <c r="AL139" s="170">
        <v>0</v>
      </c>
      <c r="AM139" s="216">
        <v>0</v>
      </c>
      <c r="AN139" s="161">
        <v>0</v>
      </c>
      <c r="AO139" s="219">
        <v>0</v>
      </c>
      <c r="AP139" s="161">
        <v>0</v>
      </c>
      <c r="AQ139" s="219">
        <v>0</v>
      </c>
      <c r="AR139" s="170">
        <v>0</v>
      </c>
    </row>
    <row r="140" spans="1:44" x14ac:dyDescent="0.3">
      <c r="A140" s="24">
        <v>335</v>
      </c>
      <c r="B140" s="24" t="s">
        <v>139</v>
      </c>
      <c r="C140" s="24" t="s">
        <v>349</v>
      </c>
      <c r="D140" s="160">
        <v>41792401.350000001</v>
      </c>
      <c r="E140" s="161">
        <v>14733</v>
      </c>
      <c r="F140" s="161">
        <v>17333</v>
      </c>
      <c r="G140" s="165">
        <v>0.17647458087287049</v>
      </c>
      <c r="H140" s="169">
        <v>23108</v>
      </c>
      <c r="I140" s="161">
        <v>23024</v>
      </c>
      <c r="J140" s="161">
        <v>230</v>
      </c>
      <c r="K140" s="170">
        <v>170</v>
      </c>
      <c r="L140" s="169">
        <v>16338</v>
      </c>
      <c r="M140" s="161">
        <v>16166</v>
      </c>
      <c r="N140" s="175">
        <v>-1.0527604350000001E-2</v>
      </c>
      <c r="O140" s="161">
        <v>16240</v>
      </c>
      <c r="P140" s="176">
        <v>-5.9982862000000003E-3</v>
      </c>
      <c r="Q140" s="182">
        <v>77.599999999999994</v>
      </c>
      <c r="R140" s="183">
        <v>11.7</v>
      </c>
      <c r="S140" s="183">
        <v>3.8</v>
      </c>
      <c r="T140" s="184">
        <v>93.1</v>
      </c>
      <c r="U140" s="169">
        <v>0</v>
      </c>
      <c r="V140" s="161">
        <v>0</v>
      </c>
      <c r="W140" s="161">
        <v>0</v>
      </c>
      <c r="X140" s="161">
        <v>0</v>
      </c>
      <c r="Y140" s="161">
        <v>0</v>
      </c>
      <c r="Z140" s="161">
        <v>4429</v>
      </c>
      <c r="AA140" s="161">
        <v>10208</v>
      </c>
      <c r="AB140" s="161">
        <v>5479</v>
      </c>
      <c r="AC140" s="161">
        <v>2128</v>
      </c>
      <c r="AD140" s="170">
        <v>0</v>
      </c>
      <c r="AE140" s="169">
        <v>0</v>
      </c>
      <c r="AF140" s="161">
        <v>0</v>
      </c>
      <c r="AG140" s="161">
        <v>0</v>
      </c>
      <c r="AH140" s="161">
        <v>0</v>
      </c>
      <c r="AI140" s="161">
        <v>2296</v>
      </c>
      <c r="AJ140" s="161">
        <v>9166</v>
      </c>
      <c r="AK140" s="161">
        <v>10782</v>
      </c>
      <c r="AL140" s="170">
        <v>0</v>
      </c>
      <c r="AM140" s="216">
        <v>0</v>
      </c>
      <c r="AN140" s="161">
        <v>0</v>
      </c>
      <c r="AO140" s="219">
        <v>0</v>
      </c>
      <c r="AP140" s="161">
        <v>0</v>
      </c>
      <c r="AQ140" s="219">
        <v>0</v>
      </c>
      <c r="AR140" s="170">
        <v>0</v>
      </c>
    </row>
    <row r="141" spans="1:44" x14ac:dyDescent="0.3">
      <c r="A141" s="24">
        <v>320</v>
      </c>
      <c r="B141" s="24" t="s">
        <v>140</v>
      </c>
      <c r="C141" s="24" t="s">
        <v>345</v>
      </c>
      <c r="D141" s="160">
        <v>175914828.5</v>
      </c>
      <c r="E141" s="161">
        <v>12107</v>
      </c>
      <c r="F141" s="161">
        <v>13594</v>
      </c>
      <c r="G141" s="165">
        <v>0.12282150821838611</v>
      </c>
      <c r="H141" s="169">
        <v>14894</v>
      </c>
      <c r="I141" s="161">
        <v>15603</v>
      </c>
      <c r="J141" s="161">
        <v>900</v>
      </c>
      <c r="K141" s="170">
        <v>0</v>
      </c>
      <c r="L141" s="169">
        <v>12891</v>
      </c>
      <c r="M141" s="161">
        <v>13132</v>
      </c>
      <c r="N141" s="175">
        <v>1.8695213709999998E-2</v>
      </c>
      <c r="O141" s="161">
        <v>13804</v>
      </c>
      <c r="P141" s="176">
        <v>7.0824606309999996E-2</v>
      </c>
      <c r="Q141" s="182">
        <v>77.2</v>
      </c>
      <c r="R141" s="183">
        <v>11.9</v>
      </c>
      <c r="S141" s="183">
        <v>4.3</v>
      </c>
      <c r="T141" s="184">
        <v>93.4</v>
      </c>
      <c r="U141" s="169">
        <v>0</v>
      </c>
      <c r="V141" s="161">
        <v>340</v>
      </c>
      <c r="W141" s="161">
        <v>0</v>
      </c>
      <c r="X141" s="161">
        <v>0</v>
      </c>
      <c r="Y141" s="161">
        <v>0</v>
      </c>
      <c r="Z141" s="161">
        <v>0</v>
      </c>
      <c r="AA141" s="161">
        <v>10476</v>
      </c>
      <c r="AB141" s="161">
        <v>4287</v>
      </c>
      <c r="AC141" s="161">
        <v>0</v>
      </c>
      <c r="AD141" s="170">
        <v>0</v>
      </c>
      <c r="AE141" s="169">
        <v>340</v>
      </c>
      <c r="AF141" s="161">
        <v>0</v>
      </c>
      <c r="AG141" s="161">
        <v>0</v>
      </c>
      <c r="AH141" s="161">
        <v>0</v>
      </c>
      <c r="AI141" s="161">
        <v>10241</v>
      </c>
      <c r="AJ141" s="161">
        <v>4522</v>
      </c>
      <c r="AK141" s="161">
        <v>0</v>
      </c>
      <c r="AL141" s="170">
        <v>0</v>
      </c>
      <c r="AM141" s="216">
        <v>0</v>
      </c>
      <c r="AN141" s="161">
        <v>0</v>
      </c>
      <c r="AO141" s="219">
        <v>0</v>
      </c>
      <c r="AP141" s="161">
        <v>0</v>
      </c>
      <c r="AQ141" s="219">
        <v>0</v>
      </c>
      <c r="AR141" s="170">
        <v>0</v>
      </c>
    </row>
    <row r="142" spans="1:44" x14ac:dyDescent="0.3">
      <c r="A142" s="24">
        <v>212</v>
      </c>
      <c r="B142" s="24" t="s">
        <v>141</v>
      </c>
      <c r="C142" s="24" t="s">
        <v>345</v>
      </c>
      <c r="D142" s="160">
        <v>47988823.130000003</v>
      </c>
      <c r="E142" s="161">
        <v>8186</v>
      </c>
      <c r="F142" s="161">
        <v>9074</v>
      </c>
      <c r="G142" s="165">
        <v>0.10847788907891531</v>
      </c>
      <c r="H142" s="169">
        <v>13205</v>
      </c>
      <c r="I142" s="161">
        <v>13470</v>
      </c>
      <c r="J142" s="161">
        <v>600</v>
      </c>
      <c r="K142" s="170">
        <v>0</v>
      </c>
      <c r="L142" s="169">
        <v>8550</v>
      </c>
      <c r="M142" s="161">
        <v>8763</v>
      </c>
      <c r="N142" s="175">
        <v>2.4912280700000001E-2</v>
      </c>
      <c r="O142" s="161">
        <v>8881</v>
      </c>
      <c r="P142" s="176">
        <v>3.871345029E-2</v>
      </c>
      <c r="Q142" s="182">
        <v>57.8</v>
      </c>
      <c r="R142" s="183">
        <v>17.8</v>
      </c>
      <c r="S142" s="183">
        <v>9.5</v>
      </c>
      <c r="T142" s="184">
        <v>85.1</v>
      </c>
      <c r="U142" s="169">
        <v>229</v>
      </c>
      <c r="V142" s="161">
        <v>243</v>
      </c>
      <c r="W142" s="161">
        <v>0</v>
      </c>
      <c r="X142" s="161">
        <v>0</v>
      </c>
      <c r="Y142" s="161">
        <v>0</v>
      </c>
      <c r="Z142" s="161">
        <v>5356</v>
      </c>
      <c r="AA142" s="161">
        <v>6157</v>
      </c>
      <c r="AB142" s="161">
        <v>0</v>
      </c>
      <c r="AC142" s="161">
        <v>0</v>
      </c>
      <c r="AD142" s="170">
        <v>0</v>
      </c>
      <c r="AE142" s="169">
        <v>363</v>
      </c>
      <c r="AF142" s="161">
        <v>84</v>
      </c>
      <c r="AG142" s="161">
        <v>25</v>
      </c>
      <c r="AH142" s="161">
        <v>0</v>
      </c>
      <c r="AI142" s="161">
        <v>5762</v>
      </c>
      <c r="AJ142" s="161">
        <v>4106</v>
      </c>
      <c r="AK142" s="161">
        <v>1645</v>
      </c>
      <c r="AL142" s="170">
        <v>0</v>
      </c>
      <c r="AM142" s="216">
        <v>0</v>
      </c>
      <c r="AN142" s="161">
        <v>0</v>
      </c>
      <c r="AO142" s="219">
        <v>0</v>
      </c>
      <c r="AP142" s="161">
        <v>0</v>
      </c>
      <c r="AQ142" s="219">
        <v>27382000</v>
      </c>
      <c r="AR142" s="170">
        <v>600</v>
      </c>
    </row>
    <row r="143" spans="1:44" x14ac:dyDescent="0.3">
      <c r="A143" s="24">
        <v>877</v>
      </c>
      <c r="B143" s="24" t="s">
        <v>142</v>
      </c>
      <c r="C143" s="24" t="s">
        <v>350</v>
      </c>
      <c r="D143" s="160">
        <v>20702360.550000001</v>
      </c>
      <c r="E143" s="161">
        <v>12100</v>
      </c>
      <c r="F143" s="161">
        <v>11940</v>
      </c>
      <c r="G143" s="165">
        <v>-1.3223140495867813E-2</v>
      </c>
      <c r="H143" s="169">
        <v>15194</v>
      </c>
      <c r="I143" s="161">
        <v>15285</v>
      </c>
      <c r="J143" s="161">
        <v>348</v>
      </c>
      <c r="K143" s="170">
        <v>0</v>
      </c>
      <c r="L143" s="169">
        <v>11600</v>
      </c>
      <c r="M143" s="161">
        <v>11657</v>
      </c>
      <c r="N143" s="175">
        <v>4.9137931000000001E-3</v>
      </c>
      <c r="O143" s="161">
        <v>11854</v>
      </c>
      <c r="P143" s="176">
        <v>2.1896551720000001E-2</v>
      </c>
      <c r="Q143" s="182">
        <v>92</v>
      </c>
      <c r="R143" s="183">
        <v>6</v>
      </c>
      <c r="S143" s="183">
        <v>0.9</v>
      </c>
      <c r="T143" s="184">
        <v>98.9</v>
      </c>
      <c r="U143" s="169">
        <v>0</v>
      </c>
      <c r="V143" s="161">
        <v>63</v>
      </c>
      <c r="W143" s="161">
        <v>0</v>
      </c>
      <c r="X143" s="161">
        <v>0</v>
      </c>
      <c r="Y143" s="161">
        <v>0</v>
      </c>
      <c r="Z143" s="161">
        <v>3567</v>
      </c>
      <c r="AA143" s="161">
        <v>4419</v>
      </c>
      <c r="AB143" s="161">
        <v>5241</v>
      </c>
      <c r="AC143" s="161">
        <v>825</v>
      </c>
      <c r="AD143" s="170">
        <v>0</v>
      </c>
      <c r="AE143" s="169">
        <v>0</v>
      </c>
      <c r="AF143" s="161">
        <v>0</v>
      </c>
      <c r="AG143" s="161">
        <v>63</v>
      </c>
      <c r="AH143" s="161">
        <v>0</v>
      </c>
      <c r="AI143" s="161">
        <v>0</v>
      </c>
      <c r="AJ143" s="161">
        <v>8247</v>
      </c>
      <c r="AK143" s="161">
        <v>5805</v>
      </c>
      <c r="AL143" s="170">
        <v>0</v>
      </c>
      <c r="AM143" s="216">
        <v>0</v>
      </c>
      <c r="AN143" s="161">
        <v>0</v>
      </c>
      <c r="AO143" s="219">
        <v>0</v>
      </c>
      <c r="AP143" s="161">
        <v>0</v>
      </c>
      <c r="AQ143" s="219">
        <v>0</v>
      </c>
      <c r="AR143" s="170">
        <v>0</v>
      </c>
    </row>
    <row r="144" spans="1:44" x14ac:dyDescent="0.3">
      <c r="A144" s="24">
        <v>937</v>
      </c>
      <c r="B144" s="24" t="s">
        <v>143</v>
      </c>
      <c r="C144" s="24" t="s">
        <v>349</v>
      </c>
      <c r="D144" s="160">
        <v>59510789.760000005</v>
      </c>
      <c r="E144" s="161">
        <v>29696</v>
      </c>
      <c r="F144" s="161">
        <v>29304</v>
      </c>
      <c r="G144" s="165">
        <v>-1.3200431034482762E-2</v>
      </c>
      <c r="H144" s="169">
        <v>36184</v>
      </c>
      <c r="I144" s="161">
        <v>38105</v>
      </c>
      <c r="J144" s="161">
        <v>118</v>
      </c>
      <c r="K144" s="170">
        <v>530</v>
      </c>
      <c r="L144" s="169">
        <v>27996</v>
      </c>
      <c r="M144" s="161">
        <v>28146</v>
      </c>
      <c r="N144" s="175">
        <v>5.3579082700000004E-3</v>
      </c>
      <c r="O144" s="161">
        <v>28014</v>
      </c>
      <c r="P144" s="176">
        <v>6.4294899000000001E-4</v>
      </c>
      <c r="Q144" s="182">
        <v>80.400000000000006</v>
      </c>
      <c r="R144" s="183">
        <v>10</v>
      </c>
      <c r="S144" s="183">
        <v>3.4</v>
      </c>
      <c r="T144" s="184">
        <v>93.8</v>
      </c>
      <c r="U144" s="169">
        <v>130</v>
      </c>
      <c r="V144" s="161">
        <v>40</v>
      </c>
      <c r="W144" s="161">
        <v>0</v>
      </c>
      <c r="X144" s="161">
        <v>0</v>
      </c>
      <c r="Y144" s="161">
        <v>0</v>
      </c>
      <c r="Z144" s="161">
        <v>11480</v>
      </c>
      <c r="AA144" s="161">
        <v>17893</v>
      </c>
      <c r="AB144" s="161">
        <v>4646</v>
      </c>
      <c r="AC144" s="161">
        <v>1200</v>
      </c>
      <c r="AD144" s="170">
        <v>0</v>
      </c>
      <c r="AE144" s="169">
        <v>170</v>
      </c>
      <c r="AF144" s="161">
        <v>0</v>
      </c>
      <c r="AG144" s="161">
        <v>0</v>
      </c>
      <c r="AH144" s="161">
        <v>0</v>
      </c>
      <c r="AI144" s="161">
        <v>15808</v>
      </c>
      <c r="AJ144" s="161">
        <v>12136</v>
      </c>
      <c r="AK144" s="161">
        <v>7275</v>
      </c>
      <c r="AL144" s="170">
        <v>0</v>
      </c>
      <c r="AM144" s="216">
        <v>2880000</v>
      </c>
      <c r="AN144" s="161">
        <v>210</v>
      </c>
      <c r="AO144" s="219">
        <v>0</v>
      </c>
      <c r="AP144" s="161">
        <v>0</v>
      </c>
      <c r="AQ144" s="219">
        <v>0</v>
      </c>
      <c r="AR144" s="170">
        <v>0</v>
      </c>
    </row>
    <row r="145" spans="1:44" x14ac:dyDescent="0.3">
      <c r="A145" s="24">
        <v>869</v>
      </c>
      <c r="B145" s="24" t="s">
        <v>144</v>
      </c>
      <c r="C145" s="24" t="s">
        <v>351</v>
      </c>
      <c r="D145" s="160">
        <v>25667395.010000002</v>
      </c>
      <c r="E145" s="161">
        <v>9806</v>
      </c>
      <c r="F145" s="161">
        <v>9409</v>
      </c>
      <c r="G145" s="165">
        <v>-4.0485417091576603E-2</v>
      </c>
      <c r="H145" s="169">
        <v>12766</v>
      </c>
      <c r="I145" s="161">
        <v>12780</v>
      </c>
      <c r="J145" s="161">
        <v>0</v>
      </c>
      <c r="K145" s="170">
        <v>10</v>
      </c>
      <c r="L145" s="169">
        <v>9201</v>
      </c>
      <c r="M145" s="161">
        <v>9294</v>
      </c>
      <c r="N145" s="175">
        <v>1.0107596999999999E-2</v>
      </c>
      <c r="O145" s="161">
        <v>9436</v>
      </c>
      <c r="P145" s="176">
        <v>2.5540702089999999E-2</v>
      </c>
      <c r="Q145" s="182">
        <v>92</v>
      </c>
      <c r="R145" s="183">
        <v>3.5</v>
      </c>
      <c r="S145" s="183">
        <v>1</v>
      </c>
      <c r="T145" s="184">
        <v>96.5</v>
      </c>
      <c r="U145" s="169">
        <v>0</v>
      </c>
      <c r="V145" s="161">
        <v>0</v>
      </c>
      <c r="W145" s="161">
        <v>0</v>
      </c>
      <c r="X145" s="161">
        <v>0</v>
      </c>
      <c r="Y145" s="161">
        <v>0</v>
      </c>
      <c r="Z145" s="161">
        <v>1161</v>
      </c>
      <c r="AA145" s="161">
        <v>7887</v>
      </c>
      <c r="AB145" s="161">
        <v>3732</v>
      </c>
      <c r="AC145" s="161">
        <v>0</v>
      </c>
      <c r="AD145" s="170">
        <v>0</v>
      </c>
      <c r="AE145" s="169">
        <v>0</v>
      </c>
      <c r="AF145" s="161">
        <v>0</v>
      </c>
      <c r="AG145" s="161">
        <v>0</v>
      </c>
      <c r="AH145" s="161">
        <v>0</v>
      </c>
      <c r="AI145" s="161">
        <v>6739</v>
      </c>
      <c r="AJ145" s="161">
        <v>5389</v>
      </c>
      <c r="AK145" s="161">
        <v>652</v>
      </c>
      <c r="AL145" s="170">
        <v>0</v>
      </c>
      <c r="AM145" s="216">
        <v>0</v>
      </c>
      <c r="AN145" s="161">
        <v>0</v>
      </c>
      <c r="AO145" s="219">
        <v>0</v>
      </c>
      <c r="AP145" s="161">
        <v>0</v>
      </c>
      <c r="AQ145" s="219">
        <v>0</v>
      </c>
      <c r="AR145" s="170">
        <v>0</v>
      </c>
    </row>
    <row r="146" spans="1:44" x14ac:dyDescent="0.3">
      <c r="A146" s="24">
        <v>938</v>
      </c>
      <c r="B146" s="24" t="s">
        <v>145</v>
      </c>
      <c r="C146" s="24" t="s">
        <v>351</v>
      </c>
      <c r="D146" s="160">
        <v>197655481.65000001</v>
      </c>
      <c r="E146" s="161">
        <v>36791</v>
      </c>
      <c r="F146" s="161">
        <v>42192</v>
      </c>
      <c r="G146" s="165">
        <v>0.14680220706150959</v>
      </c>
      <c r="H146" s="169">
        <v>49562</v>
      </c>
      <c r="I146" s="161">
        <v>52799</v>
      </c>
      <c r="J146" s="161">
        <v>1950</v>
      </c>
      <c r="K146" s="170">
        <v>400</v>
      </c>
      <c r="L146" s="169">
        <v>39469</v>
      </c>
      <c r="M146" s="161">
        <v>40009</v>
      </c>
      <c r="N146" s="175">
        <v>1.3681623550000001E-2</v>
      </c>
      <c r="O146" s="161">
        <v>41365</v>
      </c>
      <c r="P146" s="176">
        <v>4.803770047E-2</v>
      </c>
      <c r="Q146" s="182">
        <v>90.4</v>
      </c>
      <c r="R146" s="183">
        <v>5.7</v>
      </c>
      <c r="S146" s="183">
        <v>1.6</v>
      </c>
      <c r="T146" s="184">
        <v>97.7</v>
      </c>
      <c r="U146" s="169">
        <v>0</v>
      </c>
      <c r="V146" s="161">
        <v>0</v>
      </c>
      <c r="W146" s="161">
        <v>0</v>
      </c>
      <c r="X146" s="161">
        <v>0</v>
      </c>
      <c r="Y146" s="161">
        <v>0</v>
      </c>
      <c r="Z146" s="161">
        <v>13382</v>
      </c>
      <c r="AA146" s="161">
        <v>24479</v>
      </c>
      <c r="AB146" s="161">
        <v>9582</v>
      </c>
      <c r="AC146" s="161">
        <v>3100</v>
      </c>
      <c r="AD146" s="170">
        <v>0</v>
      </c>
      <c r="AE146" s="169">
        <v>0</v>
      </c>
      <c r="AF146" s="161">
        <v>0</v>
      </c>
      <c r="AG146" s="161">
        <v>0</v>
      </c>
      <c r="AH146" s="161">
        <v>0</v>
      </c>
      <c r="AI146" s="161">
        <v>23737</v>
      </c>
      <c r="AJ146" s="161">
        <v>13804</v>
      </c>
      <c r="AK146" s="161">
        <v>11635</v>
      </c>
      <c r="AL146" s="170">
        <v>1367</v>
      </c>
      <c r="AM146" s="216">
        <v>4691940</v>
      </c>
      <c r="AN146" s="161">
        <v>300</v>
      </c>
      <c r="AO146" s="219">
        <v>0</v>
      </c>
      <c r="AP146" s="161">
        <v>0</v>
      </c>
      <c r="AQ146" s="219">
        <v>0</v>
      </c>
      <c r="AR146" s="170">
        <v>0</v>
      </c>
    </row>
    <row r="147" spans="1:44" x14ac:dyDescent="0.3">
      <c r="A147" s="24">
        <v>213</v>
      </c>
      <c r="B147" s="24" t="s">
        <v>146</v>
      </c>
      <c r="C147" s="24" t="s">
        <v>345</v>
      </c>
      <c r="D147" s="160">
        <v>24149488.350000001</v>
      </c>
      <c r="E147" s="161">
        <v>4268</v>
      </c>
      <c r="F147" s="161">
        <v>8355</v>
      </c>
      <c r="G147" s="165">
        <v>0.95759137769447045</v>
      </c>
      <c r="H147" s="169">
        <v>9140</v>
      </c>
      <c r="I147" s="161">
        <v>11170</v>
      </c>
      <c r="J147" s="161">
        <v>975</v>
      </c>
      <c r="K147" s="170">
        <v>0</v>
      </c>
      <c r="L147" s="169">
        <v>7888</v>
      </c>
      <c r="M147" s="161">
        <v>7766</v>
      </c>
      <c r="N147" s="175">
        <v>-1.546653144E-2</v>
      </c>
      <c r="O147" s="161">
        <v>8033</v>
      </c>
      <c r="P147" s="176">
        <v>1.8382352939999999E-2</v>
      </c>
      <c r="Q147" s="182">
        <v>57</v>
      </c>
      <c r="R147" s="183">
        <v>17</v>
      </c>
      <c r="S147" s="183">
        <v>9.1</v>
      </c>
      <c r="T147" s="184">
        <v>83.1</v>
      </c>
      <c r="U147" s="169">
        <v>0</v>
      </c>
      <c r="V147" s="161">
        <v>0</v>
      </c>
      <c r="W147" s="161">
        <v>0</v>
      </c>
      <c r="X147" s="161">
        <v>0</v>
      </c>
      <c r="Y147" s="161">
        <v>0</v>
      </c>
      <c r="Z147" s="161">
        <v>7980</v>
      </c>
      <c r="AA147" s="161">
        <v>850</v>
      </c>
      <c r="AB147" s="161">
        <v>1500</v>
      </c>
      <c r="AC147" s="161">
        <v>0</v>
      </c>
      <c r="AD147" s="170">
        <v>0</v>
      </c>
      <c r="AE147" s="169">
        <v>0</v>
      </c>
      <c r="AF147" s="161">
        <v>0</v>
      </c>
      <c r="AG147" s="161">
        <v>0</v>
      </c>
      <c r="AH147" s="161">
        <v>0</v>
      </c>
      <c r="AI147" s="161">
        <v>7980</v>
      </c>
      <c r="AJ147" s="161">
        <v>850</v>
      </c>
      <c r="AK147" s="161">
        <v>1500</v>
      </c>
      <c r="AL147" s="170">
        <v>0</v>
      </c>
      <c r="AM147" s="216">
        <v>0</v>
      </c>
      <c r="AN147" s="161">
        <v>0</v>
      </c>
      <c r="AO147" s="219">
        <v>0</v>
      </c>
      <c r="AP147" s="161">
        <v>0</v>
      </c>
      <c r="AQ147" s="219">
        <v>0</v>
      </c>
      <c r="AR147" s="170">
        <v>0</v>
      </c>
    </row>
    <row r="148" spans="1:44" x14ac:dyDescent="0.3">
      <c r="A148" s="24">
        <v>359</v>
      </c>
      <c r="B148" s="24" t="s">
        <v>147</v>
      </c>
      <c r="C148" s="24" t="s">
        <v>350</v>
      </c>
      <c r="D148" s="160">
        <v>38385340.609999999</v>
      </c>
      <c r="E148" s="161">
        <v>18616</v>
      </c>
      <c r="F148" s="161">
        <v>18078</v>
      </c>
      <c r="G148" s="165">
        <v>-2.8899871078642003E-2</v>
      </c>
      <c r="H148" s="169">
        <v>21289</v>
      </c>
      <c r="I148" s="161">
        <v>20537</v>
      </c>
      <c r="J148" s="161">
        <v>570</v>
      </c>
      <c r="K148" s="170">
        <v>180</v>
      </c>
      <c r="L148" s="169">
        <v>17048</v>
      </c>
      <c r="M148" s="161">
        <v>17117</v>
      </c>
      <c r="N148" s="175">
        <v>4.0473955799999999E-3</v>
      </c>
      <c r="O148" s="161">
        <v>17261</v>
      </c>
      <c r="P148" s="176">
        <v>1.24941342E-2</v>
      </c>
      <c r="Q148" s="182">
        <v>92.4</v>
      </c>
      <c r="R148" s="183">
        <v>5.3</v>
      </c>
      <c r="S148" s="183">
        <v>0.7</v>
      </c>
      <c r="T148" s="184">
        <v>98.3</v>
      </c>
      <c r="U148" s="169">
        <v>0</v>
      </c>
      <c r="V148" s="161">
        <v>0</v>
      </c>
      <c r="W148" s="161">
        <v>0</v>
      </c>
      <c r="X148" s="161">
        <v>0</v>
      </c>
      <c r="Y148" s="161">
        <v>0</v>
      </c>
      <c r="Z148" s="161">
        <v>3107</v>
      </c>
      <c r="AA148" s="161">
        <v>10351</v>
      </c>
      <c r="AB148" s="161">
        <v>5179</v>
      </c>
      <c r="AC148" s="161">
        <v>0</v>
      </c>
      <c r="AD148" s="170">
        <v>0</v>
      </c>
      <c r="AE148" s="169">
        <v>0</v>
      </c>
      <c r="AF148" s="161">
        <v>0</v>
      </c>
      <c r="AG148" s="161">
        <v>0</v>
      </c>
      <c r="AH148" s="161">
        <v>0</v>
      </c>
      <c r="AI148" s="161">
        <v>5771</v>
      </c>
      <c r="AJ148" s="161">
        <v>4347</v>
      </c>
      <c r="AK148" s="161">
        <v>8519</v>
      </c>
      <c r="AL148" s="170">
        <v>0</v>
      </c>
      <c r="AM148" s="216">
        <v>0</v>
      </c>
      <c r="AN148" s="161">
        <v>0</v>
      </c>
      <c r="AO148" s="219">
        <v>0</v>
      </c>
      <c r="AP148" s="161">
        <v>0</v>
      </c>
      <c r="AQ148" s="219">
        <v>0</v>
      </c>
      <c r="AR148" s="170">
        <v>0</v>
      </c>
    </row>
    <row r="149" spans="1:44" x14ac:dyDescent="0.3">
      <c r="A149" s="24">
        <v>865</v>
      </c>
      <c r="B149" s="24" t="s">
        <v>148</v>
      </c>
      <c r="C149" s="24" t="s">
        <v>347</v>
      </c>
      <c r="D149" s="160">
        <v>64196989.980000004</v>
      </c>
      <c r="E149" s="161">
        <v>24920</v>
      </c>
      <c r="F149" s="161">
        <v>26068</v>
      </c>
      <c r="G149" s="165">
        <v>4.6067415730337125E-2</v>
      </c>
      <c r="H149" s="169">
        <v>33209</v>
      </c>
      <c r="I149" s="161">
        <v>34803</v>
      </c>
      <c r="J149" s="161">
        <v>307</v>
      </c>
      <c r="K149" s="170">
        <v>470</v>
      </c>
      <c r="L149" s="169">
        <v>24062</v>
      </c>
      <c r="M149" s="161">
        <v>24617</v>
      </c>
      <c r="N149" s="175">
        <v>2.306541434E-2</v>
      </c>
      <c r="O149" s="161">
        <v>25589</v>
      </c>
      <c r="P149" s="176">
        <v>6.3461058929999994E-2</v>
      </c>
      <c r="Q149" s="182">
        <v>94.9</v>
      </c>
      <c r="R149" s="183">
        <v>3.3</v>
      </c>
      <c r="S149" s="183">
        <v>0.5</v>
      </c>
      <c r="T149" s="184">
        <v>98.7</v>
      </c>
      <c r="U149" s="169">
        <v>0</v>
      </c>
      <c r="V149" s="161">
        <v>75</v>
      </c>
      <c r="W149" s="161">
        <v>0</v>
      </c>
      <c r="X149" s="161">
        <v>0</v>
      </c>
      <c r="Y149" s="161">
        <v>0</v>
      </c>
      <c r="Z149" s="161">
        <v>7616</v>
      </c>
      <c r="AA149" s="161">
        <v>23377</v>
      </c>
      <c r="AB149" s="161">
        <v>3735</v>
      </c>
      <c r="AC149" s="161">
        <v>0</v>
      </c>
      <c r="AD149" s="170">
        <v>0</v>
      </c>
      <c r="AE149" s="169">
        <v>0</v>
      </c>
      <c r="AF149" s="161">
        <v>75</v>
      </c>
      <c r="AG149" s="161">
        <v>0</v>
      </c>
      <c r="AH149" s="161">
        <v>0</v>
      </c>
      <c r="AI149" s="161">
        <v>11546</v>
      </c>
      <c r="AJ149" s="161">
        <v>18002</v>
      </c>
      <c r="AK149" s="161">
        <v>5180</v>
      </c>
      <c r="AL149" s="170">
        <v>0</v>
      </c>
      <c r="AM149" s="216">
        <v>4115989</v>
      </c>
      <c r="AN149" s="161">
        <v>210</v>
      </c>
      <c r="AO149" s="219">
        <v>0</v>
      </c>
      <c r="AP149" s="161">
        <v>0</v>
      </c>
      <c r="AQ149" s="219">
        <v>0</v>
      </c>
      <c r="AR149" s="170">
        <v>0</v>
      </c>
    </row>
    <row r="150" spans="1:44" x14ac:dyDescent="0.3">
      <c r="A150" s="24">
        <v>868</v>
      </c>
      <c r="B150" s="24" t="s">
        <v>149</v>
      </c>
      <c r="C150" s="24" t="s">
        <v>351</v>
      </c>
      <c r="D150" s="160">
        <v>29200675.77</v>
      </c>
      <c r="E150" s="161">
        <v>7722</v>
      </c>
      <c r="F150" s="161">
        <v>8131</v>
      </c>
      <c r="G150" s="165">
        <v>5.2965552965553053E-2</v>
      </c>
      <c r="H150" s="169">
        <v>10154</v>
      </c>
      <c r="I150" s="161">
        <v>11287</v>
      </c>
      <c r="J150" s="161">
        <v>32</v>
      </c>
      <c r="K150" s="170">
        <v>130</v>
      </c>
      <c r="L150" s="169">
        <v>7463</v>
      </c>
      <c r="M150" s="161">
        <v>7496</v>
      </c>
      <c r="N150" s="175">
        <v>4.4218142800000002E-3</v>
      </c>
      <c r="O150" s="161">
        <v>7735</v>
      </c>
      <c r="P150" s="176">
        <v>3.6446469240000001E-2</v>
      </c>
      <c r="Q150" s="182">
        <v>77.599999999999994</v>
      </c>
      <c r="R150" s="183">
        <v>7.5</v>
      </c>
      <c r="S150" s="183">
        <v>2.2999999999999998</v>
      </c>
      <c r="T150" s="184">
        <v>87.4</v>
      </c>
      <c r="U150" s="169">
        <v>16</v>
      </c>
      <c r="V150" s="161">
        <v>49</v>
      </c>
      <c r="W150" s="161">
        <v>45</v>
      </c>
      <c r="X150" s="161">
        <v>0</v>
      </c>
      <c r="Y150" s="161">
        <v>0</v>
      </c>
      <c r="Z150" s="161">
        <v>2390</v>
      </c>
      <c r="AA150" s="161">
        <v>3878</v>
      </c>
      <c r="AB150" s="161">
        <v>4273</v>
      </c>
      <c r="AC150" s="161">
        <v>0</v>
      </c>
      <c r="AD150" s="170">
        <v>0</v>
      </c>
      <c r="AE150" s="169">
        <v>16</v>
      </c>
      <c r="AF150" s="161">
        <v>94</v>
      </c>
      <c r="AG150" s="161">
        <v>0</v>
      </c>
      <c r="AH150" s="161">
        <v>0</v>
      </c>
      <c r="AI150" s="161">
        <v>4851</v>
      </c>
      <c r="AJ150" s="161">
        <v>3988</v>
      </c>
      <c r="AK150" s="161">
        <v>900</v>
      </c>
      <c r="AL150" s="170">
        <v>802</v>
      </c>
      <c r="AM150" s="216">
        <v>1697961</v>
      </c>
      <c r="AN150" s="161">
        <v>160</v>
      </c>
      <c r="AO150" s="219">
        <v>0</v>
      </c>
      <c r="AP150" s="161">
        <v>0</v>
      </c>
      <c r="AQ150" s="219">
        <v>0</v>
      </c>
      <c r="AR150" s="170">
        <v>0</v>
      </c>
    </row>
    <row r="151" spans="1:44" x14ac:dyDescent="0.3">
      <c r="A151" s="24">
        <v>344</v>
      </c>
      <c r="B151" s="24" t="s">
        <v>150</v>
      </c>
      <c r="C151" s="24" t="s">
        <v>350</v>
      </c>
      <c r="D151" s="160">
        <v>8169668.21</v>
      </c>
      <c r="E151" s="161">
        <v>18494</v>
      </c>
      <c r="F151" s="161">
        <v>17754</v>
      </c>
      <c r="G151" s="165">
        <v>-4.0012977181788645E-2</v>
      </c>
      <c r="H151" s="169">
        <v>27803</v>
      </c>
      <c r="I151" s="161">
        <v>26021</v>
      </c>
      <c r="J151" s="161">
        <v>62</v>
      </c>
      <c r="K151" s="170">
        <v>0</v>
      </c>
      <c r="L151" s="169">
        <v>17069</v>
      </c>
      <c r="M151" s="161">
        <v>17245</v>
      </c>
      <c r="N151" s="175">
        <v>1.0311090280000001E-2</v>
      </c>
      <c r="O151" s="161">
        <v>17271</v>
      </c>
      <c r="P151" s="176">
        <v>1.1834319520000001E-2</v>
      </c>
      <c r="Q151" s="182">
        <v>86.2</v>
      </c>
      <c r="R151" s="183">
        <v>9.1</v>
      </c>
      <c r="S151" s="183">
        <v>1.8</v>
      </c>
      <c r="T151" s="184">
        <v>97.1</v>
      </c>
      <c r="U151" s="169">
        <v>28</v>
      </c>
      <c r="V151" s="161">
        <v>28</v>
      </c>
      <c r="W151" s="161">
        <v>15</v>
      </c>
      <c r="X151" s="161">
        <v>0</v>
      </c>
      <c r="Y151" s="161">
        <v>0</v>
      </c>
      <c r="Z151" s="161">
        <v>7716</v>
      </c>
      <c r="AA151" s="161">
        <v>8355</v>
      </c>
      <c r="AB151" s="161">
        <v>8455</v>
      </c>
      <c r="AC151" s="161">
        <v>0</v>
      </c>
      <c r="AD151" s="170">
        <v>0</v>
      </c>
      <c r="AE151" s="169">
        <v>56</v>
      </c>
      <c r="AF151" s="161">
        <v>0</v>
      </c>
      <c r="AG151" s="161">
        <v>15</v>
      </c>
      <c r="AH151" s="161">
        <v>0</v>
      </c>
      <c r="AI151" s="161">
        <v>12234</v>
      </c>
      <c r="AJ151" s="161">
        <v>7344</v>
      </c>
      <c r="AK151" s="161">
        <v>4948</v>
      </c>
      <c r="AL151" s="170">
        <v>0</v>
      </c>
      <c r="AM151" s="216">
        <v>0</v>
      </c>
      <c r="AN151" s="161">
        <v>0</v>
      </c>
      <c r="AO151" s="219">
        <v>0</v>
      </c>
      <c r="AP151" s="161">
        <v>0</v>
      </c>
      <c r="AQ151" s="219">
        <v>0</v>
      </c>
      <c r="AR151" s="170">
        <v>0</v>
      </c>
    </row>
    <row r="152" spans="1:44" x14ac:dyDescent="0.3">
      <c r="A152" s="24">
        <v>872</v>
      </c>
      <c r="B152" s="24" t="s">
        <v>151</v>
      </c>
      <c r="C152" s="24" t="s">
        <v>351</v>
      </c>
      <c r="D152" s="160">
        <v>48135812.350000001</v>
      </c>
      <c r="E152" s="161">
        <v>8465</v>
      </c>
      <c r="F152" s="161">
        <v>8643</v>
      </c>
      <c r="G152" s="165">
        <v>2.1027761370348452E-2</v>
      </c>
      <c r="H152" s="169">
        <v>10278</v>
      </c>
      <c r="I152" s="161">
        <v>11330</v>
      </c>
      <c r="J152" s="161">
        <v>900</v>
      </c>
      <c r="K152" s="170">
        <v>0</v>
      </c>
      <c r="L152" s="169">
        <v>8250</v>
      </c>
      <c r="M152" s="161">
        <v>8312</v>
      </c>
      <c r="N152" s="175">
        <v>7.51515151E-3</v>
      </c>
      <c r="O152" s="161">
        <v>8211</v>
      </c>
      <c r="P152" s="176">
        <v>-4.72727272E-3</v>
      </c>
      <c r="Q152" s="182">
        <v>84.2</v>
      </c>
      <c r="R152" s="183">
        <v>9.8000000000000007</v>
      </c>
      <c r="S152" s="183">
        <v>2.5</v>
      </c>
      <c r="T152" s="184">
        <v>96.5</v>
      </c>
      <c r="U152" s="169">
        <v>0</v>
      </c>
      <c r="V152" s="161">
        <v>0</v>
      </c>
      <c r="W152" s="161">
        <v>0</v>
      </c>
      <c r="X152" s="161">
        <v>0</v>
      </c>
      <c r="Y152" s="161">
        <v>0</v>
      </c>
      <c r="Z152" s="161">
        <v>1209</v>
      </c>
      <c r="AA152" s="161">
        <v>9561</v>
      </c>
      <c r="AB152" s="161">
        <v>0</v>
      </c>
      <c r="AC152" s="161">
        <v>0</v>
      </c>
      <c r="AD152" s="170">
        <v>0</v>
      </c>
      <c r="AE152" s="169">
        <v>0</v>
      </c>
      <c r="AF152" s="161">
        <v>0</v>
      </c>
      <c r="AG152" s="161">
        <v>0</v>
      </c>
      <c r="AH152" s="161">
        <v>0</v>
      </c>
      <c r="AI152" s="161">
        <v>8437</v>
      </c>
      <c r="AJ152" s="161">
        <v>2333</v>
      </c>
      <c r="AK152" s="161">
        <v>0</v>
      </c>
      <c r="AL152" s="170">
        <v>0</v>
      </c>
      <c r="AM152" s="216">
        <v>166412</v>
      </c>
      <c r="AN152" s="161">
        <v>150</v>
      </c>
      <c r="AO152" s="219">
        <v>0</v>
      </c>
      <c r="AP152" s="161">
        <v>0</v>
      </c>
      <c r="AQ152" s="219">
        <v>0</v>
      </c>
      <c r="AR152" s="170">
        <v>0</v>
      </c>
    </row>
    <row r="153" spans="1:44" x14ac:dyDescent="0.3">
      <c r="A153" s="24">
        <v>336</v>
      </c>
      <c r="B153" s="24" t="s">
        <v>152</v>
      </c>
      <c r="C153" s="24" t="s">
        <v>349</v>
      </c>
      <c r="D153" s="160">
        <v>22446886.620000001</v>
      </c>
      <c r="E153" s="161">
        <v>12299</v>
      </c>
      <c r="F153" s="161">
        <v>13930</v>
      </c>
      <c r="G153" s="165">
        <v>0.1326124075128059</v>
      </c>
      <c r="H153" s="169">
        <v>18004</v>
      </c>
      <c r="I153" s="161">
        <v>18328</v>
      </c>
      <c r="J153" s="161">
        <v>660</v>
      </c>
      <c r="K153" s="170">
        <v>0</v>
      </c>
      <c r="L153" s="169">
        <v>12527</v>
      </c>
      <c r="M153" s="161">
        <v>12553</v>
      </c>
      <c r="N153" s="175">
        <v>2.0755168799999999E-3</v>
      </c>
      <c r="O153" s="161">
        <v>12415</v>
      </c>
      <c r="P153" s="176">
        <v>-8.9406881099999991E-3</v>
      </c>
      <c r="Q153" s="182">
        <v>82.6</v>
      </c>
      <c r="R153" s="183">
        <v>8.9</v>
      </c>
      <c r="S153" s="183">
        <v>3.3</v>
      </c>
      <c r="T153" s="184">
        <v>94.8</v>
      </c>
      <c r="U153" s="169">
        <v>0</v>
      </c>
      <c r="V153" s="161">
        <v>346</v>
      </c>
      <c r="W153" s="161">
        <v>34</v>
      </c>
      <c r="X153" s="161">
        <v>0</v>
      </c>
      <c r="Y153" s="161">
        <v>0</v>
      </c>
      <c r="Z153" s="161">
        <v>3319</v>
      </c>
      <c r="AA153" s="161">
        <v>9210</v>
      </c>
      <c r="AB153" s="161">
        <v>3399</v>
      </c>
      <c r="AC153" s="161">
        <v>805</v>
      </c>
      <c r="AD153" s="170">
        <v>0</v>
      </c>
      <c r="AE153" s="169">
        <v>0</v>
      </c>
      <c r="AF153" s="161">
        <v>78</v>
      </c>
      <c r="AG153" s="161">
        <v>302</v>
      </c>
      <c r="AH153" s="161">
        <v>0</v>
      </c>
      <c r="AI153" s="161">
        <v>5598</v>
      </c>
      <c r="AJ153" s="161">
        <v>3128</v>
      </c>
      <c r="AK153" s="161">
        <v>8007</v>
      </c>
      <c r="AL153" s="170">
        <v>0</v>
      </c>
      <c r="AM153" s="216">
        <v>0</v>
      </c>
      <c r="AN153" s="161">
        <v>0</v>
      </c>
      <c r="AO153" s="219">
        <v>0</v>
      </c>
      <c r="AP153" s="161">
        <v>0</v>
      </c>
      <c r="AQ153" s="219">
        <v>0</v>
      </c>
      <c r="AR153" s="170">
        <v>0</v>
      </c>
    </row>
    <row r="154" spans="1:44" x14ac:dyDescent="0.3">
      <c r="A154" s="24">
        <v>885</v>
      </c>
      <c r="B154" s="24" t="s">
        <v>153</v>
      </c>
      <c r="C154" s="24" t="s">
        <v>349</v>
      </c>
      <c r="D154" s="160">
        <v>47564993.439999998</v>
      </c>
      <c r="E154" s="161">
        <v>29436</v>
      </c>
      <c r="F154" s="161">
        <v>29078</v>
      </c>
      <c r="G154" s="165">
        <v>-1.2161978529691586E-2</v>
      </c>
      <c r="H154" s="169">
        <v>36702</v>
      </c>
      <c r="I154" s="161">
        <v>37554</v>
      </c>
      <c r="J154" s="161">
        <v>150</v>
      </c>
      <c r="K154" s="170">
        <v>200</v>
      </c>
      <c r="L154" s="169">
        <v>27491</v>
      </c>
      <c r="M154" s="161">
        <v>27671</v>
      </c>
      <c r="N154" s="175">
        <v>6.5475973899999998E-3</v>
      </c>
      <c r="O154" s="161">
        <v>28124</v>
      </c>
      <c r="P154" s="176">
        <v>2.3025717500000001E-2</v>
      </c>
      <c r="Q154" s="182">
        <v>89.9</v>
      </c>
      <c r="R154" s="183">
        <v>5.0999999999999996</v>
      </c>
      <c r="S154" s="183">
        <v>1.4</v>
      </c>
      <c r="T154" s="184">
        <v>96.3</v>
      </c>
      <c r="U154" s="169">
        <v>0</v>
      </c>
      <c r="V154" s="161">
        <v>0</v>
      </c>
      <c r="W154" s="161">
        <v>0</v>
      </c>
      <c r="X154" s="161">
        <v>0</v>
      </c>
      <c r="Y154" s="161">
        <v>0</v>
      </c>
      <c r="Z154" s="161">
        <v>10158</v>
      </c>
      <c r="AA154" s="161">
        <v>19566</v>
      </c>
      <c r="AB154" s="161">
        <v>4287</v>
      </c>
      <c r="AC154" s="161">
        <v>1349</v>
      </c>
      <c r="AD154" s="170">
        <v>1306</v>
      </c>
      <c r="AE154" s="169">
        <v>0</v>
      </c>
      <c r="AF154" s="161">
        <v>0</v>
      </c>
      <c r="AG154" s="161">
        <v>0</v>
      </c>
      <c r="AH154" s="161">
        <v>0</v>
      </c>
      <c r="AI154" s="161">
        <v>13478</v>
      </c>
      <c r="AJ154" s="161">
        <v>14697</v>
      </c>
      <c r="AK154" s="161">
        <v>3899</v>
      </c>
      <c r="AL154" s="170">
        <v>4592</v>
      </c>
      <c r="AM154" s="216">
        <v>0</v>
      </c>
      <c r="AN154" s="161">
        <v>0</v>
      </c>
      <c r="AO154" s="219">
        <v>0</v>
      </c>
      <c r="AP154" s="161">
        <v>0</v>
      </c>
      <c r="AQ154" s="219">
        <v>0</v>
      </c>
      <c r="AR154" s="170">
        <v>0</v>
      </c>
    </row>
    <row r="155" spans="1:44" ht="15" thickBot="1" x14ac:dyDescent="0.35">
      <c r="A155" s="24">
        <v>816</v>
      </c>
      <c r="B155" s="24" t="s">
        <v>154</v>
      </c>
      <c r="C155" s="24" t="s">
        <v>346</v>
      </c>
      <c r="D155" s="162">
        <v>39487217.390000001</v>
      </c>
      <c r="E155" s="163">
        <v>8767</v>
      </c>
      <c r="F155" s="163">
        <v>9212</v>
      </c>
      <c r="G155" s="166">
        <v>5.0758526291776018E-2</v>
      </c>
      <c r="H155" s="171">
        <v>10554</v>
      </c>
      <c r="I155" s="163">
        <v>10777</v>
      </c>
      <c r="J155" s="163">
        <v>295</v>
      </c>
      <c r="K155" s="172">
        <v>120</v>
      </c>
      <c r="L155" s="171">
        <v>8343</v>
      </c>
      <c r="M155" s="163">
        <v>8422</v>
      </c>
      <c r="N155" s="177">
        <v>9.4690159400000005E-3</v>
      </c>
      <c r="O155" s="163">
        <v>8373</v>
      </c>
      <c r="P155" s="178">
        <v>3.5958288299999999E-3</v>
      </c>
      <c r="Q155" s="185">
        <v>92.4</v>
      </c>
      <c r="R155" s="186">
        <v>4</v>
      </c>
      <c r="S155" s="186">
        <v>1.4</v>
      </c>
      <c r="T155" s="187">
        <v>97.9</v>
      </c>
      <c r="U155" s="171">
        <v>111</v>
      </c>
      <c r="V155" s="163">
        <v>62</v>
      </c>
      <c r="W155" s="163">
        <v>0</v>
      </c>
      <c r="X155" s="163">
        <v>0</v>
      </c>
      <c r="Y155" s="163">
        <v>0</v>
      </c>
      <c r="Z155" s="163">
        <v>3549</v>
      </c>
      <c r="AA155" s="163">
        <v>6105</v>
      </c>
      <c r="AB155" s="163">
        <v>950</v>
      </c>
      <c r="AC155" s="163">
        <v>0</v>
      </c>
      <c r="AD155" s="172">
        <v>0</v>
      </c>
      <c r="AE155" s="171">
        <v>111</v>
      </c>
      <c r="AF155" s="163">
        <v>62</v>
      </c>
      <c r="AG155" s="163">
        <v>0</v>
      </c>
      <c r="AH155" s="163">
        <v>0</v>
      </c>
      <c r="AI155" s="163">
        <v>5837</v>
      </c>
      <c r="AJ155" s="163">
        <v>2827</v>
      </c>
      <c r="AK155" s="163">
        <v>1940</v>
      </c>
      <c r="AL155" s="172">
        <v>0</v>
      </c>
      <c r="AM155" s="217">
        <v>327346</v>
      </c>
      <c r="AN155" s="163">
        <v>270</v>
      </c>
      <c r="AO155" s="220">
        <v>0</v>
      </c>
      <c r="AP155" s="163">
        <v>0</v>
      </c>
      <c r="AQ155" s="220">
        <v>0</v>
      </c>
      <c r="AR155" s="172">
        <v>0</v>
      </c>
    </row>
    <row r="157" spans="1:44" x14ac:dyDescent="0.3">
      <c r="A157" s="188" t="s">
        <v>399</v>
      </c>
    </row>
    <row r="158" spans="1:44" x14ac:dyDescent="0.3">
      <c r="A158" s="189" t="s">
        <v>400</v>
      </c>
      <c r="B158" s="24" t="s">
        <v>412</v>
      </c>
    </row>
    <row r="159" spans="1:44" x14ac:dyDescent="0.3">
      <c r="A159" s="189" t="s">
        <v>401</v>
      </c>
      <c r="B159" s="24" t="s">
        <v>409</v>
      </c>
    </row>
    <row r="160" spans="1:44" ht="58.2" customHeight="1" x14ac:dyDescent="0.3">
      <c r="A160" s="190" t="s">
        <v>402</v>
      </c>
      <c r="B160" s="332" t="s">
        <v>518</v>
      </c>
      <c r="C160" s="332"/>
    </row>
    <row r="161" spans="1:2" x14ac:dyDescent="0.3">
      <c r="A161" s="189" t="s">
        <v>503</v>
      </c>
      <c r="B161" s="24" t="s">
        <v>504</v>
      </c>
    </row>
  </sheetData>
  <sheetProtection password="A229" sheet="1" objects="1" scenarios="1" autoFilter="0"/>
  <autoFilter ref="A3:AR155"/>
  <mergeCells count="8">
    <mergeCell ref="AM2:AR2"/>
    <mergeCell ref="B160:C160"/>
    <mergeCell ref="D2:G2"/>
    <mergeCell ref="H2:K2"/>
    <mergeCell ref="L2:P2"/>
    <mergeCell ref="Q2:T2"/>
    <mergeCell ref="U2:AD2"/>
    <mergeCell ref="AE2:AL2"/>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b8cb3cbd-ce5c-4a72-9da4-9013f91c5903">
      <Value>3</Value>
      <Value>2</Value>
      <Value>1</Value>
    </TaxCatchAll>
    <IWPContributor xmlns="e7bcf5b1-8ccf-4526-a9e9-adceb449bc33">
      <UserInfo>
        <DisplayName/>
        <AccountId xsi:nil="true"/>
        <AccountType/>
      </UserInfo>
    </IWPContributor>
    <IWPOwnerTaxHTField0 xmlns="e7bcf5b1-8ccf-4526-a9e9-adceb449bc33">
      <Terms xmlns="http://schemas.microsoft.com/office/infopath/2007/PartnerControls">
        <TermInfo xmlns="http://schemas.microsoft.com/office/infopath/2007/PartnerControls">
          <TermName xmlns="http://schemas.microsoft.com/office/infopath/2007/PartnerControls">EFA</TermName>
          <TermId xmlns="http://schemas.microsoft.com/office/infopath/2007/PartnerControls">4a323c2c-9aef-47e8-b09b-131faf9bac1c</TermId>
        </TermInfo>
      </Terms>
    </IWPOwnerTaxHTField0>
    <IWPSiteTypeTaxHTField0 xmlns="e7bcf5b1-8ccf-4526-a9e9-adceb449bc33">
      <Terms xmlns="http://schemas.microsoft.com/office/infopath/2007/PartnerControls"/>
    </IWPSiteTypeTaxHTField0>
    <IWPFunctionTaxHTField0 xmlns="e7bcf5b1-8ccf-4526-a9e9-adceb449bc33">
      <Terms xmlns="http://schemas.microsoft.com/office/infopath/2007/PartnerControls"/>
    </IWPFunctionTaxHTField0>
    <IWPSubjectTaxHTField0 xmlns="e7bcf5b1-8ccf-4526-a9e9-adceb449bc33">
      <Terms xmlns="http://schemas.microsoft.com/office/infopath/2007/PartnerControls"/>
    </IWPSubjectTaxHTField0>
    <IWPOrganisationalUnitTaxHTField0 xmlns="e7bcf5b1-8ccf-4526-a9e9-adceb449bc33">
      <Terms xmlns="http://schemas.microsoft.com/office/infopath/2007/PartnerControls">
        <TermInfo xmlns="http://schemas.microsoft.com/office/infopath/2007/PartnerControls">
          <TermName xmlns="http://schemas.microsoft.com/office/infopath/2007/PartnerControls">EFA</TermName>
          <TermId xmlns="http://schemas.microsoft.com/office/infopath/2007/PartnerControls">f55057f6-e680-4dd8-a168-9494a8b9b0ae</TermId>
        </TermInfo>
      </Terms>
    </IWPOrganisationalUnitTaxHTField0>
    <Comments xmlns="http://schemas.microsoft.com/sharepoint/v3" xsi:nil="true"/>
    <IWPRightsProtectiveMarkingTaxHTField0 xmlns="e7bcf5b1-8ccf-4526-a9e9-adceb449bc33">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0884c477-2e62-47ea-b19c-5af6e91124c5</TermId>
        </TermInfo>
      </Terms>
    </IWPRightsProtectiveMarkingTaxHTField0>
    <_dlc_DocId xmlns="b8cb3cbd-ce5c-4a72-9da4-9013f91c5903">FKMV6N5X2MYP-1953928680-13046</_dlc_DocId>
    <_dlc_DocIdUrl xmlns="b8cb3cbd-ce5c-4a72-9da4-9013f91c5903">
      <Url>http://workplaces/sites/efappp/_layouts/DocIdRedir.aspx?ID=FKMV6N5X2MYP-1953928680-13046</Url>
      <Description>FKMV6N5X2MYP-1953928680-13046</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tns:customPropertyEditors xmlns:tns="http://schemas.microsoft.com/office/2006/customDocumentInformationPanel">
  <tns:showOnOpen>false</tns:showOnOpen>
  <tns:defaultPropertyEditorNamespace>Standard and SharePoint library properties</tns:defaultPropertyEditorNamespace>
</tns:customPropertyEditors>
</file>

<file path=customXml/item5.xml><?xml version="1.0" encoding="utf-8"?>
<ct:contentTypeSchema xmlns:ct="http://schemas.microsoft.com/office/2006/metadata/contentType" xmlns:ma="http://schemas.microsoft.com/office/2006/metadata/properties/metaAttributes" ct:_="" ma:_="" ma:contentTypeName="Programme and Project Management" ma:contentTypeID="0x0101007F645D6FBA204A029FECB8BFC6578C39005279853530254253B886E13194843F8A003AA4A7828D8545A79A9356801581235000D372045E3D21744BAB4790CAB2339E42" ma:contentTypeVersion="1" ma:contentTypeDescription="For programme or project documents. Records retained for 10 years." ma:contentTypeScope="" ma:versionID="5b998ab87487191019b48527989c7e10">
  <xsd:schema xmlns:xsd="http://www.w3.org/2001/XMLSchema" xmlns:xs="http://www.w3.org/2001/XMLSchema" xmlns:p="http://schemas.microsoft.com/office/2006/metadata/properties" xmlns:ns1="http://schemas.microsoft.com/sharepoint/v3" xmlns:ns2="b8cb3cbd-ce5c-4a72-9da4-9013f91c5903" xmlns:ns3="e7bcf5b1-8ccf-4526-a9e9-adceb449bc33" targetNamespace="http://schemas.microsoft.com/office/2006/metadata/properties" ma:root="true" ma:fieldsID="5bb40309f8e471501b61bbbec003b98b" ns1:_="" ns2:_="" ns3:_="">
    <xsd:import namespace="http://schemas.microsoft.com/sharepoint/v3"/>
    <xsd:import namespace="b8cb3cbd-ce5c-4a72-9da4-9013f91c5903"/>
    <xsd:import namespace="e7bcf5b1-8ccf-4526-a9e9-adceb449bc33"/>
    <xsd:element name="properties">
      <xsd:complexType>
        <xsd:sequence>
          <xsd:element name="documentManagement">
            <xsd:complexType>
              <xsd:all>
                <xsd:element ref="ns2:_dlc_DocId" minOccurs="0"/>
                <xsd:element ref="ns2:_dlc_DocIdUrl" minOccurs="0"/>
                <xsd:element ref="ns2:_dlc_DocIdPersistId" minOccurs="0"/>
                <xsd:element ref="ns1:Comments" minOccurs="0"/>
                <xsd:element ref="ns3:IWPContributor" minOccurs="0"/>
                <xsd:element ref="ns3:IWPFunctionTaxHTField0" minOccurs="0"/>
                <xsd:element ref="ns3:IWPOwnerTaxHTField0" minOccurs="0"/>
                <xsd:element ref="ns3:IWPRightsProtectiveMarkingTaxHTField0" minOccurs="0"/>
                <xsd:element ref="ns3:IWPSubjectTaxHTField0" minOccurs="0"/>
                <xsd:element ref="ns3:IWPSiteTypeTaxHTField0" minOccurs="0"/>
                <xsd:element ref="ns2:TaxCatchAll" minOccurs="0"/>
                <xsd:element ref="ns2:TaxCatchAllLabel" minOccurs="0"/>
                <xsd:element ref="ns3:IWPOrganisationalUnitTaxHTField0" minOccurs="0"/>
                <xsd:element ref="ns1:_vti_ItemDeclaredRecor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omments" ma:index="11" nillable="true" ma:displayName="Description" ma:hidden="true" ma:internalName="Comments">
      <xsd:simpleType>
        <xsd:restriction base="dms:Note">
          <xsd:maxLength value="255"/>
        </xsd:restriction>
      </xsd:simpleType>
    </xsd:element>
    <xsd:element name="_vti_ItemDeclaredRecord" ma:index="27" nillable="true" ma:displayName="Declared Record" ma:hidden="true" ma:internalName="_vti_ItemDeclaredRecord"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b8cb3cbd-ce5c-4a72-9da4-9013f91c5903"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23" nillable="true" ma:displayName="Taxonomy Catch All Column" ma:description="" ma:hidden="true" ma:list="{0cf2dc54-bf7a-4d63-a5d3-cde73c67bd12}" ma:internalName="TaxCatchAll" ma:showField="CatchAllData" ma:web="e7bcf5b1-8ccf-4526-a9e9-adceb449bc33">
      <xsd:complexType>
        <xsd:complexContent>
          <xsd:extension base="dms:MultiChoiceLookup">
            <xsd:sequence>
              <xsd:element name="Value" type="dms:Lookup" maxOccurs="unbounded" minOccurs="0" nillable="true"/>
            </xsd:sequence>
          </xsd:extension>
        </xsd:complexContent>
      </xsd:complexType>
    </xsd:element>
    <xsd:element name="TaxCatchAllLabel" ma:index="24" nillable="true" ma:displayName="Taxonomy Catch All Column1" ma:description="" ma:hidden="true" ma:list="{0cf2dc54-bf7a-4d63-a5d3-cde73c67bd12}" ma:internalName="TaxCatchAllLabel" ma:readOnly="true" ma:showField="CatchAllDataLabel" ma:web="e7bcf5b1-8ccf-4526-a9e9-adceb449bc3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7bcf5b1-8ccf-4526-a9e9-adceb449bc33" elementFormDefault="qualified">
    <xsd:import namespace="http://schemas.microsoft.com/office/2006/documentManagement/types"/>
    <xsd:import namespace="http://schemas.microsoft.com/office/infopath/2007/PartnerControls"/>
    <xsd:element name="IWPContributor" ma:index="12" nillable="true" ma:displayName="Contributor" ma:hidden="true" ma:list="UserInfo" ma:SharePointGroup="0" ma:internalName="IWPContributor"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WPFunctionTaxHTField0" ma:index="13" nillable="true" ma:taxonomy="true" ma:internalName="IWPFunctionTaxHTField0" ma:taxonomyFieldName="IWPFunction" ma:displayName="Function" ma:readOnly="false" ma:fieldId="{15181134-8839-47a9-9a38-d116ffff0106}" ma:taxonomyMulti="true" ma:sspId="fcff89b5-5d6d-4e65-a829-6f4a98dd03af" ma:termSetId="d25a8a8b-cc76-477b-9c8b-292b0e01012c" ma:anchorId="00000000-0000-0000-0000-000000000000" ma:open="false" ma:isKeyword="false">
      <xsd:complexType>
        <xsd:sequence>
          <xsd:element ref="pc:Terms" minOccurs="0" maxOccurs="1"/>
        </xsd:sequence>
      </xsd:complexType>
    </xsd:element>
    <xsd:element name="IWPOwnerTaxHTField0" ma:index="15" ma:taxonomy="true" ma:internalName="IWPOwnerTaxHTField0" ma:taxonomyFieldName="IWPOwner" ma:displayName="Owner" ma:default="3;#EFA|4a323c2c-9aef-47e8-b09b-131faf9bac1c" ma:fieldId="{15181134-8839-47a9-9a38-d116ffff0102}" ma:sspId="fcff89b5-5d6d-4e65-a829-6f4a98dd03af" ma:termSetId="12161dbb-b36f-4439-aef1-21e7cc922807" ma:anchorId="00000000-0000-0000-0000-000000000000" ma:open="false" ma:isKeyword="false">
      <xsd:complexType>
        <xsd:sequence>
          <xsd:element ref="pc:Terms" minOccurs="0" maxOccurs="1"/>
        </xsd:sequence>
      </xsd:complexType>
    </xsd:element>
    <xsd:element name="IWPRightsProtectiveMarkingTaxHTField0" ma:index="17" ma:taxonomy="true" ma:internalName="IWPRightsProtectiveMarkingTaxHTField0" ma:taxonomyFieldName="IWPRightsProtectiveMarking" ma:displayName="Rights: Protective Marking" ma:default="1;#Official|0884c477-2e62-47ea-b19c-5af6e91124c5" ma:fieldId="{15181134-8839-47a9-9a38-d116ffff0005}" ma:sspId="fcff89b5-5d6d-4e65-a829-6f4a98dd03af" ma:termSetId="7870c18b-dc34-46a1-adf5-a571f0cac88b" ma:anchorId="00000000-0000-0000-0000-000000000000" ma:open="false" ma:isKeyword="false">
      <xsd:complexType>
        <xsd:sequence>
          <xsd:element ref="pc:Terms" minOccurs="0" maxOccurs="1"/>
        </xsd:sequence>
      </xsd:complexType>
    </xsd:element>
    <xsd:element name="IWPSubjectTaxHTField0" ma:index="19" nillable="true" ma:taxonomy="true" ma:internalName="IWPSubjectTaxHTField0" ma:taxonomyFieldName="IWPSubject" ma:displayName="Subject" ma:fieldId="{15181134-8839-47a9-9a38-d116ffff0006}" ma:sspId="fcff89b5-5d6d-4e65-a829-6f4a98dd03af" ma:termSetId="33432453-e88c-4baa-94a6-467fc4fc06f9" ma:anchorId="00000000-0000-0000-0000-000000000000" ma:open="false" ma:isKeyword="false">
      <xsd:complexType>
        <xsd:sequence>
          <xsd:element ref="pc:Terms" minOccurs="0" maxOccurs="1"/>
        </xsd:sequence>
      </xsd:complexType>
    </xsd:element>
    <xsd:element name="IWPSiteTypeTaxHTField0" ma:index="21" nillable="true" ma:taxonomy="true" ma:internalName="IWPSiteTypeTaxHTField0" ma:taxonomyFieldName="IWPSiteType" ma:displayName="Site Type" ma:fieldId="{15181134-8839-47a9-9a38-d116ffff0103}" ma:sspId="fcff89b5-5d6d-4e65-a829-6f4a98dd03af" ma:termSetId="68f3bd98-4d9d-4839-831a-d4827606df7e" ma:anchorId="00000000-0000-0000-0000-000000000000" ma:open="false" ma:isKeyword="false">
      <xsd:complexType>
        <xsd:sequence>
          <xsd:element ref="pc:Terms" minOccurs="0" maxOccurs="1"/>
        </xsd:sequence>
      </xsd:complexType>
    </xsd:element>
    <xsd:element name="IWPOrganisationalUnitTaxHTField0" ma:index="25" ma:taxonomy="true" ma:internalName="IWPOrganisationalUnitTaxHTField0" ma:taxonomyFieldName="IWPOrganisationalUnit" ma:displayName="Organisational Unit" ma:default="2;#EFA|f55057f6-e680-4dd8-a168-9494a8b9b0ae" ma:fieldId="{15181134-8839-47a9-9a38-d116ffff0201}" ma:sspId="fcff89b5-5d6d-4e65-a829-6f4a98dd03af" ma:termSetId="b3e263f6-0ab6-425a-b3de-0e67f2faf769"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6.xml><?xml version="1.0" encoding="utf-8"?>
<?mso-contentType ?>
<SharedContentType xmlns="Microsoft.SharePoint.Taxonomy.ContentTypeSync" SourceId="fcff89b5-5d6d-4e65-a829-6f4a98dd03af" ContentTypeId="0x0101007F645D6FBA204A029FECB8BFC6578C39005279853530254253B886E13194843F8A003AA4A7828D8545A79A93568015812350" PreviousValue="false"/>
</file>

<file path=customXml/itemProps1.xml><?xml version="1.0" encoding="utf-8"?>
<ds:datastoreItem xmlns:ds="http://schemas.openxmlformats.org/officeDocument/2006/customXml" ds:itemID="{9AA6536E-ED33-41CC-B798-6F8A34FFFEA1}"/>
</file>

<file path=customXml/itemProps2.xml><?xml version="1.0" encoding="utf-8"?>
<ds:datastoreItem xmlns:ds="http://schemas.openxmlformats.org/officeDocument/2006/customXml" ds:itemID="{67510D61-774A-41B1-BB45-7C1B05F7B598}"/>
</file>

<file path=customXml/itemProps3.xml><?xml version="1.0" encoding="utf-8"?>
<ds:datastoreItem xmlns:ds="http://schemas.openxmlformats.org/officeDocument/2006/customXml" ds:itemID="{F19CF797-0C1A-4583-A426-6FCD76A2636D}"/>
</file>

<file path=customXml/itemProps4.xml><?xml version="1.0" encoding="utf-8"?>
<ds:datastoreItem xmlns:ds="http://schemas.openxmlformats.org/officeDocument/2006/customXml" ds:itemID="{D0B8D783-0610-480A-B538-FCDFDA9FBB98}"/>
</file>

<file path=customXml/itemProps5.xml><?xml version="1.0" encoding="utf-8"?>
<ds:datastoreItem xmlns:ds="http://schemas.openxmlformats.org/officeDocument/2006/customXml" ds:itemID="{8025A4DF-F928-4FEF-AC7E-F3BBAB2C2282}"/>
</file>

<file path=customXml/itemProps6.xml><?xml version="1.0" encoding="utf-8"?>
<ds:datastoreItem xmlns:ds="http://schemas.openxmlformats.org/officeDocument/2006/customXml" ds:itemID="{09A2E72C-1539-4682-997F-53F43E60770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144</vt:i4>
      </vt:variant>
    </vt:vector>
  </HeadingPairs>
  <TitlesOfParts>
    <vt:vector size="154" baseType="lpstr">
      <vt:lpstr>Information</vt:lpstr>
      <vt:lpstr>Scorecard</vt:lpstr>
      <vt:lpstr>Calculations</vt:lpstr>
      <vt:lpstr>Data Key</vt:lpstr>
      <vt:lpstr>Data</vt:lpstr>
      <vt:lpstr>Version Control</vt:lpstr>
      <vt:lpstr>Technical Notes</vt:lpstr>
      <vt:lpstr>Primary Summary Data</vt:lpstr>
      <vt:lpstr>Secondary Summary Data</vt:lpstr>
      <vt:lpstr>Statistical Neighbours</vt:lpstr>
      <vt:lpstr>Auth_num</vt:lpstr>
      <vt:lpstr>Authorities</vt:lpstr>
      <vt:lpstr>Ban_P_gro</vt:lpstr>
      <vt:lpstr>Ban_S_gro</vt:lpstr>
      <vt:lpstr>BNfunding</vt:lpstr>
      <vt:lpstr>chosen_LA</vt:lpstr>
      <vt:lpstr>Chosen_laNUM</vt:lpstr>
      <vt:lpstr>chosen_phase</vt:lpstr>
      <vt:lpstr>Chosen_Qual</vt:lpstr>
      <vt:lpstr>cost_lab1</vt:lpstr>
      <vt:lpstr>cost_lab2</vt:lpstr>
      <vt:lpstr>cost_lab3</vt:lpstr>
      <vt:lpstr>Cost_P_EP</vt:lpstr>
      <vt:lpstr>Cost_P_EPn</vt:lpstr>
      <vt:lpstr>Cost_P_EPRanks</vt:lpstr>
      <vt:lpstr>Cost_P_ET</vt:lpstr>
      <vt:lpstr>Cost_P_ETn</vt:lpstr>
      <vt:lpstr>Cost_P_NS</vt:lpstr>
      <vt:lpstr>Cost_P_NSn</vt:lpstr>
      <vt:lpstr>Cost_P_RN_EP</vt:lpstr>
      <vt:lpstr>Cost_P_RN_ET</vt:lpstr>
      <vt:lpstr>Cost_P_RN_NS</vt:lpstr>
      <vt:lpstr>Cost_P_SN_EP</vt:lpstr>
      <vt:lpstr>Cost_P_SN_ET</vt:lpstr>
      <vt:lpstr>Cost_P_SN_NS</vt:lpstr>
      <vt:lpstr>Cost_S_EP</vt:lpstr>
      <vt:lpstr>Cost_S_EPn</vt:lpstr>
      <vt:lpstr>Cost_S_EPRanks</vt:lpstr>
      <vt:lpstr>Cost_S_ET</vt:lpstr>
      <vt:lpstr>Cost_S_ETn</vt:lpstr>
      <vt:lpstr>Cost_S_NS</vt:lpstr>
      <vt:lpstr>Cost_S_NSn</vt:lpstr>
      <vt:lpstr>Cost_S_RN_EP</vt:lpstr>
      <vt:lpstr>Cost_S_RN_ET</vt:lpstr>
      <vt:lpstr>Cost_S_RN_NS</vt:lpstr>
      <vt:lpstr>Cost_S_SN_EP</vt:lpstr>
      <vt:lpstr>Cost_S_SN_ET</vt:lpstr>
      <vt:lpstr>Cost_S_SN_NS</vt:lpstr>
      <vt:lpstr>ct_key1</vt:lpstr>
      <vt:lpstr>ct_lab5</vt:lpstr>
      <vt:lpstr>ct_lab6</vt:lpstr>
      <vt:lpstr>Existing</vt:lpstr>
      <vt:lpstr>For_1_P</vt:lpstr>
      <vt:lpstr>For_1_S</vt:lpstr>
      <vt:lpstr>for_1_value</vt:lpstr>
      <vt:lpstr>For_3_P</vt:lpstr>
      <vt:lpstr>For_3_S</vt:lpstr>
      <vt:lpstr>for_3_value</vt:lpstr>
      <vt:lpstr>for_lab1</vt:lpstr>
      <vt:lpstr>for_lab2</vt:lpstr>
      <vt:lpstr>for_lab3</vt:lpstr>
      <vt:lpstr>for_lab4</vt:lpstr>
      <vt:lpstr>For_lab5</vt:lpstr>
      <vt:lpstr>For_LAranking</vt:lpstr>
      <vt:lpstr>for_lavb3</vt:lpstr>
      <vt:lpstr>Funding</vt:lpstr>
      <vt:lpstr>Funding_lab1</vt:lpstr>
      <vt:lpstr>LA_data_list</vt:lpstr>
      <vt:lpstr>New</vt:lpstr>
      <vt:lpstr>obscurer</vt:lpstr>
      <vt:lpstr>PG_lab</vt:lpstr>
      <vt:lpstr>Phases</vt:lpstr>
      <vt:lpstr>Pref_eng</vt:lpstr>
      <vt:lpstr>Pref_lab1</vt:lpstr>
      <vt:lpstr>Pref_Lab2</vt:lpstr>
      <vt:lpstr>Pref_lab3</vt:lpstr>
      <vt:lpstr>Pref_P_1</vt:lpstr>
      <vt:lpstr>Pref_P_2</vt:lpstr>
      <vt:lpstr>Pref_P_3</vt:lpstr>
      <vt:lpstr>Pref_P_T3</vt:lpstr>
      <vt:lpstr>Pref_S_1</vt:lpstr>
      <vt:lpstr>Pref_S_2</vt:lpstr>
      <vt:lpstr>Pref_S_3</vt:lpstr>
      <vt:lpstr>Pref_S_T3</vt:lpstr>
      <vt:lpstr>Pref_T3</vt:lpstr>
      <vt:lpstr>Pupil_Growth</vt:lpstr>
      <vt:lpstr>ql_key1</vt:lpstr>
      <vt:lpstr>ql_key2</vt:lpstr>
      <vt:lpstr>ql_lab8</vt:lpstr>
      <vt:lpstr>ql_lab9</vt:lpstr>
      <vt:lpstr>Qn_axis2</vt:lpstr>
      <vt:lpstr>Qn_key1</vt:lpstr>
      <vt:lpstr>Qn_key2</vt:lpstr>
      <vt:lpstr>Qn_key3</vt:lpstr>
      <vt:lpstr>Qn_key4</vt:lpstr>
      <vt:lpstr>qn_lab2</vt:lpstr>
      <vt:lpstr>qual_key_6</vt:lpstr>
      <vt:lpstr>qual_key3</vt:lpstr>
      <vt:lpstr>Qual_key4</vt:lpstr>
      <vt:lpstr>Qual_key5</vt:lpstr>
      <vt:lpstr>Qual_KS2_E0</vt:lpstr>
      <vt:lpstr>Qual_KS2_EAb</vt:lpstr>
      <vt:lpstr>Qual_KS2_EAv</vt:lpstr>
      <vt:lpstr>Qual_KS2_EBe</vt:lpstr>
      <vt:lpstr>Qual_KS2_N0</vt:lpstr>
      <vt:lpstr>Qual_KS2_NAb</vt:lpstr>
      <vt:lpstr>Qual_KS2_NAv</vt:lpstr>
      <vt:lpstr>Qual_KS2_NBe</vt:lpstr>
      <vt:lpstr>Qual_KS2_Prop</vt:lpstr>
      <vt:lpstr>Qual_KS2_PropRanks</vt:lpstr>
      <vt:lpstr>Qual_KS4_E0</vt:lpstr>
      <vt:lpstr>Qual_KS4_EAb</vt:lpstr>
      <vt:lpstr>Qual_KS4_EAv</vt:lpstr>
      <vt:lpstr>Qual_KS4_EBe</vt:lpstr>
      <vt:lpstr>Qual_KS4_N0</vt:lpstr>
      <vt:lpstr>Qual_KS4_NAb</vt:lpstr>
      <vt:lpstr>Qual_KS4_NAv</vt:lpstr>
      <vt:lpstr>Qual_KS4_NBe</vt:lpstr>
      <vt:lpstr>Qual_KS4_Prop</vt:lpstr>
      <vt:lpstr>Qual_KS4_PropRanks</vt:lpstr>
      <vt:lpstr>Qual_mets</vt:lpstr>
      <vt:lpstr>Qual_P_E0</vt:lpstr>
      <vt:lpstr>Qual_P_E1</vt:lpstr>
      <vt:lpstr>Qual_P_E2</vt:lpstr>
      <vt:lpstr>Qual_P_E3</vt:lpstr>
      <vt:lpstr>Qual_P_E4</vt:lpstr>
      <vt:lpstr>Qual_P_N0</vt:lpstr>
      <vt:lpstr>Qual_P_N1</vt:lpstr>
      <vt:lpstr>Qual_P_N2</vt:lpstr>
      <vt:lpstr>Qual_P_N3</vt:lpstr>
      <vt:lpstr>Qual_P_N4</vt:lpstr>
      <vt:lpstr>Qual_P_Prop</vt:lpstr>
      <vt:lpstr>Scorecard!Qual_P_PropRanks</vt:lpstr>
      <vt:lpstr>Qual_P_PropRanks</vt:lpstr>
      <vt:lpstr>Qual_S_E0</vt:lpstr>
      <vt:lpstr>Qual_S_E1</vt:lpstr>
      <vt:lpstr>Qual_S_E2</vt:lpstr>
      <vt:lpstr>Qual_S_E3</vt:lpstr>
      <vt:lpstr>Qual_S_E4</vt:lpstr>
      <vt:lpstr>Qual_S_N0</vt:lpstr>
      <vt:lpstr>Qual_S_N1</vt:lpstr>
      <vt:lpstr>Qual_S_N2</vt:lpstr>
      <vt:lpstr>Qual_S_N3</vt:lpstr>
      <vt:lpstr>Qual_S_N4</vt:lpstr>
      <vt:lpstr>Qual_S_Prop</vt:lpstr>
      <vt:lpstr>Qual_S_PropRanks</vt:lpstr>
      <vt:lpstr>quan_lab1</vt:lpstr>
      <vt:lpstr>Quan_P_15</vt:lpstr>
      <vt:lpstr>Quan_P_PP15</vt:lpstr>
      <vt:lpstr>Quan_P_RP15</vt:lpstr>
      <vt:lpstr>Quan_S_15</vt:lpstr>
      <vt:lpstr>Quan_S_PP15</vt:lpstr>
      <vt:lpstr>Quan_S_RP15</vt:lpstr>
      <vt:lpstr>URI</vt:lpstr>
    </vt:vector>
  </TitlesOfParts>
  <Company>DfE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2015 School Places Scorecard (Provisional)</dc:title>
  <dc:creator>BUCKLEY, Christopher</dc:creator>
  <cp:lastModifiedBy>BUCKLEY, Christopher</cp:lastModifiedBy>
  <cp:lastPrinted>2016-04-06T11:53:41Z</cp:lastPrinted>
  <dcterms:created xsi:type="dcterms:W3CDTF">2016-01-22T15:32:56Z</dcterms:created>
  <dcterms:modified xsi:type="dcterms:W3CDTF">2016-07-12T13:15:54Z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0x0101007F645D6FBA204A029FECB8BFC6578C39005279853530254253B886E13194843F8A003AA4A7828D8545A79A9356801581235000D372045E3D21744BAB4790CAB2339E42</vt:lpwstr>
  </property>
  <property fmtid="{D5CDD505-2E9C-101B-9397-08002B2CF9AE}" pid="3" name="IWPOrganisationalUnit">
    <vt:lpwstr>2;#EFA|f55057f6-e680-4dd8-a168-9494a8b9b0ae</vt:lpwstr>
  </property>
  <property fmtid="{D5CDD505-2E9C-101B-9397-08002B2CF9AE}" pid="4" name="IWPOwner">
    <vt:lpwstr>3;#EFA|4a323c2c-9aef-47e8-b09b-131faf9bac1c</vt:lpwstr>
  </property>
  <property fmtid="{D5CDD505-2E9C-101B-9397-08002B2CF9AE}" pid="5" name="IWPSubject">
    <vt:lpwstr/>
  </property>
  <property fmtid="{D5CDD505-2E9C-101B-9397-08002B2CF9AE}" pid="6" name="IWPFunction">
    <vt:lpwstr/>
  </property>
  <property fmtid="{D5CDD505-2E9C-101B-9397-08002B2CF9AE}" pid="7" name="IWPSiteType">
    <vt:lpwstr/>
  </property>
  <property fmtid="{D5CDD505-2E9C-101B-9397-08002B2CF9AE}" pid="8" name="IWPRightsProtectiveMarking">
    <vt:lpwstr>1;#Official|0884c477-2e62-47ea-b19c-5af6e91124c5</vt:lpwstr>
  </property>
  <property fmtid="{D5CDD505-2E9C-101B-9397-08002B2CF9AE}" pid="9" name="_dlc_DocIdItemGuid">
    <vt:lpwstr>2a852375-5989-4dac-bb75-72e415aac1f0</vt:lpwstr>
  </property>
</Properties>
</file>