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05" windowHeight="11640" activeTab="0"/>
  </bookViews>
  <sheets>
    <sheet name="calculator" sheetId="1" r:id="rId1"/>
    <sheet name="court codes" sheetId="2" state="hidden" r:id="rId2"/>
    <sheet name="Core rates" sheetId="3" state="hidden" r:id="rId3"/>
    <sheet name="Other fees" sheetId="4" state="hidden" r:id="rId4"/>
  </sheets>
  <definedNames>
    <definedName name="_xlnm.Print_Area" localSheetId="0">'calculator'!$A$5:$E$86</definedName>
  </definedNames>
  <calcPr fullCalcOnLoad="1"/>
</workbook>
</file>

<file path=xl/sharedStrings.xml><?xml version="1.0" encoding="utf-8"?>
<sst xmlns="http://schemas.openxmlformats.org/spreadsheetml/2006/main" count="573" uniqueCount="246">
  <si>
    <t/>
  </si>
  <si>
    <t>Section 1: Advocate and Offence</t>
  </si>
  <si>
    <t>GF offence Group</t>
  </si>
  <si>
    <t>Retrial within 1 month (enter 1)</t>
  </si>
  <si>
    <t>Retrial after 1 month (enter 1)</t>
  </si>
  <si>
    <t>Section 2: Basic Fee &amp; Enhancements</t>
  </si>
  <si>
    <t>Description</t>
  </si>
  <si>
    <t>Qty</t>
  </si>
  <si>
    <t>Rate</t>
  </si>
  <si>
    <t>Amount</t>
  </si>
  <si>
    <t>Basic Fee</t>
  </si>
  <si>
    <t>Number of Prosecution Witnesses</t>
  </si>
  <si>
    <t>Pages of Prosecution Evidence</t>
  </si>
  <si>
    <t>Section 2 total carried forward</t>
  </si>
  <si>
    <t>Section 3: Miscellaneous fees</t>
  </si>
  <si>
    <t>Sentence hearing</t>
  </si>
  <si>
    <t>Section 3 total carried forward</t>
  </si>
  <si>
    <t>Section 4: Travel and Hotel Expenses</t>
  </si>
  <si>
    <t>Travel and hotel expenses</t>
  </si>
  <si>
    <t>Section 4 total (total travel)</t>
  </si>
  <si>
    <t>Section 2 Total B/F</t>
  </si>
  <si>
    <t>Section 3 Total B/F</t>
  </si>
  <si>
    <t>Total Fees &amp; Expenses</t>
  </si>
  <si>
    <t xml:space="preserve">  VAT on Fees &amp; Expenses</t>
  </si>
  <si>
    <t>CLAIM TOTAL</t>
  </si>
  <si>
    <t>Days attended</t>
  </si>
  <si>
    <t>Standard appearance</t>
  </si>
  <si>
    <t>Paper plea and case management hearing</t>
  </si>
  <si>
    <t>Deferred sentence hearing</t>
  </si>
  <si>
    <t>Ineffective trial payment</t>
  </si>
  <si>
    <t>Special preparation</t>
  </si>
  <si>
    <t>Wasted preparation</t>
  </si>
  <si>
    <t>Appeals to the Crown Court against conviction</t>
  </si>
  <si>
    <t xml:space="preserve">Appeals to the Crown Court against sentence </t>
  </si>
  <si>
    <t>Proceedings relating to breach of an order of the Crown Court</t>
  </si>
  <si>
    <t>Committal for sentence</t>
  </si>
  <si>
    <t>Noting brief</t>
  </si>
  <si>
    <t xml:space="preserve">Table 4.5.1 -QC 1-40 day rate for trial </t>
  </si>
  <si>
    <t>Class of offence</t>
  </si>
  <si>
    <t>Case fee</t>
  </si>
  <si>
    <t>Daily fee</t>
  </si>
  <si>
    <t>Page uplift</t>
  </si>
  <si>
    <t>Witness uplift</t>
  </si>
  <si>
    <t>A</t>
  </si>
  <si>
    <t>B</t>
  </si>
  <si>
    <t>D</t>
  </si>
  <si>
    <t>E</t>
  </si>
  <si>
    <t>F</t>
  </si>
  <si>
    <t>G</t>
  </si>
  <si>
    <t>H</t>
  </si>
  <si>
    <t>I</t>
  </si>
  <si>
    <t xml:space="preserve">Table 4.5.2 - Leading Junior 1-40 day rate for trial </t>
  </si>
  <si>
    <t xml:space="preserve">Table 4.5.3 - Led Junior 1-40 day rate for trial </t>
  </si>
  <si>
    <t xml:space="preserve">Table 4.5.4  -Junior alone 1-40 day rate for trial </t>
  </si>
  <si>
    <t xml:space="preserve">day 41 to 50 </t>
  </si>
  <si>
    <t>51st day and over</t>
  </si>
  <si>
    <t>Daily attendance fee (days 3 to 40)</t>
  </si>
  <si>
    <t>Daily attendance fee (days 41-50)</t>
  </si>
  <si>
    <t>Daily attendance fee (days over 50)</t>
  </si>
  <si>
    <t>Fee for leading junior</t>
  </si>
  <si>
    <t>Fee for led junior or junior alone</t>
  </si>
  <si>
    <t>Abuse of process hearing (half day)</t>
  </si>
  <si>
    <t>Hearings relating to disclosure (half day)</t>
  </si>
  <si>
    <t>Hearings relating to the admissibility of evidence (half day)</t>
  </si>
  <si>
    <t>Confiscation hearings (half day)</t>
  </si>
  <si>
    <t>Abuse of process hearing (full day)</t>
  </si>
  <si>
    <t>Hearings relating to disclosure full day)</t>
  </si>
  <si>
    <t>Hearings relating to the admissibility of evidence (full day)</t>
  </si>
  <si>
    <t>Confiscation hearings (full day)</t>
  </si>
  <si>
    <t>Section 4 Total B/F</t>
  </si>
  <si>
    <t>discount for retrials</t>
  </si>
  <si>
    <t>*only pages between 51 and 10,000 will be paid automatically</t>
  </si>
  <si>
    <t>Summary</t>
  </si>
  <si>
    <r>
      <t xml:space="preserve">Please fill in the </t>
    </r>
    <r>
      <rPr>
        <sz val="18"/>
        <color indexed="22"/>
        <rFont val="CG Times"/>
        <family val="1"/>
      </rPr>
      <t xml:space="preserve">GREY </t>
    </r>
    <r>
      <rPr>
        <sz val="12"/>
        <color indexed="10"/>
        <rFont val="CG Times"/>
        <family val="1"/>
      </rPr>
      <t>shaded boxes</t>
    </r>
  </si>
  <si>
    <t>C</t>
  </si>
  <si>
    <t xml:space="preserve">* only appearances after the 5th (including any PCMH or PTR) will attract a separate payment </t>
  </si>
  <si>
    <t>Fee for QC alone</t>
  </si>
  <si>
    <t>Fee for QC leading</t>
  </si>
  <si>
    <t>Written/oral advice</t>
  </si>
  <si>
    <t>Travel time</t>
  </si>
  <si>
    <t>CODE</t>
  </si>
  <si>
    <t>ACV</t>
  </si>
  <si>
    <t>ASE</t>
  </si>
  <si>
    <t>CSE</t>
  </si>
  <si>
    <t>DTW,PCW</t>
  </si>
  <si>
    <t>DTH,PCH</t>
  </si>
  <si>
    <t>DHU,CHU</t>
  </si>
  <si>
    <t>DSE</t>
  </si>
  <si>
    <t>DSU</t>
  </si>
  <si>
    <t>CBR</t>
  </si>
  <si>
    <t>CBU</t>
  </si>
  <si>
    <t>TCT</t>
  </si>
  <si>
    <t>WPF</t>
  </si>
  <si>
    <t>QC leading</t>
  </si>
  <si>
    <t>QC alone</t>
  </si>
  <si>
    <t>NBR</t>
  </si>
  <si>
    <t>Additional defendant</t>
  </si>
  <si>
    <t>NDR</t>
  </si>
  <si>
    <t>Additional case</t>
  </si>
  <si>
    <t>NOC</t>
  </si>
  <si>
    <t>Case discontinued before papers served</t>
  </si>
  <si>
    <t>CCD</t>
  </si>
  <si>
    <t>ASU</t>
  </si>
  <si>
    <t>ACU</t>
  </si>
  <si>
    <t>APW</t>
  </si>
  <si>
    <t>AWU</t>
  </si>
  <si>
    <t>APH</t>
  </si>
  <si>
    <t>AHU</t>
  </si>
  <si>
    <t>DWU,CWU</t>
  </si>
  <si>
    <t>HDH</t>
  </si>
  <si>
    <t>HHU</t>
  </si>
  <si>
    <t>HDW</t>
  </si>
  <si>
    <t>HWU</t>
  </si>
  <si>
    <t>AEW,PAW</t>
  </si>
  <si>
    <t>EWU,PWU</t>
  </si>
  <si>
    <t>AEH,PAH</t>
  </si>
  <si>
    <t>EHU,PHU</t>
  </si>
  <si>
    <t>TNP</t>
  </si>
  <si>
    <t>TPU</t>
  </si>
  <si>
    <t>PPC</t>
  </si>
  <si>
    <t>WOA,RNF,RNL</t>
  </si>
  <si>
    <t>SPF</t>
  </si>
  <si>
    <t>SAF</t>
  </si>
  <si>
    <t>CSU</t>
  </si>
  <si>
    <t>CAV</t>
  </si>
  <si>
    <t>CDU</t>
  </si>
  <si>
    <t>SAU</t>
  </si>
  <si>
    <t>Committals, Contempt and early disposals</t>
  </si>
  <si>
    <t>CON</t>
  </si>
  <si>
    <t>COA</t>
  </si>
  <si>
    <t>Contempt -unapportioned fee</t>
  </si>
  <si>
    <t>Contempt -apportioned fee</t>
  </si>
  <si>
    <t>PCU</t>
  </si>
  <si>
    <t>guilty plea</t>
  </si>
  <si>
    <t>QC</t>
  </si>
  <si>
    <t>Leading J</t>
  </si>
  <si>
    <t>Led J</t>
  </si>
  <si>
    <t xml:space="preserve">Led J </t>
  </si>
  <si>
    <t>Lone J</t>
  </si>
  <si>
    <t>Conferences and views (total of all hours)</t>
  </si>
  <si>
    <t>* assumes that first 6 hours will not be paid</t>
  </si>
  <si>
    <t>J</t>
  </si>
  <si>
    <t>K</t>
  </si>
  <si>
    <t>Please enter advocate type (from pull down list)</t>
  </si>
  <si>
    <t>Counsel type</t>
  </si>
  <si>
    <t>QC Alone</t>
  </si>
  <si>
    <t>Leading QC</t>
  </si>
  <si>
    <t>Leading Junior</t>
  </si>
  <si>
    <t>Junior Led by QC</t>
  </si>
  <si>
    <t>Junior Led by Junior</t>
  </si>
  <si>
    <t>Junior Alone</t>
  </si>
  <si>
    <t>Advocate (name or initials)</t>
  </si>
  <si>
    <t>Determining officer (name or intitials)</t>
  </si>
  <si>
    <t>Court number</t>
  </si>
  <si>
    <t>Court location</t>
  </si>
  <si>
    <t xml:space="preserve">Case number (omit the leading "T" but input 8 digits) </t>
  </si>
  <si>
    <t>Court</t>
  </si>
  <si>
    <t>Index</t>
  </si>
  <si>
    <t>Court Number</t>
  </si>
  <si>
    <t>Aylesbury</t>
  </si>
  <si>
    <t>Basildon</t>
  </si>
  <si>
    <t>Birmingham</t>
  </si>
  <si>
    <t>Blackfriars</t>
  </si>
  <si>
    <t>Bolton</t>
  </si>
  <si>
    <t>Bournemouth</t>
  </si>
  <si>
    <t>Bradford</t>
  </si>
  <si>
    <t>Bristol</t>
  </si>
  <si>
    <t>Burnley</t>
  </si>
  <si>
    <t>Cambridge</t>
  </si>
  <si>
    <t>Canterbury</t>
  </si>
  <si>
    <t>Cardiff</t>
  </si>
  <si>
    <t>Carlisle</t>
  </si>
  <si>
    <t>Central Criminal Court</t>
  </si>
  <si>
    <t>Chelmsford</t>
  </si>
  <si>
    <t>Chester</t>
  </si>
  <si>
    <t>Chichester</t>
  </si>
  <si>
    <t>Coventry</t>
  </si>
  <si>
    <t>Croydon</t>
  </si>
  <si>
    <t>Derby</t>
  </si>
  <si>
    <t>Doncaster</t>
  </si>
  <si>
    <t>Dorchester</t>
  </si>
  <si>
    <t>Durham</t>
  </si>
  <si>
    <t>Exeter</t>
  </si>
  <si>
    <t>Gloucester</t>
  </si>
  <si>
    <t>Grimsby</t>
  </si>
  <si>
    <t>Guildford</t>
  </si>
  <si>
    <t>Harrow</t>
  </si>
  <si>
    <t>Hull</t>
  </si>
  <si>
    <t>Inner London</t>
  </si>
  <si>
    <t>Ipswich</t>
  </si>
  <si>
    <t>Isleworth</t>
  </si>
  <si>
    <t>Kingston upon Thames</t>
  </si>
  <si>
    <t>Leeds</t>
  </si>
  <si>
    <t>Leicester</t>
  </si>
  <si>
    <t>Lewes</t>
  </si>
  <si>
    <t>Lincoln</t>
  </si>
  <si>
    <t>Liverpool</t>
  </si>
  <si>
    <t>Luton</t>
  </si>
  <si>
    <t>Maidstone</t>
  </si>
  <si>
    <t>Manchester (Crown Square)</t>
  </si>
  <si>
    <t>Manchester (Minshull Street)</t>
  </si>
  <si>
    <t>Merthyr Tydfil</t>
  </si>
  <si>
    <t>Middlesex Guildhall</t>
  </si>
  <si>
    <t>Mold</t>
  </si>
  <si>
    <t>Newcastle</t>
  </si>
  <si>
    <t>Newport (Gwent)</t>
  </si>
  <si>
    <t>Newport IOW</t>
  </si>
  <si>
    <t>Northampton</t>
  </si>
  <si>
    <t>Norwich</t>
  </si>
  <si>
    <t>Nottingham</t>
  </si>
  <si>
    <t>Oxford</t>
  </si>
  <si>
    <t>Peterborough</t>
  </si>
  <si>
    <t>Plymouth</t>
  </si>
  <si>
    <t>Portsmouth</t>
  </si>
  <si>
    <t>Preston</t>
  </si>
  <si>
    <t>Reading</t>
  </si>
  <si>
    <t>Salisbury</t>
  </si>
  <si>
    <t>Sheffield</t>
  </si>
  <si>
    <t>Shrewsbury</t>
  </si>
  <si>
    <t>Snaresbrook</t>
  </si>
  <si>
    <t>Southampton</t>
  </si>
  <si>
    <t>Southwark</t>
  </si>
  <si>
    <t>St Albans</t>
  </si>
  <si>
    <t>Stafford</t>
  </si>
  <si>
    <t>Stoke</t>
  </si>
  <si>
    <t>Swansea</t>
  </si>
  <si>
    <t>Swindon</t>
  </si>
  <si>
    <t>Taunton</t>
  </si>
  <si>
    <t>Teesside</t>
  </si>
  <si>
    <t>Truro</t>
  </si>
  <si>
    <t>Warrington</t>
  </si>
  <si>
    <t>Warwick</t>
  </si>
  <si>
    <t>Weymouth</t>
  </si>
  <si>
    <t>Winchester</t>
  </si>
  <si>
    <t>Wolverhampton</t>
  </si>
  <si>
    <t>Wood Green</t>
  </si>
  <si>
    <t>Woolwich</t>
  </si>
  <si>
    <t>Worcester</t>
  </si>
  <si>
    <t>York</t>
  </si>
  <si>
    <t>No Court selected</t>
  </si>
  <si>
    <t>Error, no court selected</t>
  </si>
  <si>
    <t>Scheme 4</t>
  </si>
  <si>
    <t xml:space="preserve">Scheme 4 </t>
  </si>
  <si>
    <t>Sentence hearing uplift</t>
  </si>
  <si>
    <t>Scheme 4 (but A to J and G to F)</t>
  </si>
  <si>
    <r>
      <t xml:space="preserve">Graduated Fee calculator for trials </t>
    </r>
    <r>
      <rPr>
        <b/>
        <sz val="14"/>
        <color indexed="10"/>
        <rFont val="CG Times"/>
        <family val="1"/>
      </rPr>
      <t>Scheme 9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</si>
</sst>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3">
    <font>
      <sz val="12"/>
      <name val="CG Times"/>
      <family val="0"/>
    </font>
    <font>
      <sz val="11"/>
      <color indexed="8"/>
      <name val="Calibri"/>
      <family val="2"/>
    </font>
    <font>
      <b/>
      <sz val="12"/>
      <name val="CG Times"/>
      <family val="0"/>
    </font>
    <font>
      <b/>
      <sz val="12"/>
      <color indexed="10"/>
      <name val="CG Times"/>
      <family val="1"/>
    </font>
    <font>
      <sz val="12"/>
      <color indexed="57"/>
      <name val="CG Times"/>
      <family val="1"/>
    </font>
    <font>
      <sz val="12"/>
      <color indexed="12"/>
      <name val="CG Times"/>
      <family val="0"/>
    </font>
    <font>
      <sz val="12"/>
      <color indexed="52"/>
      <name val="CG Times"/>
      <family val="1"/>
    </font>
    <font>
      <sz val="12"/>
      <color indexed="10"/>
      <name val="CG Times"/>
      <family val="1"/>
    </font>
    <font>
      <sz val="18"/>
      <color indexed="22"/>
      <name val="CG Times"/>
      <family val="1"/>
    </font>
    <font>
      <b/>
      <sz val="12"/>
      <color indexed="12"/>
      <name val="CG Times"/>
      <family val="1"/>
    </font>
    <font>
      <sz val="12"/>
      <color indexed="8"/>
      <name val="CG Times"/>
      <family val="1"/>
    </font>
    <font>
      <b/>
      <sz val="14"/>
      <color indexed="10"/>
      <name val="CG Times"/>
      <family val="1"/>
    </font>
    <font>
      <sz val="12"/>
      <color indexed="55"/>
      <name val="CG Times"/>
      <family val="0"/>
    </font>
    <font>
      <sz val="12"/>
      <color indexed="22"/>
      <name val="CG Times"/>
      <family val="0"/>
    </font>
    <font>
      <sz val="12"/>
      <color indexed="45"/>
      <name val="CG Times"/>
      <family val="0"/>
    </font>
    <font>
      <b/>
      <sz val="20"/>
      <color indexed="10"/>
      <name val="CG 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2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4" fontId="0" fillId="0" borderId="16" xfId="0" applyNumberForma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4" fontId="0" fillId="0" borderId="17" xfId="0" applyNumberFormat="1" applyBorder="1" applyAlignment="1" applyProtection="1">
      <alignment/>
      <protection/>
    </xf>
    <xf numFmtId="44" fontId="0" fillId="0" borderId="0" xfId="0" applyNumberFormat="1" applyAlignment="1" applyProtection="1">
      <alignment horizontal="left"/>
      <protection/>
    </xf>
    <xf numFmtId="0" fontId="2" fillId="0" borderId="14" xfId="0" applyFont="1" applyBorder="1" applyAlignment="1" applyProtection="1">
      <alignment/>
      <protection/>
    </xf>
    <xf numFmtId="44" fontId="2" fillId="0" borderId="18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44" fontId="0" fillId="0" borderId="17" xfId="44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44" fontId="7" fillId="0" borderId="0" xfId="44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4" fontId="0" fillId="0" borderId="0" xfId="44" applyFont="1" applyAlignment="1">
      <alignment/>
    </xf>
    <xf numFmtId="6" fontId="0" fillId="0" borderId="0" xfId="0" applyNumberFormat="1" applyAlignment="1">
      <alignment/>
    </xf>
    <xf numFmtId="0" fontId="0" fillId="17" borderId="0" xfId="0" applyFill="1" applyAlignment="1">
      <alignment/>
    </xf>
    <xf numFmtId="44" fontId="0" fillId="17" borderId="0" xfId="44" applyFont="1" applyFill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0" fontId="0" fillId="7" borderId="0" xfId="0" applyFill="1" applyAlignment="1">
      <alignment/>
    </xf>
    <xf numFmtId="44" fontId="0" fillId="7" borderId="0" xfId="44" applyFont="1" applyFill="1" applyAlignment="1">
      <alignment/>
    </xf>
    <xf numFmtId="0" fontId="0" fillId="8" borderId="0" xfId="0" applyFill="1" applyAlignment="1">
      <alignment/>
    </xf>
    <xf numFmtId="44" fontId="0" fillId="8" borderId="0" xfId="44" applyFont="1" applyFill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4" fontId="7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4" fontId="2" fillId="0" borderId="16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2" fillId="0" borderId="17" xfId="0" applyNumberFormat="1" applyFont="1" applyBorder="1" applyAlignment="1" applyProtection="1">
      <alignment/>
      <protection/>
    </xf>
    <xf numFmtId="10" fontId="2" fillId="2" borderId="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44" fontId="2" fillId="0" borderId="19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2" borderId="11" xfId="0" applyFill="1" applyBorder="1" applyAlignment="1" applyProtection="1">
      <alignment/>
      <protection locked="0"/>
    </xf>
    <xf numFmtId="9" fontId="0" fillId="0" borderId="11" xfId="0" applyNumberForma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Border="1" applyAlignment="1" applyProtection="1">
      <alignment/>
      <protection/>
    </xf>
    <xf numFmtId="164" fontId="0" fillId="2" borderId="0" xfId="42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4" fontId="2" fillId="0" borderId="0" xfId="0" applyNumberFormat="1" applyFont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4" fontId="5" fillId="0" borderId="0" xfId="44" applyFont="1" applyFill="1" applyBorder="1" applyAlignment="1" applyProtection="1">
      <alignment/>
      <protection/>
    </xf>
    <xf numFmtId="44" fontId="5" fillId="0" borderId="17" xfId="0" applyNumberFormat="1" applyFont="1" applyBorder="1" applyAlignment="1" applyProtection="1">
      <alignment/>
      <protection/>
    </xf>
    <xf numFmtId="44" fontId="0" fillId="0" borderId="10" xfId="44" applyFont="1" applyBorder="1" applyAlignment="1" applyProtection="1">
      <alignment/>
      <protection/>
    </xf>
    <xf numFmtId="44" fontId="0" fillId="2" borderId="17" xfId="44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4" fontId="0" fillId="3" borderId="0" xfId="44" applyFont="1" applyFill="1" applyAlignment="1">
      <alignment/>
    </xf>
    <xf numFmtId="44" fontId="0" fillId="18" borderId="0" xfId="44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 locked="0"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 horizontal="center"/>
    </xf>
    <xf numFmtId="0" fontId="0" fillId="18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>
      <alignment/>
    </xf>
    <xf numFmtId="0" fontId="7" fillId="19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6" fontId="13" fillId="0" borderId="0" xfId="0" applyNumberFormat="1" applyFont="1" applyAlignment="1">
      <alignment/>
    </xf>
    <xf numFmtId="0" fontId="13" fillId="0" borderId="0" xfId="0" applyFont="1" applyBorder="1" applyAlignment="1" applyProtection="1">
      <alignment/>
      <protection/>
    </xf>
    <xf numFmtId="0" fontId="7" fillId="19" borderId="12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6" fontId="14" fillId="0" borderId="0" xfId="0" applyNumberFormat="1" applyFont="1" applyAlignment="1">
      <alignment/>
    </xf>
    <xf numFmtId="0" fontId="5" fillId="0" borderId="12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N189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1.625" style="2" customWidth="1"/>
    <col min="2" max="2" width="18.75390625" style="2" customWidth="1"/>
    <col min="3" max="4" width="21.75390625" style="2" customWidth="1"/>
    <col min="5" max="5" width="13.50390625" style="2" customWidth="1"/>
    <col min="6" max="6" width="13.75390625" style="2" customWidth="1"/>
    <col min="7" max="7" width="19.125" style="2" customWidth="1"/>
    <col min="8" max="8" width="12.625" style="2" customWidth="1"/>
    <col min="9" max="10" width="9.00390625" style="2" customWidth="1"/>
    <col min="11" max="11" width="9.875" style="2" customWidth="1"/>
    <col min="12" max="12" width="5.875" style="2" customWidth="1"/>
    <col min="13" max="13" width="5.25390625" style="2" customWidth="1"/>
    <col min="14" max="14" width="4.25390625" style="2" customWidth="1"/>
    <col min="15" max="15" width="12.625" style="2" customWidth="1"/>
    <col min="16" max="16" width="14.125" style="2" customWidth="1"/>
    <col min="17" max="17" width="8.50390625" style="2" customWidth="1"/>
    <col min="18" max="18" width="7.875" style="2" customWidth="1"/>
    <col min="19" max="19" width="9.00390625" style="2" customWidth="1"/>
    <col min="20" max="20" width="6.875" style="2" customWidth="1"/>
    <col min="21" max="21" width="8.875" style="2" customWidth="1"/>
    <col min="22" max="22" width="8.00390625" style="2" customWidth="1"/>
    <col min="23" max="23" width="10.375" style="2" customWidth="1"/>
    <col min="24" max="24" width="8.00390625" style="2" customWidth="1"/>
    <col min="25" max="25" width="11.375" style="2" customWidth="1"/>
    <col min="26" max="26" width="8.75390625" style="2" customWidth="1"/>
    <col min="27" max="27" width="9.125" style="2" customWidth="1"/>
    <col min="28" max="28" width="7.625" style="2" customWidth="1"/>
    <col min="29" max="29" width="10.375" style="2" customWidth="1"/>
    <col min="30" max="30" width="7.75390625" style="2" customWidth="1"/>
    <col min="31" max="31" width="10.375" style="2" customWidth="1"/>
    <col min="32" max="32" width="8.00390625" style="2" customWidth="1"/>
    <col min="33" max="34" width="8.375" style="2" customWidth="1"/>
    <col min="35" max="35" width="8.75390625" style="2" customWidth="1"/>
    <col min="36" max="36" width="7.875" style="2" customWidth="1"/>
    <col min="37" max="37" width="8.25390625" style="2" customWidth="1"/>
    <col min="38" max="38" width="8.125" style="2" customWidth="1"/>
    <col min="39" max="39" width="8.50390625" style="2" customWidth="1"/>
    <col min="40" max="40" width="8.00390625" style="2" customWidth="1"/>
    <col min="41" max="41" width="8.375" style="2" customWidth="1"/>
    <col min="42" max="42" width="8.00390625" style="2" customWidth="1"/>
    <col min="43" max="43" width="8.375" style="2" customWidth="1"/>
    <col min="44" max="44" width="8.00390625" style="2" customWidth="1"/>
    <col min="45" max="45" width="8.375" style="2" customWidth="1"/>
    <col min="46" max="46" width="8.75390625" style="2" customWidth="1"/>
    <col min="47" max="47" width="9.125" style="2" customWidth="1"/>
    <col min="48" max="48" width="8.625" style="2" customWidth="1"/>
    <col min="49" max="49" width="9.00390625" style="2" customWidth="1"/>
    <col min="50" max="50" width="8.875" style="2" customWidth="1"/>
    <col min="51" max="51" width="9.25390625" style="2" customWidth="1"/>
    <col min="52" max="52" width="7.875" style="2" customWidth="1"/>
    <col min="53" max="53" width="8.25390625" style="2" customWidth="1"/>
    <col min="54" max="54" width="8.125" style="2" customWidth="1"/>
    <col min="55" max="55" width="8.50390625" style="2" customWidth="1"/>
    <col min="56" max="56" width="7.875" style="2" customWidth="1"/>
    <col min="57" max="57" width="8.25390625" style="2" customWidth="1"/>
    <col min="58" max="58" width="8.125" style="2" customWidth="1"/>
    <col min="59" max="59" width="8.50390625" style="2" customWidth="1"/>
    <col min="60" max="60" width="8.375" style="2" customWidth="1"/>
    <col min="61" max="61" width="8.75390625" style="2" customWidth="1"/>
    <col min="62" max="62" width="8.625" style="2" customWidth="1"/>
    <col min="63" max="63" width="9.00390625" style="2" customWidth="1"/>
    <col min="64" max="64" width="8.875" style="2" customWidth="1"/>
    <col min="65" max="65" width="9.25390625" style="2" customWidth="1"/>
    <col min="66" max="66" width="8.125" style="2" customWidth="1"/>
    <col min="67" max="67" width="8.50390625" style="2" customWidth="1"/>
    <col min="68" max="68" width="8.25390625" style="2" customWidth="1"/>
    <col min="69" max="69" width="8.625" style="2" customWidth="1"/>
    <col min="70" max="70" width="8.375" style="2" customWidth="1"/>
    <col min="71" max="71" width="8.75390625" style="2" customWidth="1"/>
    <col min="72" max="72" width="8.625" style="2" customWidth="1"/>
    <col min="73" max="73" width="9.00390625" style="2" customWidth="1"/>
    <col min="74" max="74" width="8.50390625" style="2" customWidth="1"/>
    <col min="75" max="75" width="8.875" style="2" customWidth="1"/>
    <col min="76" max="76" width="8.50390625" style="2" customWidth="1"/>
    <col min="77" max="77" width="8.875" style="2" customWidth="1"/>
    <col min="78" max="78" width="8.125" style="2" customWidth="1"/>
    <col min="79" max="79" width="8.50390625" style="2" customWidth="1"/>
    <col min="80" max="80" width="8.125" style="2" customWidth="1"/>
    <col min="81" max="81" width="8.50390625" style="2" customWidth="1"/>
    <col min="82" max="82" width="8.625" style="2" customWidth="1"/>
    <col min="83" max="83" width="9.00390625" style="2" customWidth="1"/>
    <col min="84" max="84" width="8.625" style="2" customWidth="1"/>
    <col min="85" max="85" width="9.00390625" style="2" customWidth="1"/>
    <col min="86" max="86" width="8.125" style="2" customWidth="1"/>
    <col min="87" max="87" width="8.50390625" style="2" customWidth="1"/>
    <col min="88" max="88" width="8.125" style="2" customWidth="1"/>
    <col min="89" max="89" width="8.50390625" style="2" customWidth="1"/>
    <col min="90" max="90" width="8.00390625" style="2" customWidth="1"/>
    <col min="91" max="91" width="8.375" style="2" customWidth="1"/>
    <col min="92" max="92" width="8.125" style="2" customWidth="1"/>
    <col min="93" max="93" width="8.50390625" style="2" customWidth="1"/>
    <col min="94" max="94" width="7.875" style="2" customWidth="1"/>
    <col min="95" max="95" width="8.25390625" style="2" customWidth="1"/>
    <col min="96" max="96" width="8.50390625" style="2" customWidth="1"/>
    <col min="97" max="97" width="8.875" style="2" customWidth="1"/>
    <col min="98" max="98" width="8.25390625" style="2" customWidth="1"/>
    <col min="99" max="99" width="8.625" style="2" customWidth="1"/>
    <col min="100" max="100" width="9.00390625" style="2" customWidth="1"/>
    <col min="101" max="101" width="9.375" style="2" customWidth="1"/>
    <col min="102" max="102" width="8.375" style="2" customWidth="1"/>
    <col min="103" max="103" width="8.75390625" style="2" customWidth="1"/>
    <col min="104" max="104" width="8.00390625" style="2" customWidth="1"/>
    <col min="105" max="105" width="8.375" style="2" customWidth="1"/>
    <col min="106" max="106" width="8.00390625" style="2" customWidth="1"/>
    <col min="107" max="107" width="8.375" style="2" customWidth="1"/>
    <col min="108" max="108" width="8.25390625" style="2" customWidth="1"/>
    <col min="109" max="109" width="10.375" style="2" customWidth="1"/>
    <col min="110" max="110" width="11.375" style="2" customWidth="1"/>
    <col min="111" max="16384" width="9.00390625" style="2" customWidth="1"/>
  </cols>
  <sheetData>
    <row r="1" spans="1:118" ht="17.25" customHeight="1">
      <c r="A1" s="1" t="s">
        <v>245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ht="23.25">
      <c r="A2" s="35" t="s">
        <v>73</v>
      </c>
    </row>
    <row r="3" ht="15.75">
      <c r="A3" s="1" t="s">
        <v>1</v>
      </c>
    </row>
    <row r="4" spans="1:2" ht="15.75">
      <c r="A4" s="10"/>
      <c r="B4" s="9"/>
    </row>
    <row r="5" spans="1:3" ht="15.75">
      <c r="A5" s="87" t="s">
        <v>151</v>
      </c>
      <c r="B5" s="88"/>
      <c r="C5" s="58"/>
    </row>
    <row r="6" spans="1:3" ht="15.75">
      <c r="A6" s="89" t="s">
        <v>152</v>
      </c>
      <c r="B6" s="90"/>
      <c r="C6" s="59" t="s">
        <v>153</v>
      </c>
    </row>
    <row r="7" spans="1:3" ht="15">
      <c r="A7" s="89" t="s">
        <v>154</v>
      </c>
      <c r="B7" s="88"/>
      <c r="C7" s="59" t="e">
        <f>VLOOKUP(B7,'court codes'!E3:F83,2,FALSE)</f>
        <v>#N/A</v>
      </c>
    </row>
    <row r="8" spans="1:3" ht="15.75">
      <c r="A8" s="91" t="s">
        <v>155</v>
      </c>
      <c r="B8" s="92"/>
      <c r="C8" s="61">
        <f>IF(LEN(B8)=0,"",IF(OR(B8&gt;20150000,B8&lt;20040000),"The case number may be incorrect, please check again",""))</f>
      </c>
    </row>
    <row r="9" spans="1:2" ht="15.75">
      <c r="A9" s="10"/>
      <c r="B9" s="97"/>
    </row>
    <row r="10" spans="1:13" ht="15.75">
      <c r="A10" s="21" t="s">
        <v>143</v>
      </c>
      <c r="B10" s="81"/>
      <c r="C10" s="8"/>
      <c r="D10" s="58"/>
      <c r="I10" s="13">
        <f>IF(ISERROR(VLOOKUP(B10,J11:K16,2,FALSE)),"",VLOOKUP(B10,J11:K16,2,FALSE))</f>
      </c>
      <c r="J10" s="85"/>
      <c r="K10" s="85" t="s">
        <v>144</v>
      </c>
      <c r="M10" s="5"/>
    </row>
    <row r="11" spans="1:15" ht="15.75">
      <c r="A11" s="10" t="s">
        <v>2</v>
      </c>
      <c r="B11" s="15"/>
      <c r="C11" s="5"/>
      <c r="D11" s="59"/>
      <c r="J11" s="86" t="s">
        <v>145</v>
      </c>
      <c r="K11" s="85">
        <v>0</v>
      </c>
      <c r="O11" s="4"/>
    </row>
    <row r="12" spans="1:15" ht="15.75">
      <c r="A12" s="10" t="s">
        <v>25</v>
      </c>
      <c r="B12" s="15"/>
      <c r="C12" s="5" t="s">
        <v>70</v>
      </c>
      <c r="D12" s="59"/>
      <c r="F12" s="17"/>
      <c r="J12" s="85" t="s">
        <v>146</v>
      </c>
      <c r="K12" s="85">
        <v>1</v>
      </c>
      <c r="O12" s="4"/>
    </row>
    <row r="13" spans="1:11" ht="15.75">
      <c r="A13" s="10" t="s">
        <v>3</v>
      </c>
      <c r="B13" s="15"/>
      <c r="C13" s="60">
        <v>0.3</v>
      </c>
      <c r="D13" s="61">
        <f>IF(AND(B13&gt;0,B14&gt;0),"It can't be a retrail within a month AND after a month!","")</f>
      </c>
      <c r="J13" s="85" t="s">
        <v>147</v>
      </c>
      <c r="K13" s="85">
        <v>2</v>
      </c>
    </row>
    <row r="14" spans="1:11" ht="17.25" customHeight="1">
      <c r="A14" s="62" t="s">
        <v>4</v>
      </c>
      <c r="B14" s="63"/>
      <c r="C14" s="64">
        <v>0.2</v>
      </c>
      <c r="D14" s="65" t="s">
        <v>0</v>
      </c>
      <c r="J14" s="85" t="s">
        <v>148</v>
      </c>
      <c r="K14" s="85">
        <v>3</v>
      </c>
    </row>
    <row r="15" spans="1:11" ht="15.75">
      <c r="A15" s="16"/>
      <c r="E15" s="25"/>
      <c r="J15" s="85" t="s">
        <v>149</v>
      </c>
      <c r="K15" s="85">
        <v>4</v>
      </c>
    </row>
    <row r="16" spans="1:11" ht="15.75">
      <c r="A16" s="1" t="s">
        <v>5</v>
      </c>
      <c r="J16" s="85" t="s">
        <v>150</v>
      </c>
      <c r="K16" s="85">
        <v>5</v>
      </c>
    </row>
    <row r="17" spans="1:7" ht="15.75">
      <c r="A17" s="18" t="s">
        <v>6</v>
      </c>
      <c r="B17" s="19" t="s">
        <v>7</v>
      </c>
      <c r="C17" s="19" t="s">
        <v>8</v>
      </c>
      <c r="D17" s="20" t="s">
        <v>9</v>
      </c>
      <c r="E17"/>
      <c r="F17"/>
      <c r="G17"/>
    </row>
    <row r="18" spans="1:7" ht="15.75">
      <c r="A18" s="21" t="s">
        <v>10</v>
      </c>
      <c r="B18" s="13"/>
      <c r="C18" s="79">
        <f>(1-B13*C13-B14*C14)*IF(ISERROR(VLOOKUP($B$11,'Core rates'!$A$3:$AK$13,calculator!$I$10*6+2,FALSE)),0,VLOOKUP($B$11,'Core rates'!$A$3:$AK$13,calculator!$I$10*6+2,FALSE))</f>
        <v>0</v>
      </c>
      <c r="D18" s="22">
        <f>ROUND(C18*B18,2)</f>
        <v>0</v>
      </c>
      <c r="F18"/>
      <c r="G18"/>
    </row>
    <row r="19" spans="1:5" ht="15.75">
      <c r="A19" s="10" t="s">
        <v>56</v>
      </c>
      <c r="B19" s="81"/>
      <c r="C19" s="23">
        <f>(1-B13*C13-B14*C14)*IF(ISERROR(VLOOKUP($B$11,'Core rates'!$A$3:$AK$13,calculator!$I$10*6+3,FALSE)),0,VLOOKUP($B$11,'Core rates'!$A$3:$AK$13,calculator!$I$10*6+3,FALSE))</f>
        <v>0</v>
      </c>
      <c r="D19" s="24">
        <f>ROUND(C19*B19,2)</f>
        <v>0</v>
      </c>
      <c r="E19" s="82">
        <f>IF(AND(ISNUMBER(SUM($B$19:$B$21)),$B$12&gt;1),IF(SUM($B$19:$B$21)+2&gt;$B$12,"Error, too many daily attendance fees claimed",""),"")</f>
      </c>
    </row>
    <row r="20" spans="1:5" ht="15.75">
      <c r="A20" s="10" t="s">
        <v>57</v>
      </c>
      <c r="B20" s="81"/>
      <c r="C20" s="23">
        <f>IF(ISERROR(VLOOKUP($B$11,'Core rates'!$A$3:$AK$13,calculator!$I$10*6+6,FALSE)),0,VLOOKUP($B$11,'Core rates'!$A$3:$AK$13,calculator!$I$10*6+6,FALSE))</f>
        <v>0</v>
      </c>
      <c r="D20" s="24">
        <f>ROUND(C20*B20,2)</f>
        <v>0</v>
      </c>
      <c r="E20" s="82">
        <f>IF(AND(ISNUMBER(SUM($B$19:$B$21)),$B$12&gt;1),IF(SUM($B$19:$B$21)+2&gt;$B$12,"Error, too many daily attendance fees claimed",""),"")</f>
      </c>
    </row>
    <row r="21" spans="1:5" ht="15.75">
      <c r="A21" s="10" t="s">
        <v>58</v>
      </c>
      <c r="B21" s="81"/>
      <c r="C21" s="23">
        <f>IF(ISERROR(VLOOKUP($B$11,'Core rates'!$A$3:$AK$13,calculator!$I$10*6+7,FALSE)),0,VLOOKUP($B$11,'Core rates'!$A$3:$AK$13,calculator!$I$10*6+7,FALSE))</f>
        <v>0</v>
      </c>
      <c r="D21" s="24">
        <f>ROUND(C21*B21,2)</f>
        <v>0</v>
      </c>
      <c r="E21" s="82">
        <f>IF(AND(ISNUMBER(SUM($B$19:$B$21)),$B$12&gt;1),IF(SUM($B$19:$B$21)+2&gt;$B$12,"Error, too many daily attendance fees claimed",""),"")</f>
      </c>
    </row>
    <row r="22" spans="1:4" ht="15.75">
      <c r="A22" s="10" t="s">
        <v>11</v>
      </c>
      <c r="B22" s="15"/>
      <c r="C22" s="23">
        <f>ROUND((1-B13*C13-B14*C14)*IF(ISERROR(VLOOKUP($B$11,'Core rates'!$A$3:$AK$13,calculator!$I$10*6+5,FALSE)),0,VLOOKUP($B$11,'Core rates'!$A$3:$AK$13,calculator!$I$10*6+5,FALSE)),2)</f>
        <v>0</v>
      </c>
      <c r="D22" s="24">
        <f>ROUND(C22*MAX(0,MIN(B22-10)),2)</f>
        <v>0</v>
      </c>
    </row>
    <row r="23" spans="1:6" ht="15.75">
      <c r="A23" s="10" t="s">
        <v>12</v>
      </c>
      <c r="B23" s="15"/>
      <c r="C23" s="23">
        <f>(1-B13*C13-B14*C14)*IF(ISERROR(VLOOKUP($B$11,'Core rates'!$A$3:$AK$13,calculator!$I$10*6+4,FALSE)),0,VLOOKUP($B$11,'Core rates'!$A$3:$AK$13,calculator!$I$10*6+4,FALSE))</f>
        <v>0</v>
      </c>
      <c r="D23" s="24">
        <f>ROUND(C23*MAX(0,MIN(B23-50,9950)),2)</f>
        <v>0</v>
      </c>
      <c r="F23" s="47" t="s">
        <v>71</v>
      </c>
    </row>
    <row r="24" spans="1:8" ht="15.75">
      <c r="A24" s="11"/>
      <c r="B24" s="26" t="s">
        <v>13</v>
      </c>
      <c r="C24" s="12"/>
      <c r="D24" s="27">
        <f>IF(B13+B14&lt;2,SUM(D18:D23),"both retrial flag set")</f>
        <v>0</v>
      </c>
      <c r="E24" s="10"/>
      <c r="H24" s="6"/>
    </row>
    <row r="25" spans="1:8" ht="15.75">
      <c r="A25" s="5"/>
      <c r="B25" s="52"/>
      <c r="C25" s="5"/>
      <c r="D25" s="73"/>
      <c r="E25" s="10"/>
      <c r="H25" s="6"/>
    </row>
    <row r="26" spans="1:8" ht="15.75">
      <c r="A26" s="1" t="s">
        <v>14</v>
      </c>
      <c r="E26" s="10"/>
      <c r="H26" s="6"/>
    </row>
    <row r="27" spans="1:6" ht="15.75">
      <c r="A27" s="28"/>
      <c r="B27" s="29" t="s">
        <v>80</v>
      </c>
      <c r="C27" s="29" t="s">
        <v>7</v>
      </c>
      <c r="D27" s="29" t="s">
        <v>8</v>
      </c>
      <c r="E27" s="30" t="s">
        <v>9</v>
      </c>
      <c r="F27" s="33"/>
    </row>
    <row r="28" spans="1:20" ht="15.75">
      <c r="A28" s="2" t="s">
        <v>65</v>
      </c>
      <c r="B28" s="2" t="s">
        <v>104</v>
      </c>
      <c r="C28" s="71"/>
      <c r="D28" s="31">
        <f>IF($I$10&lt;&gt;"",VLOOKUP(A28,'Other fees'!$A$2:$G$24,calculator!$I$10+2,FALSE),0)</f>
        <v>0</v>
      </c>
      <c r="E28" s="24">
        <f>D28*C28</f>
        <v>0</v>
      </c>
      <c r="F28" s="33"/>
      <c r="T28" s="4"/>
    </row>
    <row r="29" spans="1:20" s="35" customFormat="1" ht="15.75">
      <c r="A29" s="35" t="str">
        <f>A28&amp;" uplift"</f>
        <v>Abuse of process hearing (full day) uplift</v>
      </c>
      <c r="B29" s="35" t="s">
        <v>105</v>
      </c>
      <c r="C29" s="71"/>
      <c r="D29" s="34">
        <f>ROUND(D28*0.2,2)</f>
        <v>0</v>
      </c>
      <c r="E29" s="24">
        <f>D29*C29</f>
        <v>0</v>
      </c>
      <c r="F29" s="33"/>
      <c r="T29" s="49"/>
    </row>
    <row r="30" spans="1:20" ht="15.75">
      <c r="A30" s="2" t="s">
        <v>61</v>
      </c>
      <c r="B30" s="2" t="s">
        <v>106</v>
      </c>
      <c r="C30" s="71"/>
      <c r="D30" s="31">
        <f>IF($I$10&lt;&gt;"",VLOOKUP(A30,'Other fees'!$A$2:$G$24,calculator!$I$10+2,FALSE),0)</f>
        <v>0</v>
      </c>
      <c r="E30" s="24">
        <f>D30*C30</f>
        <v>0</v>
      </c>
      <c r="F30" s="33"/>
      <c r="T30" s="4"/>
    </row>
    <row r="31" spans="1:20" ht="15.75">
      <c r="A31" s="35" t="str">
        <f>A30&amp;" uplift"</f>
        <v>Abuse of process hearing (half day) uplift</v>
      </c>
      <c r="B31" s="35" t="s">
        <v>107</v>
      </c>
      <c r="C31" s="71"/>
      <c r="D31" s="34">
        <f>ROUND(D30*0.2,2)</f>
        <v>0</v>
      </c>
      <c r="E31" s="24">
        <f>D31*C31</f>
        <v>0</v>
      </c>
      <c r="F31" s="33"/>
      <c r="T31" s="4"/>
    </row>
    <row r="32" spans="1:20" ht="15.75">
      <c r="A32" s="2" t="s">
        <v>139</v>
      </c>
      <c r="B32" s="2" t="s">
        <v>124</v>
      </c>
      <c r="C32" s="71"/>
      <c r="D32" s="31">
        <f>IF($I$10&lt;&gt;"",VLOOKUP(A32,'Other fees'!$A$2:$G$24,calculator!$I$10+2,FALSE),0)</f>
        <v>0</v>
      </c>
      <c r="E32" s="32">
        <f>ROUND(D32*MIN(MAX(0,C32-6),IF(AND(B12&gt;=21,B12&lt;=25),2,IF(AND(B12&gt;=26,B12&lt;=35),4,IF(AND(B12&gt;=36,B12&lt;=40),6,0)))),2)</f>
        <v>0</v>
      </c>
      <c r="F32" s="48" t="s">
        <v>140</v>
      </c>
      <c r="T32" s="4"/>
    </row>
    <row r="33" spans="1:20" s="35" customFormat="1" ht="15.75">
      <c r="A33" s="2" t="s">
        <v>68</v>
      </c>
      <c r="B33" s="2" t="s">
        <v>84</v>
      </c>
      <c r="C33" s="71"/>
      <c r="D33" s="31">
        <f>IF($I$10&lt;&gt;"",VLOOKUP(A33,'Other fees'!$A$2:$G$24,calculator!$I$10+2,FALSE),0)</f>
        <v>0</v>
      </c>
      <c r="E33" s="24">
        <f aca="true" t="shared" si="0" ref="E33:E56">D33*C33</f>
        <v>0</v>
      </c>
      <c r="F33" s="33"/>
      <c r="T33" s="49"/>
    </row>
    <row r="34" spans="1:20" ht="15.75">
      <c r="A34" s="35" t="str">
        <f>A33&amp;" uplift"</f>
        <v>Confiscation hearings (full day) uplift</v>
      </c>
      <c r="B34" s="35" t="s">
        <v>108</v>
      </c>
      <c r="C34" s="71"/>
      <c r="D34" s="34">
        <f>ROUND(D33*0.2,2)</f>
        <v>0</v>
      </c>
      <c r="E34" s="24">
        <f t="shared" si="0"/>
        <v>0</v>
      </c>
      <c r="F34" s="33"/>
      <c r="T34" s="4"/>
    </row>
    <row r="35" spans="1:20" s="35" customFormat="1" ht="15.75">
      <c r="A35" s="2" t="s">
        <v>64</v>
      </c>
      <c r="B35" s="2" t="s">
        <v>85</v>
      </c>
      <c r="C35" s="71"/>
      <c r="D35" s="31">
        <f>IF($I$10&lt;&gt;"",VLOOKUP(A35,'Other fees'!$A$2:$G$24,calculator!$I$10+2,FALSE),0)</f>
        <v>0</v>
      </c>
      <c r="E35" s="24">
        <f t="shared" si="0"/>
        <v>0</v>
      </c>
      <c r="F35" s="33"/>
      <c r="T35" s="49"/>
    </row>
    <row r="36" spans="1:20" ht="15.75">
      <c r="A36" s="35" t="str">
        <f>A35&amp;" uplift"</f>
        <v>Confiscation hearings (half day) uplift</v>
      </c>
      <c r="B36" s="35" t="s">
        <v>86</v>
      </c>
      <c r="C36" s="71"/>
      <c r="D36" s="34">
        <f>ROUND(D35*0.2,2)</f>
        <v>0</v>
      </c>
      <c r="E36" s="24">
        <f t="shared" si="0"/>
        <v>0</v>
      </c>
      <c r="F36" s="33"/>
      <c r="T36" s="4"/>
    </row>
    <row r="37" spans="1:20" s="35" customFormat="1" ht="15.75">
      <c r="A37" s="2" t="s">
        <v>28</v>
      </c>
      <c r="B37" s="2" t="s">
        <v>87</v>
      </c>
      <c r="C37" s="71"/>
      <c r="D37" s="31">
        <f>IF($I$10&lt;&gt;"",VLOOKUP(A37,'Other fees'!$A$2:$G$24,calculator!$I$10+2,FALSE),0)</f>
        <v>0</v>
      </c>
      <c r="E37" s="24">
        <f t="shared" si="0"/>
        <v>0</v>
      </c>
      <c r="F37" s="33"/>
      <c r="T37" s="49"/>
    </row>
    <row r="38" spans="1:20" ht="15.75">
      <c r="A38" s="35" t="str">
        <f>A37&amp;" uplift"</f>
        <v>Deferred sentence hearing uplift</v>
      </c>
      <c r="B38" s="35" t="s">
        <v>88</v>
      </c>
      <c r="C38" s="71"/>
      <c r="D38" s="34">
        <f>ROUND(D37*0.2,2)</f>
        <v>0</v>
      </c>
      <c r="E38" s="24">
        <f t="shared" si="0"/>
        <v>0</v>
      </c>
      <c r="F38" s="33"/>
      <c r="T38" s="4"/>
    </row>
    <row r="39" spans="1:20" s="35" customFormat="1" ht="15.75">
      <c r="A39" s="2" t="s">
        <v>62</v>
      </c>
      <c r="B39" s="2" t="s">
        <v>109</v>
      </c>
      <c r="C39" s="71"/>
      <c r="D39" s="31">
        <f>IF($I$10&lt;&gt;"",VLOOKUP(A39,'Other fees'!$A$2:$G$24,calculator!$I$10+2,FALSE),0)</f>
        <v>0</v>
      </c>
      <c r="E39" s="24">
        <f t="shared" si="0"/>
        <v>0</v>
      </c>
      <c r="F39" s="33"/>
      <c r="T39" s="49"/>
    </row>
    <row r="40" spans="1:20" ht="15.75">
      <c r="A40" s="35" t="str">
        <f>A39&amp;" uplift"</f>
        <v>Hearings relating to disclosure (half day) uplift</v>
      </c>
      <c r="B40" s="35" t="s">
        <v>110</v>
      </c>
      <c r="C40" s="71"/>
      <c r="D40" s="34">
        <f>ROUND(D39*0.2,2)</f>
        <v>0</v>
      </c>
      <c r="E40" s="24">
        <f t="shared" si="0"/>
        <v>0</v>
      </c>
      <c r="F40" s="33"/>
      <c r="T40" s="4"/>
    </row>
    <row r="41" spans="1:20" s="35" customFormat="1" ht="15.75">
      <c r="A41" s="2" t="s">
        <v>66</v>
      </c>
      <c r="B41" s="2" t="s">
        <v>111</v>
      </c>
      <c r="C41" s="71"/>
      <c r="D41" s="31">
        <f>IF($I$10&lt;&gt;"",VLOOKUP(A41,'Other fees'!$A$2:$G$24,calculator!$I$10+2,FALSE),0)</f>
        <v>0</v>
      </c>
      <c r="E41" s="24">
        <f t="shared" si="0"/>
        <v>0</v>
      </c>
      <c r="F41" s="33"/>
      <c r="T41" s="49"/>
    </row>
    <row r="42" spans="1:20" ht="15.75">
      <c r="A42" s="35" t="str">
        <f>A41&amp;" uplift"</f>
        <v>Hearings relating to disclosure full day) uplift</v>
      </c>
      <c r="B42" s="35" t="s">
        <v>112</v>
      </c>
      <c r="C42" s="71"/>
      <c r="D42" s="34">
        <f>ROUND(D41*0.2,2)</f>
        <v>0</v>
      </c>
      <c r="E42" s="24">
        <f t="shared" si="0"/>
        <v>0</v>
      </c>
      <c r="F42" s="33"/>
      <c r="T42" s="4"/>
    </row>
    <row r="43" spans="1:20" s="35" customFormat="1" ht="15.75">
      <c r="A43" s="2" t="s">
        <v>67</v>
      </c>
      <c r="B43" s="2" t="s">
        <v>113</v>
      </c>
      <c r="C43" s="71"/>
      <c r="D43" s="31">
        <f>IF($I$10&lt;&gt;"",VLOOKUP(A43,'Other fees'!$A$2:$G$24,calculator!$I$10+2,FALSE),0)</f>
        <v>0</v>
      </c>
      <c r="E43" s="24">
        <f t="shared" si="0"/>
        <v>0</v>
      </c>
      <c r="F43" s="33"/>
      <c r="T43" s="49"/>
    </row>
    <row r="44" spans="1:20" ht="15.75">
      <c r="A44" s="35" t="str">
        <f>A43&amp;" uplift"</f>
        <v>Hearings relating to the admissibility of evidence (full day) uplift</v>
      </c>
      <c r="B44" s="35" t="s">
        <v>114</v>
      </c>
      <c r="C44" s="71"/>
      <c r="D44" s="34">
        <f>ROUND(D43*0.2,2)</f>
        <v>0</v>
      </c>
      <c r="E44" s="24">
        <f t="shared" si="0"/>
        <v>0</v>
      </c>
      <c r="F44" s="33"/>
      <c r="T44" s="4"/>
    </row>
    <row r="45" spans="1:20" s="35" customFormat="1" ht="15.75">
      <c r="A45" s="2" t="s">
        <v>63</v>
      </c>
      <c r="B45" s="2" t="s">
        <v>115</v>
      </c>
      <c r="C45" s="71"/>
      <c r="D45" s="31">
        <f>IF($I$10&lt;&gt;"",VLOOKUP(A45,'Other fees'!$A$2:$G$24,calculator!$I$10+2,FALSE),0)</f>
        <v>0</v>
      </c>
      <c r="E45" s="24">
        <f t="shared" si="0"/>
        <v>0</v>
      </c>
      <c r="F45" s="33"/>
      <c r="T45" s="49"/>
    </row>
    <row r="46" spans="1:20" ht="15.75">
      <c r="A46" s="35" t="str">
        <f>A45&amp;" uplift"</f>
        <v>Hearings relating to the admissibility of evidence (half day) uplift</v>
      </c>
      <c r="B46" s="35" t="s">
        <v>116</v>
      </c>
      <c r="C46" s="71"/>
      <c r="D46" s="34">
        <f>ROUND(D45*0.2,2)</f>
        <v>0</v>
      </c>
      <c r="E46" s="24">
        <f t="shared" si="0"/>
        <v>0</v>
      </c>
      <c r="F46" s="33"/>
      <c r="T46" s="4"/>
    </row>
    <row r="47" spans="1:20" s="35" customFormat="1" ht="15.75">
      <c r="A47" s="2" t="s">
        <v>29</v>
      </c>
      <c r="B47" s="2" t="s">
        <v>117</v>
      </c>
      <c r="C47" s="71"/>
      <c r="D47" s="31">
        <f>IF($I$10&lt;&gt;"",VLOOKUP(A47,'Other fees'!$A$2:$G$24,calculator!$I$10+2,FALSE),0)</f>
        <v>0</v>
      </c>
      <c r="E47" s="24">
        <f t="shared" si="0"/>
        <v>0</v>
      </c>
      <c r="F47" s="33"/>
      <c r="T47" s="49"/>
    </row>
    <row r="48" spans="1:20" ht="15.75">
      <c r="A48" s="35" t="str">
        <f>A47&amp;" uplift"</f>
        <v>Ineffective trial payment uplift</v>
      </c>
      <c r="B48" s="35" t="s">
        <v>118</v>
      </c>
      <c r="C48" s="71"/>
      <c r="D48" s="34">
        <f>ROUND(D47*0.2,2)</f>
        <v>0</v>
      </c>
      <c r="E48" s="24">
        <f t="shared" si="0"/>
        <v>0</v>
      </c>
      <c r="F48" s="33"/>
      <c r="T48" s="4"/>
    </row>
    <row r="49" spans="1:20" s="35" customFormat="1" ht="15.75">
      <c r="A49" s="2" t="s">
        <v>36</v>
      </c>
      <c r="B49" s="2" t="s">
        <v>95</v>
      </c>
      <c r="C49" s="71"/>
      <c r="D49" s="31">
        <f>IF($I$10&lt;&gt;"",VLOOKUP(A49,'Other fees'!$A$2:$G$24,calculator!$I$10+2,FALSE),0)</f>
        <v>0</v>
      </c>
      <c r="E49" s="24">
        <f t="shared" si="0"/>
        <v>0</v>
      </c>
      <c r="F49" s="33"/>
      <c r="T49" s="49"/>
    </row>
    <row r="50" spans="1:20" ht="15.75">
      <c r="A50" s="2" t="s">
        <v>27</v>
      </c>
      <c r="B50" s="2" t="s">
        <v>119</v>
      </c>
      <c r="C50" s="71"/>
      <c r="D50" s="31">
        <f>IF($I$10&lt;&gt;"",VLOOKUP(A50,'Other fees'!$A$2:$G$24,calculator!$I$10+2,FALSE),0)</f>
        <v>0</v>
      </c>
      <c r="E50" s="24">
        <f t="shared" si="0"/>
        <v>0</v>
      </c>
      <c r="F50" s="33"/>
      <c r="T50" s="4"/>
    </row>
    <row r="51" spans="1:20" ht="15.75">
      <c r="A51" s="35" t="str">
        <f>A50&amp;" uplift"</f>
        <v>Paper plea and case management hearing uplift</v>
      </c>
      <c r="B51" s="35" t="s">
        <v>132</v>
      </c>
      <c r="C51" s="71"/>
      <c r="D51" s="34">
        <f>ROUND(D50*0.2,2)</f>
        <v>0</v>
      </c>
      <c r="E51" s="24">
        <f t="shared" si="0"/>
        <v>0</v>
      </c>
      <c r="F51" s="33"/>
      <c r="T51" s="4"/>
    </row>
    <row r="52" spans="1:20" ht="15.75">
      <c r="A52" s="2" t="s">
        <v>34</v>
      </c>
      <c r="B52" s="2" t="s">
        <v>89</v>
      </c>
      <c r="C52" s="71"/>
      <c r="D52" s="31">
        <f>IF($I$10&lt;&gt;"",VLOOKUP(A52,'Other fees'!$A$2:$G$24,calculator!$I$10+2,FALSE),0)</f>
        <v>0</v>
      </c>
      <c r="E52" s="24">
        <f t="shared" si="0"/>
        <v>0</v>
      </c>
      <c r="F52" s="33"/>
      <c r="T52" s="4"/>
    </row>
    <row r="53" spans="1:20" ht="15.75">
      <c r="A53" s="35" t="str">
        <f>A52&amp;" uplift"</f>
        <v>Proceedings relating to breach of an order of the Crown Court uplift</v>
      </c>
      <c r="B53" s="35" t="s">
        <v>90</v>
      </c>
      <c r="C53" s="71"/>
      <c r="D53" s="34">
        <f>ROUND(D52*0.2,2)</f>
        <v>0</v>
      </c>
      <c r="E53" s="24">
        <f t="shared" si="0"/>
        <v>0</v>
      </c>
      <c r="F53" s="33"/>
      <c r="T53" s="4"/>
    </row>
    <row r="54" spans="1:20" ht="15.75">
      <c r="A54" t="s">
        <v>78</v>
      </c>
      <c r="B54" s="72" t="s">
        <v>120</v>
      </c>
      <c r="C54" s="71"/>
      <c r="D54" s="31">
        <f>IF($I$10&lt;&gt;"",VLOOKUP(A54,'Other fees'!$A$2:$G$24,calculator!$I$10+2,FALSE),0)</f>
        <v>0</v>
      </c>
      <c r="E54" s="24">
        <f t="shared" si="0"/>
        <v>0</v>
      </c>
      <c r="F54" s="33"/>
      <c r="T54" s="4"/>
    </row>
    <row r="55" spans="1:20" ht="15.75">
      <c r="A55" t="s">
        <v>79</v>
      </c>
      <c r="B55" s="72" t="s">
        <v>91</v>
      </c>
      <c r="C55" s="71"/>
      <c r="D55" s="31">
        <f>IF($I$10&lt;&gt;"",VLOOKUP(A55,'Other fees'!$A$2:$G$24,calculator!$I$10+2,FALSE),0)</f>
        <v>0</v>
      </c>
      <c r="E55" s="24">
        <f t="shared" si="0"/>
        <v>0</v>
      </c>
      <c r="F55" s="33"/>
      <c r="T55" s="4"/>
    </row>
    <row r="56" spans="1:20" ht="15.75">
      <c r="A56" s="2" t="s">
        <v>30</v>
      </c>
      <c r="B56" s="2" t="s">
        <v>121</v>
      </c>
      <c r="C56" s="71"/>
      <c r="D56" s="31">
        <f>IF($I$10&lt;&gt;"",VLOOKUP(A56,'Other fees'!$A$2:$G$24,calculator!$I$10+2,FALSE),0)</f>
        <v>0</v>
      </c>
      <c r="E56" s="24">
        <f t="shared" si="0"/>
        <v>0</v>
      </c>
      <c r="F56" s="33"/>
      <c r="T56" s="4"/>
    </row>
    <row r="57" spans="1:20" s="35" customFormat="1" ht="15.75">
      <c r="A57" s="2" t="s">
        <v>26</v>
      </c>
      <c r="B57" s="2" t="s">
        <v>122</v>
      </c>
      <c r="C57" s="71"/>
      <c r="D57" s="31">
        <f>IF($I$10&lt;&gt;"",VLOOKUP(A57,'Other fees'!$A$2:$G$24,calculator!$I$10+2,FALSE),0)</f>
        <v>0</v>
      </c>
      <c r="E57" s="32">
        <f>D57*MAX(0,C57-5)</f>
        <v>0</v>
      </c>
      <c r="F57" s="107" t="s">
        <v>75</v>
      </c>
      <c r="G57" s="108"/>
      <c r="H57" s="108"/>
      <c r="T57" s="49"/>
    </row>
    <row r="58" spans="1:20" ht="15.75">
      <c r="A58" s="35" t="str">
        <f>A57&amp;" uplift"</f>
        <v>Standard appearance uplift</v>
      </c>
      <c r="B58" s="35" t="s">
        <v>126</v>
      </c>
      <c r="C58" s="71"/>
      <c r="D58" s="34">
        <f>ROUND(D57*0.2,2)</f>
        <v>0</v>
      </c>
      <c r="E58" s="24">
        <f>D58*C58</f>
        <v>0</v>
      </c>
      <c r="F58" s="109"/>
      <c r="G58" s="108"/>
      <c r="H58" s="108"/>
      <c r="T58" s="4"/>
    </row>
    <row r="59" spans="1:20" ht="15.75">
      <c r="A59" s="10" t="s">
        <v>96</v>
      </c>
      <c r="B59" s="72" t="s">
        <v>97</v>
      </c>
      <c r="C59" s="71"/>
      <c r="D59" s="74">
        <f>C18*0.2</f>
        <v>0</v>
      </c>
      <c r="E59" s="24">
        <f>D59*C59</f>
        <v>0</v>
      </c>
      <c r="F59" s="69"/>
      <c r="G59" s="68"/>
      <c r="H59" s="68"/>
      <c r="T59" s="4"/>
    </row>
    <row r="60" spans="1:20" ht="15.75">
      <c r="A60" s="10" t="s">
        <v>98</v>
      </c>
      <c r="B60" s="72" t="s">
        <v>99</v>
      </c>
      <c r="C60" s="71"/>
      <c r="D60" s="74">
        <f>C18*0.2</f>
        <v>0</v>
      </c>
      <c r="E60" s="24">
        <f>D60*C60</f>
        <v>0</v>
      </c>
      <c r="F60" s="69"/>
      <c r="G60" s="68"/>
      <c r="H60" s="68"/>
      <c r="T60" s="4"/>
    </row>
    <row r="61" spans="1:20" ht="15.75">
      <c r="A61" s="2" t="s">
        <v>31</v>
      </c>
      <c r="B61" s="2" t="s">
        <v>92</v>
      </c>
      <c r="C61" s="71"/>
      <c r="D61" s="31">
        <f>IF($I$10&lt;&gt;"",VLOOKUP(A61,'Other fees'!$A$2:$G$24,calculator!$I$10+2,FALSE),0)</f>
        <v>0</v>
      </c>
      <c r="E61" s="24">
        <f>D61*C61</f>
        <v>0</v>
      </c>
      <c r="F61" s="33"/>
      <c r="T61" s="4"/>
    </row>
    <row r="62" spans="1:20" ht="15.75" hidden="1">
      <c r="A62" s="75" t="s">
        <v>127</v>
      </c>
      <c r="B62" s="76"/>
      <c r="C62" s="71"/>
      <c r="D62" s="77"/>
      <c r="E62" s="78"/>
      <c r="F62" s="33"/>
      <c r="T62" s="4"/>
    </row>
    <row r="63" spans="1:20" s="35" customFormat="1" ht="15.75" hidden="1">
      <c r="A63" s="76" t="s">
        <v>32</v>
      </c>
      <c r="B63" s="76" t="s">
        <v>81</v>
      </c>
      <c r="C63" s="71"/>
      <c r="D63" s="77">
        <f>IF($I$10&lt;&gt;"",VLOOKUP(A63,'Other fees'!$A$2:$G$24,calculator!$I$10+2,FALSE),0)</f>
        <v>0</v>
      </c>
      <c r="E63" s="78">
        <f aca="true" t="shared" si="1" ref="E63:E72">D63*C63</f>
        <v>0</v>
      </c>
      <c r="F63" s="33"/>
      <c r="T63" s="49"/>
    </row>
    <row r="64" spans="1:20" s="35" customFormat="1" ht="15.75" hidden="1">
      <c r="A64" s="35" t="str">
        <f>A63&amp;" uplift"</f>
        <v>Appeals to the Crown Court against conviction uplift</v>
      </c>
      <c r="B64" s="35" t="s">
        <v>103</v>
      </c>
      <c r="C64" s="71"/>
      <c r="D64" s="34">
        <f>ROUND(D63*0.2,2)</f>
        <v>0</v>
      </c>
      <c r="E64" s="78">
        <f t="shared" si="1"/>
        <v>0</v>
      </c>
      <c r="F64" s="33"/>
      <c r="T64" s="49"/>
    </row>
    <row r="65" spans="1:20" ht="15.75" hidden="1">
      <c r="A65" s="76" t="s">
        <v>33</v>
      </c>
      <c r="B65" s="76" t="s">
        <v>82</v>
      </c>
      <c r="C65" s="71"/>
      <c r="D65" s="77">
        <f>IF($I$10&lt;&gt;"",VLOOKUP(A65,'Other fees'!$A$2:$G$24,calculator!$I$10+2,FALSE),0)</f>
        <v>0</v>
      </c>
      <c r="E65" s="78">
        <f t="shared" si="1"/>
        <v>0</v>
      </c>
      <c r="F65" s="33"/>
      <c r="T65" s="4"/>
    </row>
    <row r="66" spans="1:20" s="35" customFormat="1" ht="15.75" hidden="1">
      <c r="A66" s="35" t="str">
        <f>A65&amp;" uplift"</f>
        <v>Appeals to the Crown Court against sentence  uplift</v>
      </c>
      <c r="B66" s="35" t="s">
        <v>102</v>
      </c>
      <c r="C66" s="71"/>
      <c r="D66" s="34">
        <f>ROUND(D65*0.2,2)</f>
        <v>0</v>
      </c>
      <c r="E66" s="78">
        <f t="shared" si="1"/>
        <v>0</v>
      </c>
      <c r="F66" s="33"/>
      <c r="T66" s="49"/>
    </row>
    <row r="67" spans="1:20" s="35" customFormat="1" ht="15.75" hidden="1">
      <c r="A67" s="76" t="s">
        <v>35</v>
      </c>
      <c r="B67" s="76" t="s">
        <v>83</v>
      </c>
      <c r="C67" s="71"/>
      <c r="D67" s="77">
        <f>IF($I$10&lt;&gt;"",VLOOKUP(A67,'Other fees'!$A$2:$G$24,calculator!$I$10+2,FALSE),0)</f>
        <v>0</v>
      </c>
      <c r="E67" s="78">
        <f t="shared" si="1"/>
        <v>0</v>
      </c>
      <c r="F67" s="33"/>
      <c r="T67" s="49"/>
    </row>
    <row r="68" spans="1:20" s="35" customFormat="1" ht="15.75" hidden="1">
      <c r="A68" s="35" t="str">
        <f>A67&amp;" uplift"</f>
        <v>Committal for sentence uplift</v>
      </c>
      <c r="B68" s="35" t="s">
        <v>123</v>
      </c>
      <c r="C68" s="71"/>
      <c r="D68" s="34">
        <f>ROUND(D67*0.2,2)</f>
        <v>0</v>
      </c>
      <c r="E68" s="78">
        <f t="shared" si="1"/>
        <v>0</v>
      </c>
      <c r="F68" s="33"/>
      <c r="T68" s="49"/>
    </row>
    <row r="69" spans="1:20" ht="15.75" hidden="1">
      <c r="A69" s="76" t="s">
        <v>100</v>
      </c>
      <c r="B69" s="76" t="s">
        <v>101</v>
      </c>
      <c r="C69" s="71"/>
      <c r="D69" s="77">
        <f>IF(ISERROR(VLOOKUP($B$11,'Core rates'!$A$17:$K$27,calculator!$I$10+2,FALSE)),0,ROUND(VLOOKUP($B$11,'Core rates'!$A$17:$K$27,calculator!$I$10+2,FALSE)*0.5,2))</f>
        <v>0</v>
      </c>
      <c r="E69" s="78">
        <f t="shared" si="1"/>
        <v>0</v>
      </c>
      <c r="F69" s="69"/>
      <c r="G69" s="68"/>
      <c r="H69" s="68"/>
      <c r="T69" s="4"/>
    </row>
    <row r="70" spans="1:20" ht="15.75" hidden="1">
      <c r="A70" s="35" t="str">
        <f>A69&amp;" uplift"</f>
        <v>Case discontinued before papers served uplift</v>
      </c>
      <c r="B70" s="35" t="s">
        <v>125</v>
      </c>
      <c r="C70" s="71"/>
      <c r="D70" s="34">
        <f>ROUND(D69*0.2,2)</f>
        <v>0</v>
      </c>
      <c r="E70" s="78">
        <f t="shared" si="1"/>
        <v>0</v>
      </c>
      <c r="F70" s="69"/>
      <c r="G70" s="68"/>
      <c r="H70" s="68"/>
      <c r="T70" s="4"/>
    </row>
    <row r="71" spans="1:20" ht="15.75" hidden="1">
      <c r="A71" s="76" t="s">
        <v>130</v>
      </c>
      <c r="B71" s="76" t="s">
        <v>128</v>
      </c>
      <c r="C71" s="71"/>
      <c r="D71" s="77">
        <f>IF($I$10&lt;&gt;"",VLOOKUP(A71,'Other fees'!$A$2:$G$39,calculator!$I$10+2,FALSE),0)</f>
        <v>0</v>
      </c>
      <c r="E71" s="78">
        <f t="shared" si="1"/>
        <v>0</v>
      </c>
      <c r="F71" s="69"/>
      <c r="G71" s="68"/>
      <c r="H71" s="68"/>
      <c r="T71" s="4"/>
    </row>
    <row r="72" spans="1:20" ht="15.75" hidden="1">
      <c r="A72" s="76" t="s">
        <v>131</v>
      </c>
      <c r="B72" s="76" t="s">
        <v>129</v>
      </c>
      <c r="C72" s="71"/>
      <c r="D72" s="77">
        <f>IF($I$10&lt;&gt;"",VLOOKUP(A72,'Other fees'!$A$2:$G$39,calculator!$I$10+2,FALSE),0)</f>
        <v>0</v>
      </c>
      <c r="E72" s="78">
        <f t="shared" si="1"/>
        <v>0</v>
      </c>
      <c r="F72" s="69"/>
      <c r="G72" s="68"/>
      <c r="H72" s="68"/>
      <c r="T72" s="4"/>
    </row>
    <row r="73" spans="1:20" ht="15.75">
      <c r="A73" s="11"/>
      <c r="B73" s="12"/>
      <c r="C73" s="26" t="s">
        <v>16</v>
      </c>
      <c r="D73" s="12"/>
      <c r="E73" s="27">
        <f>SUM(E28:E72)</f>
        <v>0</v>
      </c>
      <c r="F73" s="33"/>
      <c r="T73" s="4"/>
    </row>
    <row r="74" spans="6:20" ht="15.75">
      <c r="F74" s="33"/>
      <c r="T74" s="4"/>
    </row>
    <row r="75" spans="1:20" ht="15.75">
      <c r="A75" s="1" t="s">
        <v>17</v>
      </c>
      <c r="B75" s="1"/>
      <c r="F75" s="33"/>
      <c r="T75" s="4"/>
    </row>
    <row r="76" spans="1:20" ht="15.75">
      <c r="A76" s="11"/>
      <c r="B76" s="12"/>
      <c r="C76" s="29"/>
      <c r="D76" s="29"/>
      <c r="E76" s="30" t="s">
        <v>9</v>
      </c>
      <c r="F76" s="33"/>
      <c r="T76" s="4"/>
    </row>
    <row r="77" spans="1:20" ht="15.75">
      <c r="A77" s="36" t="s">
        <v>18</v>
      </c>
      <c r="B77" s="14"/>
      <c r="C77" s="14"/>
      <c r="D77" s="14"/>
      <c r="E77" s="80"/>
      <c r="F77" s="33"/>
      <c r="T77" s="4"/>
    </row>
    <row r="78" spans="1:20" ht="15.75">
      <c r="A78" s="12"/>
      <c r="B78" s="12"/>
      <c r="C78" s="26" t="s">
        <v>19</v>
      </c>
      <c r="D78" s="12"/>
      <c r="E78" s="27">
        <f>E77</f>
        <v>0</v>
      </c>
      <c r="F78" s="33"/>
      <c r="T78" s="4"/>
    </row>
    <row r="79" spans="1:20" ht="15.75">
      <c r="A79"/>
      <c r="B79"/>
      <c r="C79"/>
      <c r="D79"/>
      <c r="E79"/>
      <c r="F79" s="33"/>
      <c r="T79" s="4"/>
    </row>
    <row r="80" spans="1:20" ht="15.75">
      <c r="A80" s="57" t="s">
        <v>72</v>
      </c>
      <c r="B80" s="57"/>
      <c r="C80"/>
      <c r="D80"/>
      <c r="E80"/>
      <c r="F80" s="33"/>
      <c r="T80" s="4"/>
    </row>
    <row r="81" spans="1:20" ht="15.75">
      <c r="A81" s="8"/>
      <c r="B81" s="8"/>
      <c r="C81" s="8"/>
      <c r="D81" s="50" t="s">
        <v>20</v>
      </c>
      <c r="E81" s="51">
        <f>D24</f>
        <v>0</v>
      </c>
      <c r="F81" s="33"/>
      <c r="T81" s="4"/>
    </row>
    <row r="82" spans="1:20" ht="15.75">
      <c r="A82" s="5"/>
      <c r="B82" s="5"/>
      <c r="C82" s="5"/>
      <c r="D82" s="52" t="s">
        <v>21</v>
      </c>
      <c r="E82" s="53">
        <f>E73</f>
        <v>0</v>
      </c>
      <c r="F82" s="33"/>
      <c r="T82" s="4"/>
    </row>
    <row r="83" spans="1:20" ht="15.75">
      <c r="A83" s="5"/>
      <c r="B83" s="5"/>
      <c r="C83" s="5"/>
      <c r="D83" s="52" t="s">
        <v>69</v>
      </c>
      <c r="E83" s="53">
        <f>E78</f>
        <v>0</v>
      </c>
      <c r="F83" s="33"/>
      <c r="T83" s="4"/>
    </row>
    <row r="84" spans="1:20" ht="15.75">
      <c r="A84" s="5"/>
      <c r="B84" s="5"/>
      <c r="C84" s="5"/>
      <c r="D84" s="52" t="s">
        <v>22</v>
      </c>
      <c r="E84" s="53">
        <f>SUM(E81:E83)</f>
        <v>0</v>
      </c>
      <c r="F84" s="33"/>
      <c r="T84" s="4"/>
    </row>
    <row r="85" spans="1:20" ht="15.75">
      <c r="A85" s="52" t="s">
        <v>23</v>
      </c>
      <c r="B85" s="52"/>
      <c r="C85" s="52" t="s">
        <v>8</v>
      </c>
      <c r="D85" s="54">
        <v>0.175</v>
      </c>
      <c r="E85" s="53">
        <f>ROUND(E84*D85,2)</f>
        <v>0</v>
      </c>
      <c r="F85" s="33"/>
      <c r="T85" s="4"/>
    </row>
    <row r="86" spans="1:20" ht="15.75">
      <c r="A86" s="9"/>
      <c r="B86" s="9"/>
      <c r="C86" s="9"/>
      <c r="D86" s="55" t="s">
        <v>24</v>
      </c>
      <c r="E86" s="56">
        <f>E85+E84</f>
        <v>0</v>
      </c>
      <c r="F86" s="33"/>
      <c r="T86" s="4"/>
    </row>
    <row r="87" spans="1:19" ht="15.75">
      <c r="A87"/>
      <c r="B87"/>
      <c r="C87"/>
      <c r="D87"/>
      <c r="E87"/>
      <c r="S87" s="4"/>
    </row>
    <row r="88" spans="1:19" ht="15.75">
      <c r="A88"/>
      <c r="B88"/>
      <c r="C88"/>
      <c r="D88"/>
      <c r="E88"/>
      <c r="S88" s="4"/>
    </row>
    <row r="89" spans="1:19" ht="15.75">
      <c r="A89"/>
      <c r="B89"/>
      <c r="C89"/>
      <c r="D89"/>
      <c r="E89"/>
      <c r="S89" s="4"/>
    </row>
    <row r="90" spans="1:19" ht="15.75">
      <c r="A90"/>
      <c r="B90"/>
      <c r="C90"/>
      <c r="D90"/>
      <c r="E90"/>
      <c r="S90" s="4"/>
    </row>
    <row r="91" spans="1:19" ht="15.75">
      <c r="A91"/>
      <c r="B91"/>
      <c r="C91"/>
      <c r="D91"/>
      <c r="E91"/>
      <c r="S91" s="4"/>
    </row>
    <row r="92" spans="1:19" ht="15.75">
      <c r="A92"/>
      <c r="B92"/>
      <c r="C92"/>
      <c r="D92"/>
      <c r="E92"/>
      <c r="S92" s="4"/>
    </row>
    <row r="93" spans="1:19" ht="15.75">
      <c r="A93"/>
      <c r="B93"/>
      <c r="C93"/>
      <c r="D93"/>
      <c r="E93"/>
      <c r="S93" s="4"/>
    </row>
    <row r="94" spans="1:5" ht="15.75">
      <c r="A94"/>
      <c r="B94"/>
      <c r="C94"/>
      <c r="D94"/>
      <c r="E94" t="s">
        <v>0</v>
      </c>
    </row>
    <row r="95" spans="1:5" ht="15.75" hidden="1">
      <c r="A95"/>
      <c r="B95"/>
      <c r="C95"/>
      <c r="D95"/>
      <c r="E95"/>
    </row>
    <row r="96" spans="1:5" ht="15.75" hidden="1">
      <c r="A96"/>
      <c r="B96"/>
      <c r="C96"/>
      <c r="D96"/>
      <c r="E96"/>
    </row>
    <row r="97" spans="1:5" ht="15.75" hidden="1">
      <c r="A97"/>
      <c r="B97"/>
      <c r="C97"/>
      <c r="D97"/>
      <c r="E97"/>
    </row>
    <row r="98" spans="1:5" ht="15.75">
      <c r="A98"/>
      <c r="B98"/>
      <c r="C98"/>
      <c r="D98"/>
      <c r="E98"/>
    </row>
    <row r="99" spans="1:5" ht="15.75" hidden="1">
      <c r="A99"/>
      <c r="B99"/>
      <c r="C99"/>
      <c r="D99"/>
      <c r="E99"/>
    </row>
    <row r="100" spans="1:5" ht="15.75" hidden="1">
      <c r="A100"/>
      <c r="B100"/>
      <c r="C100"/>
      <c r="D100"/>
      <c r="E100"/>
    </row>
    <row r="101" spans="1:5" ht="15.75">
      <c r="A101"/>
      <c r="B101"/>
      <c r="C101"/>
      <c r="D101"/>
      <c r="E101"/>
    </row>
    <row r="102" spans="1:5" ht="15.75" hidden="1">
      <c r="A102"/>
      <c r="B102"/>
      <c r="C102"/>
      <c r="D102"/>
      <c r="E102"/>
    </row>
    <row r="103" spans="1:5" ht="15.75" hidden="1">
      <c r="A103"/>
      <c r="B103"/>
      <c r="C103"/>
      <c r="D103"/>
      <c r="E103"/>
    </row>
    <row r="104" spans="1:5" ht="15.75" hidden="1">
      <c r="A104"/>
      <c r="B104"/>
      <c r="C104"/>
      <c r="D104"/>
      <c r="E104"/>
    </row>
    <row r="105" spans="1:5" ht="15.75" hidden="1">
      <c r="A105"/>
      <c r="B105"/>
      <c r="C105"/>
      <c r="D105"/>
      <c r="E105"/>
    </row>
    <row r="106" spans="1:5" ht="15.75" hidden="1">
      <c r="A106"/>
      <c r="B106"/>
      <c r="C106"/>
      <c r="D106"/>
      <c r="E106"/>
    </row>
    <row r="107" spans="1:5" ht="15.75" hidden="1">
      <c r="A107"/>
      <c r="B107"/>
      <c r="C107"/>
      <c r="D107"/>
      <c r="E107"/>
    </row>
    <row r="108" spans="1:5" ht="15.75" hidden="1">
      <c r="A108"/>
      <c r="B108"/>
      <c r="C108"/>
      <c r="D108"/>
      <c r="E108"/>
    </row>
    <row r="109" spans="1:5" ht="15.75" hidden="1">
      <c r="A109"/>
      <c r="B109"/>
      <c r="C109"/>
      <c r="D109"/>
      <c r="E109"/>
    </row>
    <row r="110" spans="1:5" ht="15.75">
      <c r="A110"/>
      <c r="B110"/>
      <c r="C110"/>
      <c r="D110"/>
      <c r="E110"/>
    </row>
    <row r="111" spans="1:5" ht="15.75" hidden="1">
      <c r="A111"/>
      <c r="B111"/>
      <c r="C111"/>
      <c r="D111"/>
      <c r="E111"/>
    </row>
    <row r="112" spans="1:5" ht="15.75" hidden="1">
      <c r="A112"/>
      <c r="B112"/>
      <c r="C112"/>
      <c r="D112"/>
      <c r="E112"/>
    </row>
    <row r="113" spans="1:5" ht="15.75" hidden="1">
      <c r="A113"/>
      <c r="B113"/>
      <c r="C113"/>
      <c r="D113"/>
      <c r="E113"/>
    </row>
    <row r="114" spans="1:5" ht="15.75" hidden="1">
      <c r="A114"/>
      <c r="B114"/>
      <c r="C114"/>
      <c r="D114"/>
      <c r="E114"/>
    </row>
    <row r="115" spans="1:5" ht="15.75" hidden="1">
      <c r="A115"/>
      <c r="B115"/>
      <c r="C115"/>
      <c r="D115"/>
      <c r="E115"/>
    </row>
    <row r="116" spans="1:10" ht="18.75" customHeight="1" hidden="1">
      <c r="A116"/>
      <c r="B116"/>
      <c r="C116"/>
      <c r="D116"/>
      <c r="E116"/>
      <c r="J116" s="7"/>
    </row>
    <row r="117" spans="1:10" ht="18.75" customHeight="1" hidden="1">
      <c r="A117"/>
      <c r="B117"/>
      <c r="C117"/>
      <c r="D117"/>
      <c r="E117"/>
      <c r="J117" s="7"/>
    </row>
    <row r="118" spans="1:10" ht="18.75" customHeight="1" hidden="1">
      <c r="A118"/>
      <c r="B118"/>
      <c r="C118"/>
      <c r="D118"/>
      <c r="E118"/>
      <c r="J118" s="7"/>
    </row>
    <row r="119" spans="1:10" ht="18.75" customHeight="1" hidden="1">
      <c r="A119"/>
      <c r="B119"/>
      <c r="C119"/>
      <c r="D119"/>
      <c r="E119"/>
      <c r="J119" s="7"/>
    </row>
    <row r="120" spans="1:10" ht="18.75" customHeight="1" hidden="1">
      <c r="A120"/>
      <c r="B120"/>
      <c r="C120"/>
      <c r="D120"/>
      <c r="E120"/>
      <c r="J120" s="7"/>
    </row>
    <row r="121" spans="1:10" ht="18.75" customHeight="1" hidden="1">
      <c r="A121"/>
      <c r="B121"/>
      <c r="C121"/>
      <c r="D121"/>
      <c r="E121"/>
      <c r="J121" s="7"/>
    </row>
    <row r="122" spans="1:5" ht="15.75" hidden="1">
      <c r="A122"/>
      <c r="B122"/>
      <c r="C122"/>
      <c r="D122"/>
      <c r="E122"/>
    </row>
    <row r="123" spans="1:5" ht="15.75" hidden="1">
      <c r="A123"/>
      <c r="B123"/>
      <c r="C123"/>
      <c r="D123"/>
      <c r="E123"/>
    </row>
    <row r="124" spans="1:5" ht="15.75">
      <c r="A124"/>
      <c r="B124"/>
      <c r="C124"/>
      <c r="D124"/>
      <c r="E124"/>
    </row>
    <row r="125" spans="1:5" ht="15.75" hidden="1">
      <c r="A125"/>
      <c r="B125"/>
      <c r="C125"/>
      <c r="D125"/>
      <c r="E125"/>
    </row>
    <row r="126" spans="1:5" ht="15.75" hidden="1">
      <c r="A126"/>
      <c r="B126"/>
      <c r="C126"/>
      <c r="D126"/>
      <c r="E126"/>
    </row>
    <row r="127" spans="1:5" ht="15.75" hidden="1">
      <c r="A127"/>
      <c r="B127"/>
      <c r="C127"/>
      <c r="D127"/>
      <c r="E127"/>
    </row>
    <row r="128" spans="1:5" ht="15.75" hidden="1">
      <c r="A128"/>
      <c r="B128"/>
      <c r="C128"/>
      <c r="D128"/>
      <c r="E128"/>
    </row>
    <row r="129" spans="1:5" ht="15.75" hidden="1">
      <c r="A129"/>
      <c r="B129"/>
      <c r="C129"/>
      <c r="D129"/>
      <c r="E129"/>
    </row>
    <row r="130" spans="1:5" ht="15.75" hidden="1">
      <c r="A130"/>
      <c r="B130"/>
      <c r="C130"/>
      <c r="D130"/>
      <c r="E130"/>
    </row>
    <row r="131" spans="1:5" ht="15.75" hidden="1">
      <c r="A131"/>
      <c r="B131"/>
      <c r="C131"/>
      <c r="D131"/>
      <c r="E131"/>
    </row>
    <row r="132" spans="1:5" ht="15.75" hidden="1">
      <c r="A132"/>
      <c r="B132"/>
      <c r="C132"/>
      <c r="D132"/>
      <c r="E132"/>
    </row>
    <row r="133" spans="1:5" ht="15.75">
      <c r="A133"/>
      <c r="B133"/>
      <c r="C133"/>
      <c r="D133"/>
      <c r="E133"/>
    </row>
    <row r="134" spans="1:5" ht="15.75">
      <c r="A134"/>
      <c r="B134"/>
      <c r="C134"/>
      <c r="D134"/>
      <c r="E134"/>
    </row>
    <row r="136" ht="15.75">
      <c r="H136" s="6"/>
    </row>
    <row r="141" ht="15.75">
      <c r="H141" s="6"/>
    </row>
    <row r="142" ht="15.75">
      <c r="H142" s="6"/>
    </row>
    <row r="145" ht="19.5" customHeight="1"/>
    <row r="187" ht="15.75">
      <c r="S187" s="6"/>
    </row>
    <row r="188" ht="15.75">
      <c r="S188" s="6"/>
    </row>
    <row r="189" ht="15.75">
      <c r="S189" s="6"/>
    </row>
  </sheetData>
  <sheetProtection password="E9DC" sheet="1"/>
  <mergeCells count="1">
    <mergeCell ref="F57:H58"/>
  </mergeCells>
  <dataValidations count="11">
    <dataValidation type="list" allowBlank="1" showInputMessage="1" showErrorMessage="1" error="Can only take value 0 or 17.5%&#10;" sqref="D85">
      <formula1>"0,15%,17.5%,20%"</formula1>
    </dataValidation>
    <dataValidation type="list" allowBlank="1" showInputMessage="1" showErrorMessage="1" sqref="B11">
      <formula1>"A,B,C,D,E,F,G,H,I,J,K,a,b,c,d,e,f,g,h,i,j,k"</formula1>
    </dataValidation>
    <dataValidation type="whole" operator="greaterThan" allowBlank="1" showInputMessage="1" showErrorMessage="1" sqref="B12">
      <formula1>0</formula1>
    </dataValidation>
    <dataValidation type="whole" allowBlank="1" showInputMessage="1" showErrorMessage="1" error="Please enter 0 or 1" sqref="B13:B14">
      <formula1>0</formula1>
      <formula2>1</formula2>
    </dataValidation>
    <dataValidation allowBlank="1" showInputMessage="1" showErrorMessage="1" prompt="Please put in all witnesses including the first 10&#10;" sqref="B22"/>
    <dataValidation allowBlank="1" showInputMessage="1" showErrorMessage="1" prompt="Please put in all pages including the first 50" sqref="B23"/>
    <dataValidation type="whole" allowBlank="1" showInputMessage="1" showErrorMessage="1" sqref="B19">
      <formula1>0</formula1>
      <formula2>38</formula2>
    </dataValidation>
    <dataValidation type="whole" allowBlank="1" showInputMessage="1" showErrorMessage="1" sqref="B20">
      <formula1>0</formula1>
      <formula2>10</formula2>
    </dataValidation>
    <dataValidation type="whole" operator="greaterThanOrEqual" allowBlank="1" showInputMessage="1" showErrorMessage="1" sqref="B21">
      <formula1>0</formula1>
    </dataValidation>
    <dataValidation allowBlank="1" showInputMessage="1" showErrorMessage="1" error="Only between 0 and 5&#10;" sqref="I10"/>
    <dataValidation type="list" allowBlank="1" showInputMessage="1" showErrorMessage="1" sqref="B10">
      <formula1>$J$11:$J$16</formula1>
    </dataValidation>
  </dataValidations>
  <printOptions/>
  <pageMargins left="0.28" right="0.75" top="0.53" bottom="0.51" header="0.5" footer="0.5"/>
  <pageSetup fitToHeight="1" fitToWidth="1" horizontalDpi="600" verticalDpi="600" orientation="portrait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C2:F83"/>
  <sheetViews>
    <sheetView zoomScalePageLayoutView="0" workbookViewId="0" topLeftCell="A1">
      <selection activeCell="A1" sqref="A1"/>
    </sheetView>
  </sheetViews>
  <sheetFormatPr defaultColWidth="9.00390625" defaultRowHeight="15"/>
  <cols>
    <col min="3" max="3" width="9.625" style="0" customWidth="1"/>
    <col min="4" max="4" width="18.75390625" style="0" customWidth="1"/>
    <col min="6" max="6" width="10.875" style="96" customWidth="1"/>
  </cols>
  <sheetData>
    <row r="2" spans="3:6" ht="15.75">
      <c r="C2" s="93"/>
      <c r="D2" s="93" t="s">
        <v>156</v>
      </c>
      <c r="E2" t="s">
        <v>157</v>
      </c>
      <c r="F2" s="94" t="s">
        <v>158</v>
      </c>
    </row>
    <row r="3" spans="3:6" ht="15.75">
      <c r="C3" s="95"/>
      <c r="D3" t="s">
        <v>159</v>
      </c>
      <c r="E3">
        <v>1</v>
      </c>
      <c r="F3">
        <v>401</v>
      </c>
    </row>
    <row r="4" spans="3:6" ht="15.75">
      <c r="C4" s="95"/>
      <c r="D4" t="s">
        <v>160</v>
      </c>
      <c r="E4">
        <v>2</v>
      </c>
      <c r="F4">
        <v>461</v>
      </c>
    </row>
    <row r="5" spans="3:6" ht="15.75">
      <c r="C5" s="95"/>
      <c r="D5" t="s">
        <v>161</v>
      </c>
      <c r="E5">
        <v>3</v>
      </c>
      <c r="F5">
        <v>404</v>
      </c>
    </row>
    <row r="6" spans="3:6" ht="15.75">
      <c r="C6" s="95"/>
      <c r="D6" t="s">
        <v>162</v>
      </c>
      <c r="E6">
        <v>4</v>
      </c>
      <c r="F6">
        <v>428</v>
      </c>
    </row>
    <row r="7" spans="3:6" ht="15.75">
      <c r="C7" s="95"/>
      <c r="D7" t="s">
        <v>163</v>
      </c>
      <c r="E7">
        <v>5</v>
      </c>
      <c r="F7">
        <v>470</v>
      </c>
    </row>
    <row r="8" spans="3:6" ht="15.75">
      <c r="C8" s="95"/>
      <c r="D8" t="s">
        <v>164</v>
      </c>
      <c r="E8">
        <v>6</v>
      </c>
      <c r="F8">
        <v>406</v>
      </c>
    </row>
    <row r="9" spans="3:6" ht="15.75">
      <c r="C9" s="95"/>
      <c r="D9" t="s">
        <v>165</v>
      </c>
      <c r="E9">
        <v>7</v>
      </c>
      <c r="F9">
        <v>402</v>
      </c>
    </row>
    <row r="10" spans="3:6" ht="15.75">
      <c r="C10" s="95"/>
      <c r="D10" t="s">
        <v>166</v>
      </c>
      <c r="E10">
        <v>8</v>
      </c>
      <c r="F10">
        <v>408</v>
      </c>
    </row>
    <row r="11" spans="3:6" ht="15.75">
      <c r="C11" s="95"/>
      <c r="D11" t="s">
        <v>167</v>
      </c>
      <c r="E11">
        <v>9</v>
      </c>
      <c r="F11">
        <v>409</v>
      </c>
    </row>
    <row r="12" spans="3:6" ht="15.75">
      <c r="C12" s="95"/>
      <c r="D12" t="s">
        <v>168</v>
      </c>
      <c r="E12">
        <v>10</v>
      </c>
      <c r="F12">
        <v>410</v>
      </c>
    </row>
    <row r="13" spans="3:6" ht="15.75">
      <c r="C13" s="95"/>
      <c r="D13" t="s">
        <v>169</v>
      </c>
      <c r="E13">
        <v>11</v>
      </c>
      <c r="F13">
        <v>479</v>
      </c>
    </row>
    <row r="14" spans="3:6" ht="15.75">
      <c r="C14" s="95"/>
      <c r="D14" t="s">
        <v>170</v>
      </c>
      <c r="E14">
        <v>12</v>
      </c>
      <c r="F14">
        <v>411</v>
      </c>
    </row>
    <row r="15" spans="3:6" ht="15.75">
      <c r="C15" s="95"/>
      <c r="D15" t="s">
        <v>171</v>
      </c>
      <c r="E15">
        <v>13</v>
      </c>
      <c r="F15">
        <v>412</v>
      </c>
    </row>
    <row r="16" spans="3:6" ht="15.75">
      <c r="C16" s="95"/>
      <c r="D16" t="s">
        <v>172</v>
      </c>
      <c r="E16">
        <v>14</v>
      </c>
      <c r="F16">
        <v>413</v>
      </c>
    </row>
    <row r="17" spans="3:6" ht="15.75">
      <c r="C17" s="95"/>
      <c r="D17" t="s">
        <v>173</v>
      </c>
      <c r="E17">
        <v>15</v>
      </c>
      <c r="F17">
        <v>414</v>
      </c>
    </row>
    <row r="18" spans="3:6" ht="15.75">
      <c r="C18" s="95"/>
      <c r="D18" t="s">
        <v>174</v>
      </c>
      <c r="E18">
        <v>16</v>
      </c>
      <c r="F18">
        <v>415</v>
      </c>
    </row>
    <row r="19" spans="3:6" ht="15.75">
      <c r="C19" s="95"/>
      <c r="D19" t="s">
        <v>175</v>
      </c>
      <c r="E19">
        <v>17</v>
      </c>
      <c r="F19">
        <v>416</v>
      </c>
    </row>
    <row r="20" spans="3:6" ht="15.75">
      <c r="C20" s="95"/>
      <c r="D20" t="s">
        <v>176</v>
      </c>
      <c r="E20">
        <v>18</v>
      </c>
      <c r="F20">
        <v>417</v>
      </c>
    </row>
    <row r="21" spans="3:6" ht="15.75">
      <c r="C21" s="95"/>
      <c r="D21" t="s">
        <v>177</v>
      </c>
      <c r="E21">
        <v>19</v>
      </c>
      <c r="F21">
        <v>418</v>
      </c>
    </row>
    <row r="22" spans="3:6" ht="15.75">
      <c r="C22" s="95"/>
      <c r="D22" t="s">
        <v>178</v>
      </c>
      <c r="E22">
        <v>20</v>
      </c>
      <c r="F22">
        <v>419</v>
      </c>
    </row>
    <row r="23" spans="3:6" ht="15.75">
      <c r="C23" s="95"/>
      <c r="D23" t="s">
        <v>179</v>
      </c>
      <c r="E23">
        <v>21</v>
      </c>
      <c r="F23">
        <v>420</v>
      </c>
    </row>
    <row r="24" spans="3:6" ht="15.75">
      <c r="C24" s="95"/>
      <c r="D24" t="s">
        <v>180</v>
      </c>
      <c r="E24">
        <v>22</v>
      </c>
      <c r="F24">
        <v>407</v>
      </c>
    </row>
    <row r="25" spans="3:6" ht="15.75">
      <c r="C25" s="95"/>
      <c r="D25" t="s">
        <v>181</v>
      </c>
      <c r="E25">
        <v>23</v>
      </c>
      <c r="F25">
        <v>422</v>
      </c>
    </row>
    <row r="26" spans="3:6" ht="15.75">
      <c r="C26" s="95"/>
      <c r="D26" t="s">
        <v>182</v>
      </c>
      <c r="E26">
        <v>24</v>
      </c>
      <c r="F26">
        <v>423</v>
      </c>
    </row>
    <row r="27" spans="3:6" ht="15.75">
      <c r="C27" s="95"/>
      <c r="D27" t="s">
        <v>183</v>
      </c>
      <c r="E27">
        <v>25</v>
      </c>
      <c r="F27">
        <v>424</v>
      </c>
    </row>
    <row r="28" spans="3:6" ht="15.75">
      <c r="C28" s="95"/>
      <c r="D28" t="s">
        <v>184</v>
      </c>
      <c r="E28">
        <v>26</v>
      </c>
      <c r="F28">
        <v>425</v>
      </c>
    </row>
    <row r="29" spans="3:6" ht="15.75">
      <c r="C29" s="95"/>
      <c r="D29" t="s">
        <v>185</v>
      </c>
      <c r="E29">
        <v>27</v>
      </c>
      <c r="F29">
        <v>474</v>
      </c>
    </row>
    <row r="30" spans="3:6" ht="15.75">
      <c r="C30" s="95"/>
      <c r="D30" t="s">
        <v>186</v>
      </c>
      <c r="E30">
        <v>28</v>
      </c>
      <c r="F30">
        <v>468</v>
      </c>
    </row>
    <row r="31" spans="3:6" ht="15.75">
      <c r="C31" s="95"/>
      <c r="D31" t="s">
        <v>187</v>
      </c>
      <c r="E31">
        <v>29</v>
      </c>
      <c r="F31">
        <v>403</v>
      </c>
    </row>
    <row r="32" spans="3:6" ht="15.75">
      <c r="C32" s="95"/>
      <c r="D32" t="s">
        <v>188</v>
      </c>
      <c r="E32">
        <v>30</v>
      </c>
      <c r="F32">
        <v>440</v>
      </c>
    </row>
    <row r="33" spans="3:6" ht="15.75">
      <c r="C33" s="95"/>
      <c r="D33" t="s">
        <v>189</v>
      </c>
      <c r="E33">
        <v>31</v>
      </c>
      <c r="F33">
        <v>426</v>
      </c>
    </row>
    <row r="34" spans="3:6" ht="15.75">
      <c r="C34" s="95"/>
      <c r="D34" t="s">
        <v>190</v>
      </c>
      <c r="E34">
        <v>32</v>
      </c>
      <c r="F34">
        <v>475</v>
      </c>
    </row>
    <row r="35" spans="3:6" ht="15.75">
      <c r="C35" s="95"/>
      <c r="D35" t="s">
        <v>191</v>
      </c>
      <c r="E35">
        <v>33</v>
      </c>
      <c r="F35">
        <v>427</v>
      </c>
    </row>
    <row r="36" spans="3:6" ht="15.75">
      <c r="C36" s="95"/>
      <c r="D36" t="s">
        <v>192</v>
      </c>
      <c r="E36">
        <v>34</v>
      </c>
      <c r="F36">
        <v>429</v>
      </c>
    </row>
    <row r="37" spans="3:6" ht="15.75">
      <c r="C37" s="95"/>
      <c r="D37" t="s">
        <v>193</v>
      </c>
      <c r="E37">
        <v>35</v>
      </c>
      <c r="F37">
        <v>430</v>
      </c>
    </row>
    <row r="38" spans="3:6" ht="15.75">
      <c r="C38" s="95"/>
      <c r="D38" t="s">
        <v>194</v>
      </c>
      <c r="E38">
        <v>36</v>
      </c>
      <c r="F38">
        <v>431</v>
      </c>
    </row>
    <row r="39" spans="3:6" ht="15.75">
      <c r="C39" s="95"/>
      <c r="D39" t="s">
        <v>195</v>
      </c>
      <c r="E39">
        <v>37</v>
      </c>
      <c r="F39">
        <v>432</v>
      </c>
    </row>
    <row r="40" spans="3:6" ht="15.75">
      <c r="C40" s="95"/>
      <c r="D40" t="s">
        <v>196</v>
      </c>
      <c r="E40">
        <v>38</v>
      </c>
      <c r="F40">
        <v>433</v>
      </c>
    </row>
    <row r="41" spans="3:6" ht="15.75">
      <c r="C41" s="95"/>
      <c r="D41" t="s">
        <v>197</v>
      </c>
      <c r="E41">
        <v>39</v>
      </c>
      <c r="F41">
        <v>476</v>
      </c>
    </row>
    <row r="42" spans="3:6" ht="15.75">
      <c r="C42" s="95"/>
      <c r="D42" t="s">
        <v>198</v>
      </c>
      <c r="E42">
        <v>40</v>
      </c>
      <c r="F42">
        <v>434</v>
      </c>
    </row>
    <row r="43" spans="3:6" ht="15.75">
      <c r="C43" s="95"/>
      <c r="D43" t="s">
        <v>199</v>
      </c>
      <c r="E43">
        <v>41</v>
      </c>
      <c r="F43">
        <v>435</v>
      </c>
    </row>
    <row r="44" spans="3:6" ht="15.75">
      <c r="C44" s="95"/>
      <c r="D44" t="s">
        <v>200</v>
      </c>
      <c r="E44">
        <v>42</v>
      </c>
      <c r="F44">
        <v>436</v>
      </c>
    </row>
    <row r="45" spans="3:6" ht="15.75">
      <c r="C45" s="95"/>
      <c r="D45" t="s">
        <v>201</v>
      </c>
      <c r="E45">
        <v>43</v>
      </c>
      <c r="F45">
        <v>437</v>
      </c>
    </row>
    <row r="46" spans="3:6" ht="15.75">
      <c r="C46" s="95"/>
      <c r="D46" t="s">
        <v>202</v>
      </c>
      <c r="E46">
        <v>44</v>
      </c>
      <c r="F46">
        <v>464</v>
      </c>
    </row>
    <row r="47" spans="3:6" ht="15.75">
      <c r="C47" s="95"/>
      <c r="D47" t="s">
        <v>203</v>
      </c>
      <c r="E47">
        <v>45</v>
      </c>
      <c r="F47">
        <v>438</v>
      </c>
    </row>
    <row r="48" spans="3:6" ht="15.75">
      <c r="C48" s="95"/>
      <c r="D48" t="s">
        <v>204</v>
      </c>
      <c r="E48">
        <v>46</v>
      </c>
      <c r="F48">
        <v>439</v>
      </c>
    </row>
    <row r="49" spans="3:6" ht="15.75">
      <c r="C49" s="95"/>
      <c r="D49" t="s">
        <v>205</v>
      </c>
      <c r="E49">
        <v>47</v>
      </c>
      <c r="F49">
        <v>441</v>
      </c>
    </row>
    <row r="50" spans="3:6" ht="15.75">
      <c r="C50" s="95"/>
      <c r="D50" t="s">
        <v>206</v>
      </c>
      <c r="E50">
        <v>48</v>
      </c>
      <c r="F50">
        <v>478</v>
      </c>
    </row>
    <row r="51" spans="3:6" ht="15.75">
      <c r="C51" s="95"/>
      <c r="D51" t="s">
        <v>207</v>
      </c>
      <c r="E51">
        <v>49</v>
      </c>
      <c r="F51">
        <v>442</v>
      </c>
    </row>
    <row r="52" spans="3:6" ht="15.75">
      <c r="C52" s="95"/>
      <c r="D52" t="s">
        <v>208</v>
      </c>
      <c r="E52">
        <v>50</v>
      </c>
      <c r="F52">
        <v>443</v>
      </c>
    </row>
    <row r="53" spans="3:6" ht="15.75">
      <c r="C53" s="95"/>
      <c r="D53" t="s">
        <v>209</v>
      </c>
      <c r="E53">
        <v>51</v>
      </c>
      <c r="F53">
        <v>444</v>
      </c>
    </row>
    <row r="54" spans="3:6" ht="15.75">
      <c r="C54" s="95"/>
      <c r="D54" t="s">
        <v>210</v>
      </c>
      <c r="E54">
        <v>52</v>
      </c>
      <c r="F54">
        <v>445</v>
      </c>
    </row>
    <row r="55" spans="3:6" ht="15.75">
      <c r="C55" s="95"/>
      <c r="D55" t="s">
        <v>211</v>
      </c>
      <c r="E55">
        <v>53</v>
      </c>
      <c r="F55">
        <v>473</v>
      </c>
    </row>
    <row r="56" spans="3:6" ht="15.75">
      <c r="C56" s="95"/>
      <c r="D56" t="s">
        <v>212</v>
      </c>
      <c r="E56">
        <v>54</v>
      </c>
      <c r="F56">
        <v>446</v>
      </c>
    </row>
    <row r="57" spans="3:6" ht="15.75">
      <c r="C57" s="95"/>
      <c r="D57" t="s">
        <v>213</v>
      </c>
      <c r="E57">
        <v>55</v>
      </c>
      <c r="F57">
        <v>447</v>
      </c>
    </row>
    <row r="58" spans="3:6" ht="15.75">
      <c r="C58" s="95"/>
      <c r="D58" t="s">
        <v>214</v>
      </c>
      <c r="E58">
        <v>56</v>
      </c>
      <c r="F58">
        <v>448</v>
      </c>
    </row>
    <row r="59" spans="3:6" ht="15.75">
      <c r="C59" s="95"/>
      <c r="D59" t="s">
        <v>215</v>
      </c>
      <c r="E59">
        <v>57</v>
      </c>
      <c r="F59">
        <v>449</v>
      </c>
    </row>
    <row r="60" spans="3:6" ht="15.75">
      <c r="C60" s="95"/>
      <c r="D60" t="s">
        <v>216</v>
      </c>
      <c r="E60">
        <v>58</v>
      </c>
      <c r="F60">
        <v>480</v>
      </c>
    </row>
    <row r="61" spans="3:6" ht="15.75">
      <c r="C61" s="95"/>
      <c r="D61" t="s">
        <v>217</v>
      </c>
      <c r="E61">
        <v>59</v>
      </c>
      <c r="F61">
        <v>451</v>
      </c>
    </row>
    <row r="62" spans="3:6" ht="15.75">
      <c r="C62" s="95"/>
      <c r="D62" t="s">
        <v>218</v>
      </c>
      <c r="E62">
        <v>60</v>
      </c>
      <c r="F62">
        <v>452</v>
      </c>
    </row>
    <row r="63" spans="3:6" ht="15.75">
      <c r="C63" s="95"/>
      <c r="D63" t="s">
        <v>219</v>
      </c>
      <c r="E63">
        <v>61</v>
      </c>
      <c r="F63">
        <v>453</v>
      </c>
    </row>
    <row r="64" spans="3:6" ht="15.75">
      <c r="C64" s="95"/>
      <c r="D64" t="s">
        <v>220</v>
      </c>
      <c r="E64">
        <v>62</v>
      </c>
      <c r="F64">
        <v>454</v>
      </c>
    </row>
    <row r="65" spans="3:6" ht="15.75">
      <c r="C65" s="95"/>
      <c r="D65" t="s">
        <v>221</v>
      </c>
      <c r="E65">
        <v>63</v>
      </c>
      <c r="F65">
        <v>471</v>
      </c>
    </row>
    <row r="66" spans="3:6" ht="15.75">
      <c r="C66" s="95"/>
      <c r="D66" t="s">
        <v>222</v>
      </c>
      <c r="E66">
        <v>64</v>
      </c>
      <c r="F66">
        <v>450</v>
      </c>
    </row>
    <row r="67" spans="3:6" ht="15.75">
      <c r="C67" s="95"/>
      <c r="D67" t="s">
        <v>223</v>
      </c>
      <c r="E67">
        <v>65</v>
      </c>
      <c r="F67">
        <v>455</v>
      </c>
    </row>
    <row r="68" spans="3:6" ht="15.75">
      <c r="C68" s="95"/>
      <c r="D68" t="s">
        <v>224</v>
      </c>
      <c r="E68">
        <v>66</v>
      </c>
      <c r="F68">
        <v>456</v>
      </c>
    </row>
    <row r="69" spans="3:6" ht="15.75">
      <c r="C69" s="95"/>
      <c r="D69" t="s">
        <v>225</v>
      </c>
      <c r="E69">
        <v>67</v>
      </c>
      <c r="F69">
        <v>457</v>
      </c>
    </row>
    <row r="70" spans="3:6" ht="15.75">
      <c r="C70" s="95"/>
      <c r="D70" t="s">
        <v>226</v>
      </c>
      <c r="E70">
        <v>68</v>
      </c>
      <c r="F70">
        <v>458</v>
      </c>
    </row>
    <row r="71" spans="3:6" ht="15.75">
      <c r="C71" s="95"/>
      <c r="D71" t="s">
        <v>227</v>
      </c>
      <c r="E71">
        <v>69</v>
      </c>
      <c r="F71">
        <v>459</v>
      </c>
    </row>
    <row r="72" spans="3:6" ht="15.75">
      <c r="C72" s="95"/>
      <c r="D72" t="s">
        <v>228</v>
      </c>
      <c r="E72">
        <v>70</v>
      </c>
      <c r="F72">
        <v>460</v>
      </c>
    </row>
    <row r="73" spans="3:6" ht="15.75">
      <c r="C73" s="95"/>
      <c r="D73" t="s">
        <v>229</v>
      </c>
      <c r="E73">
        <v>71</v>
      </c>
      <c r="F73">
        <v>477</v>
      </c>
    </row>
    <row r="74" spans="3:6" ht="15.75">
      <c r="C74" s="95"/>
      <c r="D74" t="s">
        <v>230</v>
      </c>
      <c r="E74">
        <v>72</v>
      </c>
      <c r="F74">
        <v>462</v>
      </c>
    </row>
    <row r="75" spans="3:6" ht="15.75">
      <c r="C75" s="95"/>
      <c r="D75" t="s">
        <v>231</v>
      </c>
      <c r="E75">
        <v>73</v>
      </c>
      <c r="F75">
        <v>463</v>
      </c>
    </row>
    <row r="76" spans="3:6" ht="15.75">
      <c r="C76" s="95"/>
      <c r="D76" t="s">
        <v>232</v>
      </c>
      <c r="E76">
        <v>74</v>
      </c>
      <c r="F76">
        <v>407</v>
      </c>
    </row>
    <row r="77" spans="3:6" ht="15.75">
      <c r="C77" s="95"/>
      <c r="D77" t="s">
        <v>233</v>
      </c>
      <c r="E77">
        <v>75</v>
      </c>
      <c r="F77">
        <v>465</v>
      </c>
    </row>
    <row r="78" spans="3:6" ht="15.75">
      <c r="C78" s="95"/>
      <c r="D78" t="s">
        <v>234</v>
      </c>
      <c r="E78">
        <v>76</v>
      </c>
      <c r="F78">
        <v>421</v>
      </c>
    </row>
    <row r="79" spans="3:6" ht="15.75">
      <c r="C79" s="95"/>
      <c r="D79" t="s">
        <v>235</v>
      </c>
      <c r="E79">
        <v>77</v>
      </c>
      <c r="F79">
        <v>469</v>
      </c>
    </row>
    <row r="80" spans="3:6" ht="15.75">
      <c r="C80" s="95"/>
      <c r="D80" t="s">
        <v>236</v>
      </c>
      <c r="E80">
        <v>78</v>
      </c>
      <c r="F80">
        <v>472</v>
      </c>
    </row>
    <row r="81" spans="4:6" ht="15.75">
      <c r="D81" t="s">
        <v>237</v>
      </c>
      <c r="E81">
        <v>79</v>
      </c>
      <c r="F81">
        <v>466</v>
      </c>
    </row>
    <row r="82" spans="4:6" ht="15.75">
      <c r="D82" t="s">
        <v>238</v>
      </c>
      <c r="E82">
        <v>80</v>
      </c>
      <c r="F82">
        <v>467</v>
      </c>
    </row>
    <row r="83" spans="4:6" ht="15.75">
      <c r="D83" t="s">
        <v>239</v>
      </c>
      <c r="E83">
        <v>81</v>
      </c>
      <c r="F83" s="96" t="s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M89"/>
  <sheetViews>
    <sheetView zoomScalePageLayoutView="0" workbookViewId="0" topLeftCell="A1">
      <selection activeCell="H23" sqref="H23"/>
    </sheetView>
  </sheetViews>
  <sheetFormatPr defaultColWidth="9.00390625" defaultRowHeight="15"/>
  <cols>
    <col min="2" max="3" width="10.50390625" style="0" customWidth="1"/>
    <col min="4" max="4" width="10.375" style="0" bestFit="1" customWidth="1"/>
    <col min="5" max="5" width="11.00390625" style="0" bestFit="1" customWidth="1"/>
    <col min="6" max="6" width="11.125" style="0" bestFit="1" customWidth="1"/>
    <col min="7" max="7" width="14.50390625" style="0" bestFit="1" customWidth="1"/>
    <col min="8" max="9" width="10.50390625" style="0" bestFit="1" customWidth="1"/>
    <col min="10" max="11" width="9.25390625" style="0" bestFit="1" customWidth="1"/>
    <col min="14" max="14" width="10.375" style="0" bestFit="1" customWidth="1"/>
    <col min="15" max="17" width="9.125" style="0" bestFit="1" customWidth="1"/>
    <col min="20" max="20" width="10.375" style="0" bestFit="1" customWidth="1"/>
    <col min="21" max="23" width="9.125" style="0" bestFit="1" customWidth="1"/>
    <col min="25" max="25" width="14.50390625" style="0" bestFit="1" customWidth="1"/>
    <col min="26" max="26" width="14.875" style="0" customWidth="1"/>
    <col min="27" max="27" width="8.875" style="0" bestFit="1" customWidth="1"/>
    <col min="28" max="28" width="8.75390625" style="0" bestFit="1" customWidth="1"/>
    <col min="29" max="29" width="11.00390625" style="0" bestFit="1" customWidth="1"/>
    <col min="30" max="30" width="11.125" style="0" bestFit="1" customWidth="1"/>
    <col min="31" max="31" width="14.50390625" style="0" bestFit="1" customWidth="1"/>
    <col min="32" max="32" width="37.625" style="0" bestFit="1" customWidth="1"/>
    <col min="33" max="35" width="9.125" style="0" bestFit="1" customWidth="1"/>
  </cols>
  <sheetData>
    <row r="1" spans="1:37" ht="15.75">
      <c r="A1" s="41" t="s">
        <v>37</v>
      </c>
      <c r="B1" s="41" t="s">
        <v>94</v>
      </c>
      <c r="C1" s="41"/>
      <c r="D1" s="41"/>
      <c r="E1" s="41"/>
      <c r="F1" s="41"/>
      <c r="G1" s="41"/>
      <c r="H1" s="41" t="s">
        <v>93</v>
      </c>
      <c r="I1" s="41"/>
      <c r="J1" s="41"/>
      <c r="K1" s="41"/>
      <c r="L1" s="41"/>
      <c r="M1" s="41"/>
      <c r="N1" s="39" t="s">
        <v>51</v>
      </c>
      <c r="O1" s="39"/>
      <c r="P1" s="39"/>
      <c r="Q1" s="39"/>
      <c r="R1" s="39"/>
      <c r="S1" s="39"/>
      <c r="T1" s="43" t="s">
        <v>52</v>
      </c>
      <c r="U1" s="43"/>
      <c r="V1" s="43"/>
      <c r="W1" s="43"/>
      <c r="X1" s="43"/>
      <c r="Y1" s="43"/>
      <c r="Z1" s="43" t="s">
        <v>52</v>
      </c>
      <c r="AA1" s="43"/>
      <c r="AB1" s="43"/>
      <c r="AC1" s="43"/>
      <c r="AD1" s="43"/>
      <c r="AE1" s="43"/>
      <c r="AF1" s="45" t="s">
        <v>53</v>
      </c>
      <c r="AG1" s="45"/>
      <c r="AH1" s="45"/>
      <c r="AI1" s="45"/>
      <c r="AJ1" s="45"/>
      <c r="AK1" s="45"/>
    </row>
    <row r="2" spans="1:37" ht="15.75">
      <c r="A2" s="41" t="s">
        <v>38</v>
      </c>
      <c r="B2" s="41" t="s">
        <v>39</v>
      </c>
      <c r="C2" s="41" t="s">
        <v>40</v>
      </c>
      <c r="D2" s="41" t="s">
        <v>41</v>
      </c>
      <c r="E2" s="41" t="s">
        <v>42</v>
      </c>
      <c r="F2" s="41" t="s">
        <v>54</v>
      </c>
      <c r="G2" s="41" t="s">
        <v>55</v>
      </c>
      <c r="H2" s="41" t="s">
        <v>39</v>
      </c>
      <c r="I2" s="41" t="s">
        <v>40</v>
      </c>
      <c r="J2" s="41" t="s">
        <v>41</v>
      </c>
      <c r="K2" s="41" t="s">
        <v>42</v>
      </c>
      <c r="L2" s="41" t="s">
        <v>54</v>
      </c>
      <c r="M2" s="41" t="s">
        <v>55</v>
      </c>
      <c r="N2" s="39" t="s">
        <v>39</v>
      </c>
      <c r="O2" s="39" t="s">
        <v>40</v>
      </c>
      <c r="P2" s="39" t="s">
        <v>41</v>
      </c>
      <c r="Q2" s="39" t="s">
        <v>42</v>
      </c>
      <c r="R2" s="39" t="s">
        <v>54</v>
      </c>
      <c r="S2" s="39" t="s">
        <v>55</v>
      </c>
      <c r="T2" s="43" t="s">
        <v>39</v>
      </c>
      <c r="U2" s="43" t="s">
        <v>40</v>
      </c>
      <c r="V2" s="43" t="s">
        <v>41</v>
      </c>
      <c r="W2" s="43" t="s">
        <v>42</v>
      </c>
      <c r="X2" s="43" t="s">
        <v>54</v>
      </c>
      <c r="Y2" s="43" t="s">
        <v>55</v>
      </c>
      <c r="Z2" s="43" t="s">
        <v>39</v>
      </c>
      <c r="AA2" s="43" t="s">
        <v>40</v>
      </c>
      <c r="AB2" s="43" t="s">
        <v>41</v>
      </c>
      <c r="AC2" s="43" t="s">
        <v>42</v>
      </c>
      <c r="AD2" s="43" t="s">
        <v>54</v>
      </c>
      <c r="AE2" s="43" t="s">
        <v>55</v>
      </c>
      <c r="AF2" s="45" t="s">
        <v>39</v>
      </c>
      <c r="AG2" s="45" t="s">
        <v>40</v>
      </c>
      <c r="AH2" s="45" t="s">
        <v>41</v>
      </c>
      <c r="AI2" s="45" t="s">
        <v>42</v>
      </c>
      <c r="AJ2" s="45" t="s">
        <v>54</v>
      </c>
      <c r="AK2" s="45" t="s">
        <v>55</v>
      </c>
    </row>
    <row r="3" spans="1:37" ht="15.75">
      <c r="A3" s="41" t="s">
        <v>43</v>
      </c>
      <c r="B3" s="42">
        <f aca="true" t="shared" si="0" ref="B3:B13">IF(B35&gt;10,ROUND(B35*0.865,0),ROUND(B35*0.865,2))</f>
        <v>2856</v>
      </c>
      <c r="C3" s="42">
        <f aca="true" t="shared" si="1" ref="C3:AK10">IF(C35&gt;10,ROUND(C35*0.865,0),ROUND(C35*0.865,2))</f>
        <v>979</v>
      </c>
      <c r="D3" s="42">
        <f t="shared" si="1"/>
        <v>1.63</v>
      </c>
      <c r="E3" s="42">
        <f t="shared" si="1"/>
        <v>6.53</v>
      </c>
      <c r="F3" s="42">
        <f t="shared" si="1"/>
        <v>387</v>
      </c>
      <c r="G3" s="42">
        <f t="shared" si="1"/>
        <v>414</v>
      </c>
      <c r="H3" s="42">
        <f t="shared" si="1"/>
        <v>2856</v>
      </c>
      <c r="I3" s="42">
        <f t="shared" si="1"/>
        <v>979</v>
      </c>
      <c r="J3" s="42">
        <f t="shared" si="1"/>
        <v>1.63</v>
      </c>
      <c r="K3" s="42">
        <f t="shared" si="1"/>
        <v>6.53</v>
      </c>
      <c r="L3" s="42">
        <f t="shared" si="1"/>
        <v>387</v>
      </c>
      <c r="M3" s="42">
        <f t="shared" si="1"/>
        <v>414</v>
      </c>
      <c r="N3" s="40">
        <f t="shared" si="1"/>
        <v>2142</v>
      </c>
      <c r="O3" s="40">
        <f t="shared" si="1"/>
        <v>734</v>
      </c>
      <c r="P3" s="40">
        <f t="shared" si="1"/>
        <v>1.23</v>
      </c>
      <c r="Q3" s="40">
        <f t="shared" si="1"/>
        <v>4.9</v>
      </c>
      <c r="R3" s="40">
        <f t="shared" si="1"/>
        <v>331</v>
      </c>
      <c r="S3" s="40">
        <f t="shared" si="1"/>
        <v>356</v>
      </c>
      <c r="T3" s="44">
        <f t="shared" si="1"/>
        <v>1632</v>
      </c>
      <c r="U3" s="44">
        <f t="shared" si="1"/>
        <v>490</v>
      </c>
      <c r="V3" s="44">
        <f t="shared" si="1"/>
        <v>0.81</v>
      </c>
      <c r="W3" s="44">
        <f t="shared" si="1"/>
        <v>3.26</v>
      </c>
      <c r="X3" s="44">
        <f t="shared" si="1"/>
        <v>221</v>
      </c>
      <c r="Y3" s="44">
        <f t="shared" si="1"/>
        <v>237</v>
      </c>
      <c r="Z3" s="44">
        <f t="shared" si="1"/>
        <v>1632</v>
      </c>
      <c r="AA3" s="44">
        <f t="shared" si="1"/>
        <v>490</v>
      </c>
      <c r="AB3" s="44">
        <f t="shared" si="1"/>
        <v>0.81</v>
      </c>
      <c r="AC3" s="44">
        <f t="shared" si="1"/>
        <v>3.26</v>
      </c>
      <c r="AD3" s="44">
        <f t="shared" si="1"/>
        <v>221</v>
      </c>
      <c r="AE3" s="44">
        <f t="shared" si="1"/>
        <v>237</v>
      </c>
      <c r="AF3" s="46">
        <f t="shared" si="1"/>
        <v>1632</v>
      </c>
      <c r="AG3" s="46">
        <f t="shared" si="1"/>
        <v>530</v>
      </c>
      <c r="AH3" s="46">
        <f t="shared" si="1"/>
        <v>0.98</v>
      </c>
      <c r="AI3" s="46">
        <f t="shared" si="1"/>
        <v>4.9</v>
      </c>
      <c r="AJ3" s="46">
        <f t="shared" si="1"/>
        <v>266</v>
      </c>
      <c r="AK3" s="46">
        <f t="shared" si="1"/>
        <v>285</v>
      </c>
    </row>
    <row r="4" spans="1:37" ht="15.75">
      <c r="A4" s="41" t="s">
        <v>44</v>
      </c>
      <c r="B4" s="42">
        <f t="shared" si="0"/>
        <v>2529</v>
      </c>
      <c r="C4" s="42">
        <f aca="true" t="shared" si="2" ref="C4:Q4">IF(C36&gt;10,ROUND(C36*0.865,0),ROUND(C36*0.865,2))</f>
        <v>857</v>
      </c>
      <c r="D4" s="42">
        <f t="shared" si="2"/>
        <v>1.63</v>
      </c>
      <c r="E4" s="42">
        <f t="shared" si="2"/>
        <v>6.53</v>
      </c>
      <c r="F4" s="42">
        <f t="shared" si="2"/>
        <v>387</v>
      </c>
      <c r="G4" s="42">
        <f t="shared" si="2"/>
        <v>414</v>
      </c>
      <c r="H4" s="42">
        <f t="shared" si="2"/>
        <v>2529</v>
      </c>
      <c r="I4" s="42">
        <f t="shared" si="2"/>
        <v>857</v>
      </c>
      <c r="J4" s="42">
        <f t="shared" si="2"/>
        <v>1.63</v>
      </c>
      <c r="K4" s="42">
        <f t="shared" si="2"/>
        <v>6.53</v>
      </c>
      <c r="L4" s="42">
        <f t="shared" si="2"/>
        <v>387</v>
      </c>
      <c r="M4" s="42">
        <f t="shared" si="2"/>
        <v>414</v>
      </c>
      <c r="N4" s="40">
        <f t="shared" si="2"/>
        <v>1897</v>
      </c>
      <c r="O4" s="40">
        <f t="shared" si="2"/>
        <v>643</v>
      </c>
      <c r="P4" s="40">
        <f t="shared" si="2"/>
        <v>1.23</v>
      </c>
      <c r="Q4" s="40">
        <f t="shared" si="2"/>
        <v>4.9</v>
      </c>
      <c r="R4" s="40">
        <f t="shared" si="1"/>
        <v>331</v>
      </c>
      <c r="S4" s="40">
        <f t="shared" si="1"/>
        <v>356</v>
      </c>
      <c r="T4" s="44">
        <f t="shared" si="1"/>
        <v>1265</v>
      </c>
      <c r="U4" s="44">
        <f t="shared" si="1"/>
        <v>428</v>
      </c>
      <c r="V4" s="44">
        <f t="shared" si="1"/>
        <v>0.81</v>
      </c>
      <c r="W4" s="44">
        <f t="shared" si="1"/>
        <v>3.26</v>
      </c>
      <c r="X4" s="44">
        <f t="shared" si="1"/>
        <v>221</v>
      </c>
      <c r="Y4" s="44">
        <f t="shared" si="1"/>
        <v>237</v>
      </c>
      <c r="Z4" s="44">
        <f t="shared" si="1"/>
        <v>1265</v>
      </c>
      <c r="AA4" s="44">
        <f t="shared" si="1"/>
        <v>428</v>
      </c>
      <c r="AB4" s="44">
        <f t="shared" si="1"/>
        <v>0.81</v>
      </c>
      <c r="AC4" s="44">
        <f t="shared" si="1"/>
        <v>3.26</v>
      </c>
      <c r="AD4" s="44">
        <f t="shared" si="1"/>
        <v>221</v>
      </c>
      <c r="AE4" s="44">
        <f t="shared" si="1"/>
        <v>237</v>
      </c>
      <c r="AF4" s="46">
        <f t="shared" si="1"/>
        <v>1305</v>
      </c>
      <c r="AG4" s="46">
        <f t="shared" si="1"/>
        <v>469</v>
      </c>
      <c r="AH4" s="46">
        <f t="shared" si="1"/>
        <v>0.98</v>
      </c>
      <c r="AI4" s="46">
        <f t="shared" si="1"/>
        <v>4.9</v>
      </c>
      <c r="AJ4" s="46">
        <f t="shared" si="1"/>
        <v>247</v>
      </c>
      <c r="AK4" s="46">
        <f t="shared" si="1"/>
        <v>265</v>
      </c>
    </row>
    <row r="5" spans="1:37" ht="15.75">
      <c r="A5" s="41" t="s">
        <v>74</v>
      </c>
      <c r="B5" s="42">
        <f t="shared" si="0"/>
        <v>1968</v>
      </c>
      <c r="C5" s="42">
        <f t="shared" si="1"/>
        <v>816</v>
      </c>
      <c r="D5" s="42">
        <f t="shared" si="1"/>
        <v>1.63</v>
      </c>
      <c r="E5" s="42">
        <f t="shared" si="1"/>
        <v>6.53</v>
      </c>
      <c r="F5" s="42">
        <f t="shared" si="1"/>
        <v>387</v>
      </c>
      <c r="G5" s="42">
        <f t="shared" si="1"/>
        <v>414</v>
      </c>
      <c r="H5" s="42">
        <f t="shared" si="1"/>
        <v>1968</v>
      </c>
      <c r="I5" s="42">
        <f t="shared" si="1"/>
        <v>816</v>
      </c>
      <c r="J5" s="42">
        <f t="shared" si="1"/>
        <v>1.63</v>
      </c>
      <c r="K5" s="42">
        <f t="shared" si="1"/>
        <v>6.53</v>
      </c>
      <c r="L5" s="42">
        <f t="shared" si="1"/>
        <v>387</v>
      </c>
      <c r="M5" s="42">
        <f t="shared" si="1"/>
        <v>414</v>
      </c>
      <c r="N5" s="40">
        <f t="shared" si="1"/>
        <v>1476</v>
      </c>
      <c r="O5" s="40">
        <f t="shared" si="1"/>
        <v>612</v>
      </c>
      <c r="P5" s="40">
        <f t="shared" si="1"/>
        <v>1.23</v>
      </c>
      <c r="Q5" s="40">
        <f t="shared" si="1"/>
        <v>4.9</v>
      </c>
      <c r="R5" s="40">
        <f t="shared" si="1"/>
        <v>331</v>
      </c>
      <c r="S5" s="40">
        <f t="shared" si="1"/>
        <v>356</v>
      </c>
      <c r="T5" s="44">
        <f t="shared" si="1"/>
        <v>898</v>
      </c>
      <c r="U5" s="44">
        <f t="shared" si="1"/>
        <v>408</v>
      </c>
      <c r="V5" s="44">
        <f t="shared" si="1"/>
        <v>0.81</v>
      </c>
      <c r="W5" s="44">
        <f t="shared" si="1"/>
        <v>3.26</v>
      </c>
      <c r="X5" s="44">
        <f t="shared" si="1"/>
        <v>221</v>
      </c>
      <c r="Y5" s="44">
        <f t="shared" si="1"/>
        <v>237</v>
      </c>
      <c r="Z5" s="44">
        <f t="shared" si="1"/>
        <v>898</v>
      </c>
      <c r="AA5" s="44">
        <f t="shared" si="1"/>
        <v>408</v>
      </c>
      <c r="AB5" s="44">
        <f t="shared" si="1"/>
        <v>0.81</v>
      </c>
      <c r="AC5" s="44">
        <f t="shared" si="1"/>
        <v>3.26</v>
      </c>
      <c r="AD5" s="44">
        <f t="shared" si="1"/>
        <v>221</v>
      </c>
      <c r="AE5" s="44">
        <f t="shared" si="1"/>
        <v>237</v>
      </c>
      <c r="AF5" s="46">
        <f t="shared" si="1"/>
        <v>898</v>
      </c>
      <c r="AG5" s="46">
        <f t="shared" si="1"/>
        <v>408</v>
      </c>
      <c r="AH5" s="46">
        <f t="shared" si="1"/>
        <v>0.98</v>
      </c>
      <c r="AI5" s="46">
        <f t="shared" si="1"/>
        <v>4.9</v>
      </c>
      <c r="AJ5" s="46">
        <f t="shared" si="1"/>
        <v>247</v>
      </c>
      <c r="AK5" s="46">
        <f t="shared" si="1"/>
        <v>265</v>
      </c>
    </row>
    <row r="6" spans="1:37" ht="15.75">
      <c r="A6" s="41" t="s">
        <v>45</v>
      </c>
      <c r="B6" s="42">
        <f t="shared" si="0"/>
        <v>2284</v>
      </c>
      <c r="C6" s="42">
        <f t="shared" si="1"/>
        <v>816</v>
      </c>
      <c r="D6" s="42">
        <f t="shared" si="1"/>
        <v>1.63</v>
      </c>
      <c r="E6" s="42">
        <f t="shared" si="1"/>
        <v>6.53</v>
      </c>
      <c r="F6" s="42">
        <f t="shared" si="1"/>
        <v>387</v>
      </c>
      <c r="G6" s="42">
        <f t="shared" si="1"/>
        <v>414</v>
      </c>
      <c r="H6" s="42">
        <f t="shared" si="1"/>
        <v>2284</v>
      </c>
      <c r="I6" s="42">
        <f t="shared" si="1"/>
        <v>816</v>
      </c>
      <c r="J6" s="42">
        <f t="shared" si="1"/>
        <v>1.63</v>
      </c>
      <c r="K6" s="42">
        <f t="shared" si="1"/>
        <v>6.53</v>
      </c>
      <c r="L6" s="42">
        <f t="shared" si="1"/>
        <v>387</v>
      </c>
      <c r="M6" s="42">
        <f t="shared" si="1"/>
        <v>414</v>
      </c>
      <c r="N6" s="40">
        <f t="shared" si="1"/>
        <v>1714</v>
      </c>
      <c r="O6" s="40">
        <f t="shared" si="1"/>
        <v>612</v>
      </c>
      <c r="P6" s="40">
        <f t="shared" si="1"/>
        <v>1.23</v>
      </c>
      <c r="Q6" s="40">
        <f t="shared" si="1"/>
        <v>4.9</v>
      </c>
      <c r="R6" s="40">
        <f t="shared" si="1"/>
        <v>331</v>
      </c>
      <c r="S6" s="40">
        <f t="shared" si="1"/>
        <v>356</v>
      </c>
      <c r="T6" s="44">
        <f t="shared" si="1"/>
        <v>1125</v>
      </c>
      <c r="U6" s="44">
        <f t="shared" si="1"/>
        <v>408</v>
      </c>
      <c r="V6" s="44">
        <f t="shared" si="1"/>
        <v>0.81</v>
      </c>
      <c r="W6" s="44">
        <f t="shared" si="1"/>
        <v>3.26</v>
      </c>
      <c r="X6" s="44">
        <f t="shared" si="1"/>
        <v>221</v>
      </c>
      <c r="Y6" s="44">
        <f t="shared" si="1"/>
        <v>237</v>
      </c>
      <c r="Z6" s="44">
        <f t="shared" si="1"/>
        <v>1125</v>
      </c>
      <c r="AA6" s="44">
        <f t="shared" si="1"/>
        <v>408</v>
      </c>
      <c r="AB6" s="44">
        <f t="shared" si="1"/>
        <v>0.81</v>
      </c>
      <c r="AC6" s="44">
        <f t="shared" si="1"/>
        <v>3.26</v>
      </c>
      <c r="AD6" s="44">
        <f t="shared" si="1"/>
        <v>221</v>
      </c>
      <c r="AE6" s="44">
        <f t="shared" si="1"/>
        <v>237</v>
      </c>
      <c r="AF6" s="46">
        <f t="shared" si="1"/>
        <v>1125</v>
      </c>
      <c r="AG6" s="46">
        <f t="shared" si="1"/>
        <v>408</v>
      </c>
      <c r="AH6" s="46">
        <f t="shared" si="1"/>
        <v>0.98</v>
      </c>
      <c r="AI6" s="46">
        <f t="shared" si="1"/>
        <v>4.9</v>
      </c>
      <c r="AJ6" s="46">
        <f t="shared" si="1"/>
        <v>266</v>
      </c>
      <c r="AK6" s="46">
        <f t="shared" si="1"/>
        <v>285</v>
      </c>
    </row>
    <row r="7" spans="1:37" ht="15.75">
      <c r="A7" s="41" t="s">
        <v>46</v>
      </c>
      <c r="B7" s="42">
        <f t="shared" si="0"/>
        <v>1514</v>
      </c>
      <c r="C7" s="42">
        <f t="shared" si="1"/>
        <v>612</v>
      </c>
      <c r="D7" s="42">
        <f t="shared" si="1"/>
        <v>1.63</v>
      </c>
      <c r="E7" s="42">
        <f t="shared" si="1"/>
        <v>6.53</v>
      </c>
      <c r="F7" s="42">
        <f t="shared" si="1"/>
        <v>387</v>
      </c>
      <c r="G7" s="42">
        <f t="shared" si="1"/>
        <v>414</v>
      </c>
      <c r="H7" s="42">
        <f t="shared" si="1"/>
        <v>1514</v>
      </c>
      <c r="I7" s="42">
        <f t="shared" si="1"/>
        <v>612</v>
      </c>
      <c r="J7" s="42">
        <f t="shared" si="1"/>
        <v>1.63</v>
      </c>
      <c r="K7" s="42">
        <f t="shared" si="1"/>
        <v>6.53</v>
      </c>
      <c r="L7" s="42">
        <f t="shared" si="1"/>
        <v>387</v>
      </c>
      <c r="M7" s="42">
        <f t="shared" si="1"/>
        <v>414</v>
      </c>
      <c r="N7" s="40">
        <f t="shared" si="1"/>
        <v>1136</v>
      </c>
      <c r="O7" s="40">
        <f t="shared" si="1"/>
        <v>459</v>
      </c>
      <c r="P7" s="40">
        <f t="shared" si="1"/>
        <v>1.23</v>
      </c>
      <c r="Q7" s="40">
        <f t="shared" si="1"/>
        <v>4.9</v>
      </c>
      <c r="R7" s="40">
        <f t="shared" si="1"/>
        <v>331</v>
      </c>
      <c r="S7" s="40">
        <f t="shared" si="1"/>
        <v>356</v>
      </c>
      <c r="T7" s="44">
        <f t="shared" si="1"/>
        <v>694</v>
      </c>
      <c r="U7" s="44">
        <f t="shared" si="1"/>
        <v>306</v>
      </c>
      <c r="V7" s="44">
        <f t="shared" si="1"/>
        <v>0.81</v>
      </c>
      <c r="W7" s="44">
        <f t="shared" si="1"/>
        <v>3.26</v>
      </c>
      <c r="X7" s="44">
        <f t="shared" si="1"/>
        <v>221</v>
      </c>
      <c r="Y7" s="44">
        <f t="shared" si="1"/>
        <v>237</v>
      </c>
      <c r="Z7" s="44">
        <f t="shared" si="1"/>
        <v>694</v>
      </c>
      <c r="AA7" s="44">
        <f t="shared" si="1"/>
        <v>306</v>
      </c>
      <c r="AB7" s="44">
        <f t="shared" si="1"/>
        <v>0.81</v>
      </c>
      <c r="AC7" s="44">
        <f t="shared" si="1"/>
        <v>3.26</v>
      </c>
      <c r="AD7" s="44">
        <f t="shared" si="1"/>
        <v>221</v>
      </c>
      <c r="AE7" s="44">
        <f t="shared" si="1"/>
        <v>237</v>
      </c>
      <c r="AF7" s="46">
        <f t="shared" si="1"/>
        <v>653</v>
      </c>
      <c r="AG7" s="46">
        <f t="shared" si="1"/>
        <v>326</v>
      </c>
      <c r="AH7" s="46">
        <f t="shared" si="1"/>
        <v>0.98</v>
      </c>
      <c r="AI7" s="46">
        <f t="shared" si="1"/>
        <v>4.9</v>
      </c>
      <c r="AJ7" s="46">
        <f t="shared" si="1"/>
        <v>225</v>
      </c>
      <c r="AK7" s="46">
        <f t="shared" si="1"/>
        <v>241</v>
      </c>
    </row>
    <row r="8" spans="1:37" ht="15.75">
      <c r="A8" s="41" t="s">
        <v>47</v>
      </c>
      <c r="B8" s="42">
        <f t="shared" si="0"/>
        <v>1514</v>
      </c>
      <c r="C8" s="42">
        <f t="shared" si="1"/>
        <v>612</v>
      </c>
      <c r="D8" s="42">
        <f t="shared" si="1"/>
        <v>1.63</v>
      </c>
      <c r="E8" s="42">
        <f t="shared" si="1"/>
        <v>6.53</v>
      </c>
      <c r="F8" s="42">
        <f t="shared" si="1"/>
        <v>387</v>
      </c>
      <c r="G8" s="42">
        <f t="shared" si="1"/>
        <v>414</v>
      </c>
      <c r="H8" s="42">
        <f t="shared" si="1"/>
        <v>1514</v>
      </c>
      <c r="I8" s="42">
        <f t="shared" si="1"/>
        <v>612</v>
      </c>
      <c r="J8" s="42">
        <f t="shared" si="1"/>
        <v>1.63</v>
      </c>
      <c r="K8" s="42">
        <f t="shared" si="1"/>
        <v>6.53</v>
      </c>
      <c r="L8" s="42">
        <f t="shared" si="1"/>
        <v>387</v>
      </c>
      <c r="M8" s="42">
        <f t="shared" si="1"/>
        <v>414</v>
      </c>
      <c r="N8" s="40">
        <f t="shared" si="1"/>
        <v>1136</v>
      </c>
      <c r="O8" s="40">
        <f t="shared" si="1"/>
        <v>459</v>
      </c>
      <c r="P8" s="40">
        <f t="shared" si="1"/>
        <v>1.23</v>
      </c>
      <c r="Q8" s="40">
        <f t="shared" si="1"/>
        <v>4.9</v>
      </c>
      <c r="R8" s="40">
        <f t="shared" si="1"/>
        <v>331</v>
      </c>
      <c r="S8" s="40">
        <f t="shared" si="1"/>
        <v>356</v>
      </c>
      <c r="T8" s="44">
        <f t="shared" si="1"/>
        <v>694</v>
      </c>
      <c r="U8" s="44">
        <f t="shared" si="1"/>
        <v>306</v>
      </c>
      <c r="V8" s="44">
        <f t="shared" si="1"/>
        <v>0.81</v>
      </c>
      <c r="W8" s="44">
        <f t="shared" si="1"/>
        <v>3.26</v>
      </c>
      <c r="X8" s="44">
        <f t="shared" si="1"/>
        <v>221</v>
      </c>
      <c r="Y8" s="44">
        <f t="shared" si="1"/>
        <v>237</v>
      </c>
      <c r="Z8" s="44">
        <f t="shared" si="1"/>
        <v>694</v>
      </c>
      <c r="AA8" s="44">
        <f t="shared" si="1"/>
        <v>306</v>
      </c>
      <c r="AB8" s="44">
        <f t="shared" si="1"/>
        <v>0.81</v>
      </c>
      <c r="AC8" s="44">
        <f t="shared" si="1"/>
        <v>3.26</v>
      </c>
      <c r="AD8" s="44">
        <f t="shared" si="1"/>
        <v>221</v>
      </c>
      <c r="AE8" s="44">
        <f t="shared" si="1"/>
        <v>237</v>
      </c>
      <c r="AF8" s="46">
        <f t="shared" si="1"/>
        <v>694</v>
      </c>
      <c r="AG8" s="46">
        <f t="shared" si="1"/>
        <v>326</v>
      </c>
      <c r="AH8" s="46">
        <f t="shared" si="1"/>
        <v>0.98</v>
      </c>
      <c r="AI8" s="46">
        <f t="shared" si="1"/>
        <v>4.9</v>
      </c>
      <c r="AJ8" s="46">
        <f t="shared" si="1"/>
        <v>225</v>
      </c>
      <c r="AK8" s="46">
        <f t="shared" si="1"/>
        <v>241</v>
      </c>
    </row>
    <row r="9" spans="1:37" ht="15.75">
      <c r="A9" s="41" t="s">
        <v>48</v>
      </c>
      <c r="B9" s="42">
        <f t="shared" si="0"/>
        <v>1514</v>
      </c>
      <c r="C9" s="42">
        <f t="shared" si="1"/>
        <v>612</v>
      </c>
      <c r="D9" s="42">
        <f t="shared" si="1"/>
        <v>1.63</v>
      </c>
      <c r="E9" s="42">
        <f t="shared" si="1"/>
        <v>6.53</v>
      </c>
      <c r="F9" s="42">
        <f t="shared" si="1"/>
        <v>387</v>
      </c>
      <c r="G9" s="42">
        <f t="shared" si="1"/>
        <v>414</v>
      </c>
      <c r="H9" s="42">
        <f t="shared" si="1"/>
        <v>1514</v>
      </c>
      <c r="I9" s="42">
        <f t="shared" si="1"/>
        <v>612</v>
      </c>
      <c r="J9" s="42">
        <f t="shared" si="1"/>
        <v>1.63</v>
      </c>
      <c r="K9" s="42">
        <f t="shared" si="1"/>
        <v>6.53</v>
      </c>
      <c r="L9" s="42">
        <f t="shared" si="1"/>
        <v>387</v>
      </c>
      <c r="M9" s="42">
        <f t="shared" si="1"/>
        <v>414</v>
      </c>
      <c r="N9" s="40">
        <f t="shared" si="1"/>
        <v>1136</v>
      </c>
      <c r="O9" s="40">
        <f t="shared" si="1"/>
        <v>459</v>
      </c>
      <c r="P9" s="40">
        <f t="shared" si="1"/>
        <v>1.23</v>
      </c>
      <c r="Q9" s="40">
        <f t="shared" si="1"/>
        <v>4.9</v>
      </c>
      <c r="R9" s="40">
        <f t="shared" si="1"/>
        <v>331</v>
      </c>
      <c r="S9" s="40">
        <f t="shared" si="1"/>
        <v>356</v>
      </c>
      <c r="T9" s="44">
        <f t="shared" si="1"/>
        <v>694</v>
      </c>
      <c r="U9" s="44">
        <f t="shared" si="1"/>
        <v>306</v>
      </c>
      <c r="V9" s="44">
        <f t="shared" si="1"/>
        <v>0.81</v>
      </c>
      <c r="W9" s="44">
        <f t="shared" si="1"/>
        <v>3.26</v>
      </c>
      <c r="X9" s="44">
        <f t="shared" si="1"/>
        <v>221</v>
      </c>
      <c r="Y9" s="44">
        <f t="shared" si="1"/>
        <v>237</v>
      </c>
      <c r="Z9" s="44">
        <f t="shared" si="1"/>
        <v>694</v>
      </c>
      <c r="AA9" s="44">
        <f t="shared" si="1"/>
        <v>306</v>
      </c>
      <c r="AB9" s="44">
        <f t="shared" si="1"/>
        <v>0.81</v>
      </c>
      <c r="AC9" s="44">
        <f t="shared" si="1"/>
        <v>3.26</v>
      </c>
      <c r="AD9" s="44">
        <f t="shared" si="1"/>
        <v>221</v>
      </c>
      <c r="AE9" s="44">
        <f t="shared" si="1"/>
        <v>237</v>
      </c>
      <c r="AF9" s="46">
        <f t="shared" si="1"/>
        <v>694</v>
      </c>
      <c r="AG9" s="46">
        <f t="shared" si="1"/>
        <v>326</v>
      </c>
      <c r="AH9" s="46">
        <f t="shared" si="1"/>
        <v>0.98</v>
      </c>
      <c r="AI9" s="46">
        <f t="shared" si="1"/>
        <v>4.9</v>
      </c>
      <c r="AJ9" s="46">
        <f t="shared" si="1"/>
        <v>225</v>
      </c>
      <c r="AK9" s="46">
        <f t="shared" si="1"/>
        <v>241</v>
      </c>
    </row>
    <row r="10" spans="1:37" ht="15.75">
      <c r="A10" s="41" t="s">
        <v>49</v>
      </c>
      <c r="B10" s="42">
        <f t="shared" si="0"/>
        <v>1903</v>
      </c>
      <c r="C10" s="42">
        <f t="shared" si="1"/>
        <v>816</v>
      </c>
      <c r="D10" s="42">
        <f t="shared" si="1"/>
        <v>1.63</v>
      </c>
      <c r="E10" s="42">
        <f t="shared" si="1"/>
        <v>6.53</v>
      </c>
      <c r="F10" s="42">
        <f t="shared" si="1"/>
        <v>387</v>
      </c>
      <c r="G10" s="42">
        <f t="shared" si="1"/>
        <v>414</v>
      </c>
      <c r="H10" s="42">
        <f t="shared" si="1"/>
        <v>1903</v>
      </c>
      <c r="I10" s="42">
        <f t="shared" si="1"/>
        <v>816</v>
      </c>
      <c r="J10" s="42">
        <f t="shared" si="1"/>
        <v>1.63</v>
      </c>
      <c r="K10" s="42">
        <f t="shared" si="1"/>
        <v>6.53</v>
      </c>
      <c r="L10" s="42">
        <f t="shared" si="1"/>
        <v>387</v>
      </c>
      <c r="M10" s="42">
        <f t="shared" si="1"/>
        <v>414</v>
      </c>
      <c r="N10" s="40">
        <f t="shared" si="1"/>
        <v>1427</v>
      </c>
      <c r="O10" s="40">
        <f t="shared" si="1"/>
        <v>612</v>
      </c>
      <c r="P10" s="40">
        <f t="shared" si="1"/>
        <v>1.23</v>
      </c>
      <c r="Q10" s="40">
        <f t="shared" si="1"/>
        <v>4.9</v>
      </c>
      <c r="R10" s="40">
        <f t="shared" si="1"/>
        <v>331</v>
      </c>
      <c r="S10" s="40">
        <f t="shared" si="1"/>
        <v>356</v>
      </c>
      <c r="T10" s="44">
        <f t="shared" si="1"/>
        <v>816</v>
      </c>
      <c r="U10" s="44">
        <f t="shared" si="1"/>
        <v>408</v>
      </c>
      <c r="V10" s="44">
        <f t="shared" si="1"/>
        <v>0.81</v>
      </c>
      <c r="W10" s="44">
        <f t="shared" si="1"/>
        <v>3.26</v>
      </c>
      <c r="X10" s="44">
        <f t="shared" si="1"/>
        <v>221</v>
      </c>
      <c r="Y10" s="44">
        <f t="shared" si="1"/>
        <v>237</v>
      </c>
      <c r="Z10" s="44">
        <f t="shared" si="1"/>
        <v>816</v>
      </c>
      <c r="AA10" s="44">
        <f t="shared" si="1"/>
        <v>408</v>
      </c>
      <c r="AB10" s="44">
        <f aca="true" t="shared" si="3" ref="C10:AK13">IF(AB42&gt;10,ROUND(AB42*0.865,0),ROUND(AB42*0.865,2))</f>
        <v>0.81</v>
      </c>
      <c r="AC10" s="44">
        <f t="shared" si="3"/>
        <v>3.26</v>
      </c>
      <c r="AD10" s="44">
        <f t="shared" si="3"/>
        <v>221</v>
      </c>
      <c r="AE10" s="44">
        <f t="shared" si="3"/>
        <v>237</v>
      </c>
      <c r="AF10" s="46">
        <f t="shared" si="3"/>
        <v>816</v>
      </c>
      <c r="AG10" s="46">
        <f t="shared" si="3"/>
        <v>408</v>
      </c>
      <c r="AH10" s="46">
        <f t="shared" si="3"/>
        <v>0.98</v>
      </c>
      <c r="AI10" s="46">
        <f t="shared" si="3"/>
        <v>4.9</v>
      </c>
      <c r="AJ10" s="46">
        <f t="shared" si="3"/>
        <v>247</v>
      </c>
      <c r="AK10" s="46">
        <f t="shared" si="3"/>
        <v>265</v>
      </c>
    </row>
    <row r="11" spans="1:37" ht="15.75">
      <c r="A11" s="41" t="s">
        <v>50</v>
      </c>
      <c r="B11" s="42">
        <f t="shared" si="0"/>
        <v>2122</v>
      </c>
      <c r="C11" s="42">
        <f t="shared" si="3"/>
        <v>816</v>
      </c>
      <c r="D11" s="42">
        <f t="shared" si="3"/>
        <v>1.63</v>
      </c>
      <c r="E11" s="42">
        <f t="shared" si="3"/>
        <v>6.53</v>
      </c>
      <c r="F11" s="42">
        <f t="shared" si="3"/>
        <v>387</v>
      </c>
      <c r="G11" s="42">
        <f t="shared" si="3"/>
        <v>414</v>
      </c>
      <c r="H11" s="42">
        <f t="shared" si="3"/>
        <v>2122</v>
      </c>
      <c r="I11" s="42">
        <f t="shared" si="3"/>
        <v>816</v>
      </c>
      <c r="J11" s="42">
        <f t="shared" si="3"/>
        <v>1.63</v>
      </c>
      <c r="K11" s="42">
        <f t="shared" si="3"/>
        <v>6.53</v>
      </c>
      <c r="L11" s="42">
        <f t="shared" si="3"/>
        <v>387</v>
      </c>
      <c r="M11" s="42">
        <f t="shared" si="3"/>
        <v>414</v>
      </c>
      <c r="N11" s="40">
        <f t="shared" si="3"/>
        <v>1592</v>
      </c>
      <c r="O11" s="40">
        <f t="shared" si="3"/>
        <v>612</v>
      </c>
      <c r="P11" s="40">
        <f t="shared" si="3"/>
        <v>1.23</v>
      </c>
      <c r="Q11" s="40">
        <f t="shared" si="3"/>
        <v>4.9</v>
      </c>
      <c r="R11" s="40">
        <f t="shared" si="3"/>
        <v>331</v>
      </c>
      <c r="S11" s="40">
        <f t="shared" si="3"/>
        <v>356</v>
      </c>
      <c r="T11" s="44">
        <f t="shared" si="3"/>
        <v>979</v>
      </c>
      <c r="U11" s="44">
        <f t="shared" si="3"/>
        <v>408</v>
      </c>
      <c r="V11" s="44">
        <f t="shared" si="3"/>
        <v>0.81</v>
      </c>
      <c r="W11" s="44">
        <f t="shared" si="3"/>
        <v>3.26</v>
      </c>
      <c r="X11" s="44">
        <f t="shared" si="3"/>
        <v>221</v>
      </c>
      <c r="Y11" s="44">
        <f t="shared" si="3"/>
        <v>237</v>
      </c>
      <c r="Z11" s="44">
        <f t="shared" si="3"/>
        <v>979</v>
      </c>
      <c r="AA11" s="44">
        <f t="shared" si="3"/>
        <v>408</v>
      </c>
      <c r="AB11" s="44">
        <f t="shared" si="3"/>
        <v>0.81</v>
      </c>
      <c r="AC11" s="44">
        <f t="shared" si="3"/>
        <v>3.26</v>
      </c>
      <c r="AD11" s="44">
        <f t="shared" si="3"/>
        <v>221</v>
      </c>
      <c r="AE11" s="44">
        <f t="shared" si="3"/>
        <v>237</v>
      </c>
      <c r="AF11" s="46">
        <f t="shared" si="3"/>
        <v>979</v>
      </c>
      <c r="AG11" s="46">
        <f t="shared" si="3"/>
        <v>408</v>
      </c>
      <c r="AH11" s="46">
        <f t="shared" si="3"/>
        <v>0.98</v>
      </c>
      <c r="AI11" s="46">
        <f t="shared" si="3"/>
        <v>4.9</v>
      </c>
      <c r="AJ11" s="46">
        <f t="shared" si="3"/>
        <v>247</v>
      </c>
      <c r="AK11" s="46">
        <f t="shared" si="3"/>
        <v>265</v>
      </c>
    </row>
    <row r="12" spans="1:37" ht="15.75">
      <c r="A12" s="41" t="s">
        <v>141</v>
      </c>
      <c r="B12" s="42">
        <f t="shared" si="0"/>
        <v>2856</v>
      </c>
      <c r="C12" s="42">
        <f t="shared" si="3"/>
        <v>979</v>
      </c>
      <c r="D12" s="42">
        <f t="shared" si="3"/>
        <v>1.63</v>
      </c>
      <c r="E12" s="42">
        <f t="shared" si="3"/>
        <v>6.53</v>
      </c>
      <c r="F12" s="42">
        <f t="shared" si="3"/>
        <v>387</v>
      </c>
      <c r="G12" s="42">
        <f t="shared" si="3"/>
        <v>414</v>
      </c>
      <c r="H12" s="42">
        <f t="shared" si="3"/>
        <v>2856</v>
      </c>
      <c r="I12" s="42">
        <f t="shared" si="3"/>
        <v>979</v>
      </c>
      <c r="J12" s="42">
        <f t="shared" si="3"/>
        <v>1.63</v>
      </c>
      <c r="K12" s="42">
        <f t="shared" si="3"/>
        <v>6.53</v>
      </c>
      <c r="L12" s="42">
        <f t="shared" si="3"/>
        <v>387</v>
      </c>
      <c r="M12" s="42">
        <f t="shared" si="3"/>
        <v>414</v>
      </c>
      <c r="N12" s="40">
        <f t="shared" si="3"/>
        <v>2142</v>
      </c>
      <c r="O12" s="40">
        <f t="shared" si="3"/>
        <v>734</v>
      </c>
      <c r="P12" s="40">
        <f t="shared" si="3"/>
        <v>1.23</v>
      </c>
      <c r="Q12" s="40">
        <f t="shared" si="3"/>
        <v>4.9</v>
      </c>
      <c r="R12" s="40">
        <f t="shared" si="3"/>
        <v>331</v>
      </c>
      <c r="S12" s="40">
        <f t="shared" si="3"/>
        <v>356</v>
      </c>
      <c r="T12" s="44">
        <f t="shared" si="3"/>
        <v>1632</v>
      </c>
      <c r="U12" s="44">
        <f t="shared" si="3"/>
        <v>490</v>
      </c>
      <c r="V12" s="44">
        <f t="shared" si="3"/>
        <v>0.81</v>
      </c>
      <c r="W12" s="44">
        <f t="shared" si="3"/>
        <v>3.26</v>
      </c>
      <c r="X12" s="44">
        <f t="shared" si="3"/>
        <v>221</v>
      </c>
      <c r="Y12" s="44">
        <f t="shared" si="3"/>
        <v>237</v>
      </c>
      <c r="Z12" s="44">
        <f t="shared" si="3"/>
        <v>1632</v>
      </c>
      <c r="AA12" s="44">
        <f t="shared" si="3"/>
        <v>490</v>
      </c>
      <c r="AB12" s="44">
        <f t="shared" si="3"/>
        <v>0.81</v>
      </c>
      <c r="AC12" s="44">
        <f t="shared" si="3"/>
        <v>3.26</v>
      </c>
      <c r="AD12" s="44">
        <f t="shared" si="3"/>
        <v>221</v>
      </c>
      <c r="AE12" s="44">
        <f t="shared" si="3"/>
        <v>237</v>
      </c>
      <c r="AF12" s="46">
        <f t="shared" si="3"/>
        <v>1632</v>
      </c>
      <c r="AG12" s="46">
        <f t="shared" si="3"/>
        <v>530</v>
      </c>
      <c r="AH12" s="46">
        <f t="shared" si="3"/>
        <v>0.98</v>
      </c>
      <c r="AI12" s="46">
        <f t="shared" si="3"/>
        <v>4.9</v>
      </c>
      <c r="AJ12" s="46">
        <f t="shared" si="3"/>
        <v>266</v>
      </c>
      <c r="AK12" s="46">
        <f t="shared" si="3"/>
        <v>285</v>
      </c>
    </row>
    <row r="13" spans="1:37" ht="15.75">
      <c r="A13" s="41" t="s">
        <v>142</v>
      </c>
      <c r="B13" s="42">
        <f t="shared" si="0"/>
        <v>2856</v>
      </c>
      <c r="C13" s="42">
        <f t="shared" si="3"/>
        <v>979</v>
      </c>
      <c r="D13" s="42">
        <f t="shared" si="3"/>
        <v>1.63</v>
      </c>
      <c r="E13" s="42">
        <f t="shared" si="3"/>
        <v>6.53</v>
      </c>
      <c r="F13" s="42">
        <f t="shared" si="3"/>
        <v>387</v>
      </c>
      <c r="G13" s="42">
        <f t="shared" si="3"/>
        <v>414</v>
      </c>
      <c r="H13" s="42">
        <f t="shared" si="3"/>
        <v>2856</v>
      </c>
      <c r="I13" s="42">
        <f t="shared" si="3"/>
        <v>979</v>
      </c>
      <c r="J13" s="42">
        <f t="shared" si="3"/>
        <v>1.63</v>
      </c>
      <c r="K13" s="42">
        <f t="shared" si="3"/>
        <v>6.53</v>
      </c>
      <c r="L13" s="42">
        <f t="shared" si="3"/>
        <v>387</v>
      </c>
      <c r="M13" s="42">
        <f t="shared" si="3"/>
        <v>414</v>
      </c>
      <c r="N13" s="40">
        <f t="shared" si="3"/>
        <v>2142</v>
      </c>
      <c r="O13" s="40">
        <f t="shared" si="3"/>
        <v>734</v>
      </c>
      <c r="P13" s="40">
        <f t="shared" si="3"/>
        <v>1.23</v>
      </c>
      <c r="Q13" s="40">
        <f t="shared" si="3"/>
        <v>4.9</v>
      </c>
      <c r="R13" s="40">
        <f t="shared" si="3"/>
        <v>331</v>
      </c>
      <c r="S13" s="40">
        <f t="shared" si="3"/>
        <v>356</v>
      </c>
      <c r="T13" s="44">
        <f t="shared" si="3"/>
        <v>1428</v>
      </c>
      <c r="U13" s="44">
        <f t="shared" si="3"/>
        <v>490</v>
      </c>
      <c r="V13" s="44">
        <f t="shared" si="3"/>
        <v>0.81</v>
      </c>
      <c r="W13" s="44">
        <f t="shared" si="3"/>
        <v>3.26</v>
      </c>
      <c r="X13" s="44">
        <f t="shared" si="3"/>
        <v>221</v>
      </c>
      <c r="Y13" s="44">
        <f t="shared" si="3"/>
        <v>237</v>
      </c>
      <c r="Z13" s="44">
        <f t="shared" si="3"/>
        <v>1428</v>
      </c>
      <c r="AA13" s="44">
        <f t="shared" si="3"/>
        <v>490</v>
      </c>
      <c r="AB13" s="44">
        <f t="shared" si="3"/>
        <v>0.81</v>
      </c>
      <c r="AC13" s="44">
        <f t="shared" si="3"/>
        <v>3.26</v>
      </c>
      <c r="AD13" s="44">
        <f t="shared" si="3"/>
        <v>221</v>
      </c>
      <c r="AE13" s="44">
        <f t="shared" si="3"/>
        <v>237</v>
      </c>
      <c r="AF13" s="46">
        <f t="shared" si="3"/>
        <v>1632</v>
      </c>
      <c r="AG13" s="46">
        <f t="shared" si="3"/>
        <v>530</v>
      </c>
      <c r="AH13" s="46">
        <f t="shared" si="3"/>
        <v>0.98</v>
      </c>
      <c r="AI13" s="46">
        <f t="shared" si="3"/>
        <v>4.9</v>
      </c>
      <c r="AJ13" s="46">
        <f t="shared" si="3"/>
        <v>266</v>
      </c>
      <c r="AK13" s="46">
        <f t="shared" si="3"/>
        <v>285</v>
      </c>
    </row>
    <row r="14" spans="2:36" ht="15.75">
      <c r="B14" s="37"/>
      <c r="C14" s="37"/>
      <c r="D14" s="37"/>
      <c r="E14" s="37"/>
      <c r="F14" s="38"/>
      <c r="G14" s="38"/>
      <c r="H14" s="37"/>
      <c r="I14" s="37"/>
      <c r="J14" s="37"/>
      <c r="K14" s="37"/>
      <c r="L14" s="38"/>
      <c r="M14" s="38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2:39" ht="15.75">
      <c r="B15" t="s">
        <v>133</v>
      </c>
      <c r="F15" s="66"/>
      <c r="G15" s="66"/>
      <c r="L15" s="66"/>
      <c r="M15" s="66"/>
      <c r="N15" s="66"/>
      <c r="O15" s="66"/>
      <c r="R15" s="66"/>
      <c r="S15" s="66"/>
      <c r="T15" s="66"/>
      <c r="U15" s="66"/>
      <c r="X15" s="66"/>
      <c r="Y15" s="66"/>
      <c r="Z15" s="66"/>
      <c r="AA15" s="66"/>
      <c r="AD15" s="66"/>
      <c r="AE15" s="66"/>
      <c r="AJ15" s="66"/>
      <c r="AK15" s="66"/>
      <c r="AL15" s="67"/>
      <c r="AM15" s="67"/>
    </row>
    <row r="16" spans="2:39" ht="15.75">
      <c r="B16" s="41" t="s">
        <v>94</v>
      </c>
      <c r="C16" t="s">
        <v>134</v>
      </c>
      <c r="D16" t="s">
        <v>135</v>
      </c>
      <c r="E16" t="s">
        <v>136</v>
      </c>
      <c r="F16" s="66" t="s">
        <v>137</v>
      </c>
      <c r="G16" s="66" t="s">
        <v>138</v>
      </c>
      <c r="L16" s="66"/>
      <c r="M16" s="66"/>
      <c r="N16" s="66"/>
      <c r="O16" s="66"/>
      <c r="R16" s="66"/>
      <c r="S16" s="66"/>
      <c r="T16" s="66"/>
      <c r="U16" s="66"/>
      <c r="X16" s="66"/>
      <c r="Y16" s="66"/>
      <c r="Z16" s="66"/>
      <c r="AA16" s="66"/>
      <c r="AD16" s="66"/>
      <c r="AE16" s="66"/>
      <c r="AJ16" s="66"/>
      <c r="AK16" s="66"/>
      <c r="AL16" s="67"/>
      <c r="AM16" s="67"/>
    </row>
    <row r="17" spans="1:39" ht="15.75">
      <c r="A17" s="41" t="s">
        <v>43</v>
      </c>
      <c r="B17" s="37">
        <f aca="true" t="shared" si="4" ref="B17:G25">IF(B49&gt;10,ROUND(B49*0.865,0),ROUND(B49*0.865,2))</f>
        <v>1714</v>
      </c>
      <c r="C17" s="37">
        <f t="shared" si="4"/>
        <v>1714</v>
      </c>
      <c r="D17" s="83">
        <f t="shared" si="4"/>
        <v>1285</v>
      </c>
      <c r="E17" s="44">
        <f t="shared" si="4"/>
        <v>857</v>
      </c>
      <c r="F17" s="44">
        <f t="shared" si="4"/>
        <v>857</v>
      </c>
      <c r="G17" s="84">
        <f t="shared" si="4"/>
        <v>979</v>
      </c>
      <c r="L17" s="66"/>
      <c r="M17" s="66"/>
      <c r="N17" s="66"/>
      <c r="O17" s="66"/>
      <c r="R17" s="66"/>
      <c r="S17" s="66"/>
      <c r="T17" s="66"/>
      <c r="U17" s="66"/>
      <c r="X17" s="66"/>
      <c r="Y17" s="66"/>
      <c r="Z17" s="66"/>
      <c r="AA17" s="66"/>
      <c r="AD17" s="66"/>
      <c r="AE17" s="66"/>
      <c r="AJ17" s="66"/>
      <c r="AK17" s="66"/>
      <c r="AL17" s="67"/>
      <c r="AM17" s="67"/>
    </row>
    <row r="18" spans="1:39" ht="15.75">
      <c r="A18" s="41" t="s">
        <v>44</v>
      </c>
      <c r="B18" s="37">
        <f t="shared" si="4"/>
        <v>1305</v>
      </c>
      <c r="C18" s="37">
        <f t="shared" si="4"/>
        <v>1305</v>
      </c>
      <c r="D18" s="83">
        <f t="shared" si="4"/>
        <v>979</v>
      </c>
      <c r="E18" s="44">
        <f t="shared" si="4"/>
        <v>653</v>
      </c>
      <c r="F18" s="44">
        <f t="shared" si="4"/>
        <v>653</v>
      </c>
      <c r="G18" s="84">
        <f t="shared" si="4"/>
        <v>694</v>
      </c>
      <c r="L18" s="66"/>
      <c r="M18" s="66"/>
      <c r="N18" s="66"/>
      <c r="O18" s="66"/>
      <c r="R18" s="66"/>
      <c r="S18" s="66"/>
      <c r="T18" s="66"/>
      <c r="U18" s="66"/>
      <c r="X18" s="66"/>
      <c r="Y18" s="66"/>
      <c r="Z18" s="66"/>
      <c r="AA18" s="66"/>
      <c r="AD18" s="66"/>
      <c r="AE18" s="66"/>
      <c r="AJ18" s="66"/>
      <c r="AK18" s="66"/>
      <c r="AL18" s="67"/>
      <c r="AM18" s="67"/>
    </row>
    <row r="19" spans="1:39" ht="15.75">
      <c r="A19" s="41" t="s">
        <v>74</v>
      </c>
      <c r="B19" s="37">
        <f t="shared" si="4"/>
        <v>1224</v>
      </c>
      <c r="C19" s="37">
        <f t="shared" si="4"/>
        <v>1224</v>
      </c>
      <c r="D19" s="83">
        <f t="shared" si="4"/>
        <v>918</v>
      </c>
      <c r="E19" s="44">
        <f t="shared" si="4"/>
        <v>612</v>
      </c>
      <c r="F19" s="44">
        <f t="shared" si="4"/>
        <v>612</v>
      </c>
      <c r="G19" s="84">
        <f t="shared" si="4"/>
        <v>449</v>
      </c>
      <c r="L19" s="66"/>
      <c r="M19" s="66"/>
      <c r="N19" s="66"/>
      <c r="O19" s="66"/>
      <c r="R19" s="66"/>
      <c r="S19" s="66"/>
      <c r="T19" s="66"/>
      <c r="U19" s="66"/>
      <c r="X19" s="66"/>
      <c r="Y19" s="66"/>
      <c r="Z19" s="66"/>
      <c r="AA19" s="66"/>
      <c r="AD19" s="66"/>
      <c r="AE19" s="66"/>
      <c r="AJ19" s="66"/>
      <c r="AK19" s="66"/>
      <c r="AL19" s="67"/>
      <c r="AM19" s="67"/>
    </row>
    <row r="20" spans="1:39" ht="15.75">
      <c r="A20" s="41" t="s">
        <v>45</v>
      </c>
      <c r="B20" s="37">
        <f t="shared" si="4"/>
        <v>1305</v>
      </c>
      <c r="C20" s="37">
        <f t="shared" si="4"/>
        <v>1305</v>
      </c>
      <c r="D20" s="83">
        <f t="shared" si="4"/>
        <v>979</v>
      </c>
      <c r="E20" s="44">
        <f t="shared" si="4"/>
        <v>653</v>
      </c>
      <c r="F20" s="44">
        <f t="shared" si="4"/>
        <v>653</v>
      </c>
      <c r="G20" s="84">
        <f t="shared" si="4"/>
        <v>694</v>
      </c>
      <c r="L20" s="66"/>
      <c r="M20" s="66"/>
      <c r="N20" s="66"/>
      <c r="O20" s="66"/>
      <c r="R20" s="66"/>
      <c r="S20" s="66"/>
      <c r="T20" s="66"/>
      <c r="U20" s="66"/>
      <c r="X20" s="66"/>
      <c r="Y20" s="66"/>
      <c r="Z20" s="66"/>
      <c r="AA20" s="66"/>
      <c r="AD20" s="66"/>
      <c r="AE20" s="66"/>
      <c r="AJ20" s="66"/>
      <c r="AK20" s="66"/>
      <c r="AL20" s="67"/>
      <c r="AM20" s="67"/>
    </row>
    <row r="21" spans="1:39" ht="15.75">
      <c r="A21" s="41" t="s">
        <v>46</v>
      </c>
      <c r="B21" s="37">
        <f t="shared" si="4"/>
        <v>1081</v>
      </c>
      <c r="C21" s="37">
        <f t="shared" si="4"/>
        <v>1081</v>
      </c>
      <c r="D21" s="83">
        <f t="shared" si="4"/>
        <v>811</v>
      </c>
      <c r="E21" s="44">
        <f t="shared" si="4"/>
        <v>541</v>
      </c>
      <c r="F21" s="44">
        <f t="shared" si="4"/>
        <v>541</v>
      </c>
      <c r="G21" s="84">
        <f t="shared" si="4"/>
        <v>408</v>
      </c>
      <c r="L21" s="66"/>
      <c r="M21" s="66"/>
      <c r="N21" s="66"/>
      <c r="O21" s="66"/>
      <c r="R21" s="66"/>
      <c r="S21" s="66"/>
      <c r="T21" s="66"/>
      <c r="U21" s="66"/>
      <c r="X21" s="66"/>
      <c r="Y21" s="66"/>
      <c r="Z21" s="66"/>
      <c r="AA21" s="66"/>
      <c r="AD21" s="66"/>
      <c r="AE21" s="66"/>
      <c r="AJ21" s="66"/>
      <c r="AK21" s="66"/>
      <c r="AL21" s="67"/>
      <c r="AM21" s="67"/>
    </row>
    <row r="22" spans="1:39" ht="15.75">
      <c r="A22" s="41" t="s">
        <v>47</v>
      </c>
      <c r="B22" s="37">
        <f t="shared" si="4"/>
        <v>1081</v>
      </c>
      <c r="C22" s="37">
        <f t="shared" si="4"/>
        <v>1081</v>
      </c>
      <c r="D22" s="83">
        <f t="shared" si="4"/>
        <v>811</v>
      </c>
      <c r="E22" s="44">
        <f t="shared" si="4"/>
        <v>541</v>
      </c>
      <c r="F22" s="44">
        <f t="shared" si="4"/>
        <v>541</v>
      </c>
      <c r="G22" s="84">
        <f t="shared" si="4"/>
        <v>408</v>
      </c>
      <c r="L22" s="66"/>
      <c r="M22" s="66"/>
      <c r="N22" s="66"/>
      <c r="O22" s="66"/>
      <c r="R22" s="66"/>
      <c r="S22" s="66"/>
      <c r="T22" s="66"/>
      <c r="U22" s="66"/>
      <c r="X22" s="66"/>
      <c r="Y22" s="66"/>
      <c r="Z22" s="66"/>
      <c r="AA22" s="66"/>
      <c r="AD22" s="66"/>
      <c r="AE22" s="66"/>
      <c r="AJ22" s="66"/>
      <c r="AK22" s="66"/>
      <c r="AL22" s="67"/>
      <c r="AM22" s="67"/>
    </row>
    <row r="23" spans="1:39" ht="15.75">
      <c r="A23" s="41" t="s">
        <v>48</v>
      </c>
      <c r="B23" s="37">
        <f t="shared" si="4"/>
        <v>1081</v>
      </c>
      <c r="C23" s="37">
        <f t="shared" si="4"/>
        <v>1081</v>
      </c>
      <c r="D23" s="83">
        <f t="shared" si="4"/>
        <v>811</v>
      </c>
      <c r="E23" s="44">
        <f t="shared" si="4"/>
        <v>541</v>
      </c>
      <c r="F23" s="44">
        <f t="shared" si="4"/>
        <v>541</v>
      </c>
      <c r="G23" s="84">
        <f t="shared" si="4"/>
        <v>408</v>
      </c>
      <c r="L23" s="66"/>
      <c r="M23" s="66"/>
      <c r="N23" s="66"/>
      <c r="O23" s="66"/>
      <c r="R23" s="66"/>
      <c r="S23" s="66"/>
      <c r="T23" s="66"/>
      <c r="U23" s="66"/>
      <c r="X23" s="66"/>
      <c r="Y23" s="66"/>
      <c r="Z23" s="66"/>
      <c r="AA23" s="66"/>
      <c r="AD23" s="66"/>
      <c r="AE23" s="66"/>
      <c r="AJ23" s="66"/>
      <c r="AK23" s="66"/>
      <c r="AL23" s="67"/>
      <c r="AM23" s="67"/>
    </row>
    <row r="24" spans="1:39" ht="15.75">
      <c r="A24" s="41" t="s">
        <v>49</v>
      </c>
      <c r="B24" s="37">
        <f t="shared" si="4"/>
        <v>1224</v>
      </c>
      <c r="C24" s="37">
        <f t="shared" si="4"/>
        <v>1224</v>
      </c>
      <c r="D24" s="83">
        <f t="shared" si="4"/>
        <v>918</v>
      </c>
      <c r="E24" s="44">
        <f t="shared" si="4"/>
        <v>612</v>
      </c>
      <c r="F24" s="44">
        <f t="shared" si="4"/>
        <v>612</v>
      </c>
      <c r="G24" s="84">
        <f t="shared" si="4"/>
        <v>490</v>
      </c>
      <c r="L24" s="66"/>
      <c r="M24" s="66"/>
      <c r="N24" s="66"/>
      <c r="O24" s="66"/>
      <c r="R24" s="66"/>
      <c r="S24" s="66"/>
      <c r="T24" s="66"/>
      <c r="U24" s="66"/>
      <c r="X24" s="66"/>
      <c r="Y24" s="66"/>
      <c r="Z24" s="66"/>
      <c r="AA24" s="66"/>
      <c r="AD24" s="66"/>
      <c r="AE24" s="66"/>
      <c r="AJ24" s="66"/>
      <c r="AK24" s="66"/>
      <c r="AL24" s="67"/>
      <c r="AM24" s="67"/>
    </row>
    <row r="25" spans="1:39" ht="15.75">
      <c r="A25" s="41" t="s">
        <v>50</v>
      </c>
      <c r="B25" s="37">
        <f t="shared" si="4"/>
        <v>1224</v>
      </c>
      <c r="C25" s="37">
        <f t="shared" si="4"/>
        <v>1224</v>
      </c>
      <c r="D25" s="83">
        <f t="shared" si="4"/>
        <v>918</v>
      </c>
      <c r="E25" s="44">
        <f t="shared" si="4"/>
        <v>612</v>
      </c>
      <c r="F25" s="44">
        <f t="shared" si="4"/>
        <v>612</v>
      </c>
      <c r="G25" s="84">
        <f t="shared" si="4"/>
        <v>571</v>
      </c>
      <c r="L25" s="66"/>
      <c r="M25" s="66"/>
      <c r="N25" s="66"/>
      <c r="O25" s="66"/>
      <c r="R25" s="66"/>
      <c r="S25" s="66"/>
      <c r="T25" s="66"/>
      <c r="U25" s="66"/>
      <c r="X25" s="66"/>
      <c r="Y25" s="66"/>
      <c r="Z25" s="66"/>
      <c r="AA25" s="66"/>
      <c r="AD25" s="66"/>
      <c r="AE25" s="66"/>
      <c r="AJ25" s="66"/>
      <c r="AK25" s="66"/>
      <c r="AL25" s="67"/>
      <c r="AM25" s="67"/>
    </row>
    <row r="26" spans="1:19" ht="15.75">
      <c r="A26" s="41" t="s">
        <v>141</v>
      </c>
      <c r="B26" s="37">
        <f aca="true" t="shared" si="5" ref="B26:G26">IF(B58&gt;10,ROUND(B58*0.865,0),ROUND(B58*0.865,2))</f>
        <v>1714</v>
      </c>
      <c r="C26" s="37">
        <f t="shared" si="5"/>
        <v>1714</v>
      </c>
      <c r="D26" s="83">
        <f t="shared" si="5"/>
        <v>1285</v>
      </c>
      <c r="E26" s="44">
        <f t="shared" si="5"/>
        <v>857</v>
      </c>
      <c r="F26" s="44">
        <f t="shared" si="5"/>
        <v>857</v>
      </c>
      <c r="G26" s="84">
        <f t="shared" si="5"/>
        <v>979</v>
      </c>
      <c r="R26" s="66"/>
      <c r="S26" s="66"/>
    </row>
    <row r="27" spans="1:7" ht="15.75">
      <c r="A27" s="41" t="s">
        <v>142</v>
      </c>
      <c r="B27" s="37">
        <f aca="true" t="shared" si="6" ref="B27:G27">IF(B59&gt;10,ROUND(B59*0.865,0),ROUND(B59*0.865,2))</f>
        <v>1714</v>
      </c>
      <c r="C27" s="37">
        <f t="shared" si="6"/>
        <v>1714</v>
      </c>
      <c r="D27" s="83">
        <f t="shared" si="6"/>
        <v>1285</v>
      </c>
      <c r="E27" s="44">
        <f t="shared" si="6"/>
        <v>857</v>
      </c>
      <c r="F27" s="44">
        <f t="shared" si="6"/>
        <v>857</v>
      </c>
      <c r="G27" s="84">
        <f t="shared" si="6"/>
        <v>979</v>
      </c>
    </row>
    <row r="32" spans="1:37" ht="15.75">
      <c r="A32" s="99" t="s">
        <v>244</v>
      </c>
      <c r="B32" s="99"/>
      <c r="C32" s="99"/>
      <c r="D32" s="99" t="s">
        <v>244</v>
      </c>
      <c r="E32" s="99" t="s">
        <v>244</v>
      </c>
      <c r="F32" s="99" t="s">
        <v>244</v>
      </c>
      <c r="G32" s="99" t="s">
        <v>244</v>
      </c>
      <c r="H32" s="99" t="s">
        <v>244</v>
      </c>
      <c r="I32" s="99" t="s">
        <v>244</v>
      </c>
      <c r="J32" s="99" t="s">
        <v>244</v>
      </c>
      <c r="K32" s="99" t="s">
        <v>244</v>
      </c>
      <c r="L32" s="99" t="s">
        <v>244</v>
      </c>
      <c r="M32" s="99" t="s">
        <v>244</v>
      </c>
      <c r="N32" s="99" t="s">
        <v>244</v>
      </c>
      <c r="O32" s="99" t="s">
        <v>244</v>
      </c>
      <c r="P32" s="99" t="s">
        <v>244</v>
      </c>
      <c r="Q32" s="99" t="s">
        <v>244</v>
      </c>
      <c r="R32" s="99" t="s">
        <v>244</v>
      </c>
      <c r="S32" s="99" t="s">
        <v>244</v>
      </c>
      <c r="T32" s="99" t="s">
        <v>244</v>
      </c>
      <c r="U32" s="99" t="s">
        <v>244</v>
      </c>
      <c r="V32" s="99" t="s">
        <v>244</v>
      </c>
      <c r="W32" s="99" t="s">
        <v>244</v>
      </c>
      <c r="X32" s="99" t="s">
        <v>244</v>
      </c>
      <c r="Y32" s="99" t="s">
        <v>244</v>
      </c>
      <c r="Z32" s="99" t="s">
        <v>244</v>
      </c>
      <c r="AA32" s="99" t="s">
        <v>244</v>
      </c>
      <c r="AB32" s="99" t="s">
        <v>244</v>
      </c>
      <c r="AC32" s="99" t="s">
        <v>244</v>
      </c>
      <c r="AD32" s="99" t="s">
        <v>244</v>
      </c>
      <c r="AE32" s="99" t="s">
        <v>244</v>
      </c>
      <c r="AF32" s="99" t="s">
        <v>244</v>
      </c>
      <c r="AG32" s="99" t="s">
        <v>244</v>
      </c>
      <c r="AH32" s="99" t="s">
        <v>244</v>
      </c>
      <c r="AI32" s="99" t="s">
        <v>244</v>
      </c>
      <c r="AJ32" s="99" t="s">
        <v>244</v>
      </c>
      <c r="AK32" s="99" t="s">
        <v>244</v>
      </c>
    </row>
    <row r="33" spans="1:32" s="98" customFormat="1" ht="15.75">
      <c r="A33" s="98" t="s">
        <v>37</v>
      </c>
      <c r="B33" s="98" t="s">
        <v>94</v>
      </c>
      <c r="H33" s="98" t="s">
        <v>93</v>
      </c>
      <c r="N33" s="98" t="s">
        <v>51</v>
      </c>
      <c r="T33" s="98" t="s">
        <v>52</v>
      </c>
      <c r="Z33" s="98" t="s">
        <v>52</v>
      </c>
      <c r="AF33" s="98" t="s">
        <v>53</v>
      </c>
    </row>
    <row r="34" spans="1:37" s="98" customFormat="1" ht="15.75">
      <c r="A34" s="98" t="s">
        <v>38</v>
      </c>
      <c r="B34" s="98" t="s">
        <v>39</v>
      </c>
      <c r="C34" s="98" t="s">
        <v>40</v>
      </c>
      <c r="D34" s="98" t="s">
        <v>41</v>
      </c>
      <c r="E34" s="98" t="s">
        <v>42</v>
      </c>
      <c r="F34" s="98" t="s">
        <v>54</v>
      </c>
      <c r="G34" s="98" t="s">
        <v>55</v>
      </c>
      <c r="H34" s="98" t="s">
        <v>39</v>
      </c>
      <c r="I34" s="98" t="s">
        <v>40</v>
      </c>
      <c r="J34" s="98" t="s">
        <v>41</v>
      </c>
      <c r="K34" s="98" t="s">
        <v>42</v>
      </c>
      <c r="L34" s="98" t="s">
        <v>54</v>
      </c>
      <c r="M34" s="98" t="s">
        <v>55</v>
      </c>
      <c r="N34" s="98" t="s">
        <v>39</v>
      </c>
      <c r="O34" s="98" t="s">
        <v>40</v>
      </c>
      <c r="P34" s="98" t="s">
        <v>41</v>
      </c>
      <c r="Q34" s="98" t="s">
        <v>42</v>
      </c>
      <c r="R34" s="98" t="s">
        <v>54</v>
      </c>
      <c r="S34" s="98" t="s">
        <v>55</v>
      </c>
      <c r="T34" s="98" t="s">
        <v>39</v>
      </c>
      <c r="U34" s="98" t="s">
        <v>40</v>
      </c>
      <c r="V34" s="98" t="s">
        <v>41</v>
      </c>
      <c r="W34" s="98" t="s">
        <v>42</v>
      </c>
      <c r="X34" s="98" t="s">
        <v>54</v>
      </c>
      <c r="Y34" s="98" t="s">
        <v>55</v>
      </c>
      <c r="Z34" s="98" t="s">
        <v>39</v>
      </c>
      <c r="AA34" s="98" t="s">
        <v>40</v>
      </c>
      <c r="AB34" s="98" t="s">
        <v>41</v>
      </c>
      <c r="AC34" s="98" t="s">
        <v>42</v>
      </c>
      <c r="AD34" s="98" t="s">
        <v>54</v>
      </c>
      <c r="AE34" s="98" t="s">
        <v>55</v>
      </c>
      <c r="AF34" s="98" t="s">
        <v>39</v>
      </c>
      <c r="AG34" s="98" t="s">
        <v>40</v>
      </c>
      <c r="AH34" s="98" t="s">
        <v>41</v>
      </c>
      <c r="AI34" s="98" t="s">
        <v>42</v>
      </c>
      <c r="AJ34" s="98" t="s">
        <v>54</v>
      </c>
      <c r="AK34" s="98" t="s">
        <v>55</v>
      </c>
    </row>
    <row r="35" spans="1:37" s="98" customFormat="1" ht="15.75">
      <c r="A35" s="105" t="s">
        <v>43</v>
      </c>
      <c r="B35" s="105">
        <f>B74</f>
        <v>3302</v>
      </c>
      <c r="C35" s="105">
        <f aca="true" t="shared" si="7" ref="C35:AK35">C74</f>
        <v>1132</v>
      </c>
      <c r="D35" s="105">
        <f t="shared" si="7"/>
        <v>1.89</v>
      </c>
      <c r="E35" s="105">
        <f t="shared" si="7"/>
        <v>7.55</v>
      </c>
      <c r="F35" s="105">
        <f t="shared" si="7"/>
        <v>447</v>
      </c>
      <c r="G35" s="105">
        <f t="shared" si="7"/>
        <v>479</v>
      </c>
      <c r="H35" s="105">
        <f t="shared" si="7"/>
        <v>3302</v>
      </c>
      <c r="I35" s="105">
        <f t="shared" si="7"/>
        <v>1132</v>
      </c>
      <c r="J35" s="105">
        <f t="shared" si="7"/>
        <v>1.89</v>
      </c>
      <c r="K35" s="105">
        <f t="shared" si="7"/>
        <v>7.55</v>
      </c>
      <c r="L35" s="105">
        <f t="shared" si="7"/>
        <v>447</v>
      </c>
      <c r="M35" s="105">
        <f t="shared" si="7"/>
        <v>479</v>
      </c>
      <c r="N35" s="105">
        <f t="shared" si="7"/>
        <v>2476</v>
      </c>
      <c r="O35" s="105">
        <f t="shared" si="7"/>
        <v>849</v>
      </c>
      <c r="P35" s="105">
        <f t="shared" si="7"/>
        <v>1.42</v>
      </c>
      <c r="Q35" s="105">
        <f t="shared" si="7"/>
        <v>5.66</v>
      </c>
      <c r="R35" s="105">
        <f t="shared" si="7"/>
        <v>383</v>
      </c>
      <c r="S35" s="105">
        <f t="shared" si="7"/>
        <v>411</v>
      </c>
      <c r="T35" s="105">
        <f t="shared" si="7"/>
        <v>1887</v>
      </c>
      <c r="U35" s="105">
        <f t="shared" si="7"/>
        <v>566</v>
      </c>
      <c r="V35" s="105">
        <f t="shared" si="7"/>
        <v>0.94</v>
      </c>
      <c r="W35" s="105">
        <f t="shared" si="7"/>
        <v>3.77</v>
      </c>
      <c r="X35" s="105">
        <f t="shared" si="7"/>
        <v>256</v>
      </c>
      <c r="Y35" s="105">
        <f t="shared" si="7"/>
        <v>274</v>
      </c>
      <c r="Z35" s="105">
        <f t="shared" si="7"/>
        <v>1887</v>
      </c>
      <c r="AA35" s="105">
        <f t="shared" si="7"/>
        <v>566</v>
      </c>
      <c r="AB35" s="105">
        <f t="shared" si="7"/>
        <v>0.94</v>
      </c>
      <c r="AC35" s="105">
        <f t="shared" si="7"/>
        <v>3.77</v>
      </c>
      <c r="AD35" s="105">
        <f t="shared" si="7"/>
        <v>256</v>
      </c>
      <c r="AE35" s="105">
        <f t="shared" si="7"/>
        <v>274</v>
      </c>
      <c r="AF35" s="105">
        <f t="shared" si="7"/>
        <v>1887</v>
      </c>
      <c r="AG35" s="105">
        <f t="shared" si="7"/>
        <v>613</v>
      </c>
      <c r="AH35" s="105">
        <f t="shared" si="7"/>
        <v>1.13</v>
      </c>
      <c r="AI35" s="105">
        <f t="shared" si="7"/>
        <v>5.66</v>
      </c>
      <c r="AJ35" s="105">
        <f t="shared" si="7"/>
        <v>307</v>
      </c>
      <c r="AK35" s="105">
        <f t="shared" si="7"/>
        <v>329</v>
      </c>
    </row>
    <row r="36" spans="1:37" s="98" customFormat="1" ht="15.75">
      <c r="A36" s="98" t="s">
        <v>44</v>
      </c>
      <c r="B36" s="98">
        <f>B66</f>
        <v>2924</v>
      </c>
      <c r="C36" s="98">
        <f aca="true" t="shared" si="8" ref="C36:AK40">C66</f>
        <v>991</v>
      </c>
      <c r="D36" s="98">
        <f t="shared" si="8"/>
        <v>1.89</v>
      </c>
      <c r="E36" s="98">
        <f t="shared" si="8"/>
        <v>7.55</v>
      </c>
      <c r="F36" s="98">
        <f t="shared" si="8"/>
        <v>447</v>
      </c>
      <c r="G36" s="98">
        <f t="shared" si="8"/>
        <v>479</v>
      </c>
      <c r="H36" s="98">
        <f t="shared" si="8"/>
        <v>2924</v>
      </c>
      <c r="I36" s="98">
        <f t="shared" si="8"/>
        <v>991</v>
      </c>
      <c r="J36" s="98">
        <f t="shared" si="8"/>
        <v>1.89</v>
      </c>
      <c r="K36" s="98">
        <f t="shared" si="8"/>
        <v>7.55</v>
      </c>
      <c r="L36" s="98">
        <f t="shared" si="8"/>
        <v>447</v>
      </c>
      <c r="M36" s="98">
        <f t="shared" si="8"/>
        <v>479</v>
      </c>
      <c r="N36" s="98">
        <f t="shared" si="8"/>
        <v>2193</v>
      </c>
      <c r="O36" s="98">
        <f t="shared" si="8"/>
        <v>743</v>
      </c>
      <c r="P36" s="98">
        <f t="shared" si="8"/>
        <v>1.42</v>
      </c>
      <c r="Q36" s="98">
        <f t="shared" si="8"/>
        <v>5.66</v>
      </c>
      <c r="R36" s="98">
        <f t="shared" si="8"/>
        <v>383</v>
      </c>
      <c r="S36" s="98">
        <f t="shared" si="8"/>
        <v>411</v>
      </c>
      <c r="T36" s="98">
        <f t="shared" si="8"/>
        <v>1462</v>
      </c>
      <c r="U36" s="98">
        <f t="shared" si="8"/>
        <v>495</v>
      </c>
      <c r="V36" s="98">
        <f t="shared" si="8"/>
        <v>0.94</v>
      </c>
      <c r="W36" s="98">
        <f t="shared" si="8"/>
        <v>3.77</v>
      </c>
      <c r="X36" s="98">
        <f t="shared" si="8"/>
        <v>256</v>
      </c>
      <c r="Y36" s="98">
        <f t="shared" si="8"/>
        <v>274</v>
      </c>
      <c r="Z36" s="98">
        <f t="shared" si="8"/>
        <v>1462</v>
      </c>
      <c r="AA36" s="98">
        <f t="shared" si="8"/>
        <v>495</v>
      </c>
      <c r="AB36" s="98">
        <f t="shared" si="8"/>
        <v>0.94</v>
      </c>
      <c r="AC36" s="98">
        <f t="shared" si="8"/>
        <v>3.77</v>
      </c>
      <c r="AD36" s="98">
        <f t="shared" si="8"/>
        <v>256</v>
      </c>
      <c r="AE36" s="98">
        <f t="shared" si="8"/>
        <v>274</v>
      </c>
      <c r="AF36" s="98">
        <f t="shared" si="8"/>
        <v>1509</v>
      </c>
      <c r="AG36" s="98">
        <f t="shared" si="8"/>
        <v>542</v>
      </c>
      <c r="AH36" s="98">
        <f t="shared" si="8"/>
        <v>1.13</v>
      </c>
      <c r="AI36" s="98">
        <f t="shared" si="8"/>
        <v>5.66</v>
      </c>
      <c r="AJ36" s="98">
        <f t="shared" si="8"/>
        <v>286</v>
      </c>
      <c r="AK36" s="98">
        <f t="shared" si="8"/>
        <v>306</v>
      </c>
    </row>
    <row r="37" spans="1:37" s="98" customFormat="1" ht="15.75">
      <c r="A37" s="98" t="s">
        <v>74</v>
      </c>
      <c r="B37" s="98">
        <f>B67</f>
        <v>2275</v>
      </c>
      <c r="C37" s="98">
        <f aca="true" t="shared" si="9" ref="C37:Q37">C67</f>
        <v>943</v>
      </c>
      <c r="D37" s="98">
        <f t="shared" si="9"/>
        <v>1.89</v>
      </c>
      <c r="E37" s="98">
        <f t="shared" si="9"/>
        <v>7.55</v>
      </c>
      <c r="F37" s="98">
        <f t="shared" si="9"/>
        <v>447</v>
      </c>
      <c r="G37" s="98">
        <f t="shared" si="9"/>
        <v>479</v>
      </c>
      <c r="H37" s="98">
        <f t="shared" si="9"/>
        <v>2275</v>
      </c>
      <c r="I37" s="98">
        <f t="shared" si="9"/>
        <v>943</v>
      </c>
      <c r="J37" s="98">
        <f t="shared" si="9"/>
        <v>1.89</v>
      </c>
      <c r="K37" s="98">
        <f t="shared" si="9"/>
        <v>7.55</v>
      </c>
      <c r="L37" s="98">
        <f t="shared" si="9"/>
        <v>447</v>
      </c>
      <c r="M37" s="98">
        <f t="shared" si="9"/>
        <v>479</v>
      </c>
      <c r="N37" s="98">
        <f t="shared" si="9"/>
        <v>1706</v>
      </c>
      <c r="O37" s="98">
        <f t="shared" si="9"/>
        <v>708</v>
      </c>
      <c r="P37" s="98">
        <f t="shared" si="9"/>
        <v>1.42</v>
      </c>
      <c r="Q37" s="98">
        <f t="shared" si="9"/>
        <v>5.66</v>
      </c>
      <c r="R37" s="98">
        <f t="shared" si="8"/>
        <v>383</v>
      </c>
      <c r="S37" s="98">
        <f t="shared" si="8"/>
        <v>411</v>
      </c>
      <c r="T37" s="98">
        <f t="shared" si="8"/>
        <v>1038</v>
      </c>
      <c r="U37" s="98">
        <f t="shared" si="8"/>
        <v>472</v>
      </c>
      <c r="V37" s="98">
        <f t="shared" si="8"/>
        <v>0.94</v>
      </c>
      <c r="W37" s="98">
        <f t="shared" si="8"/>
        <v>3.77</v>
      </c>
      <c r="X37" s="98">
        <f t="shared" si="8"/>
        <v>256</v>
      </c>
      <c r="Y37" s="98">
        <f t="shared" si="8"/>
        <v>274</v>
      </c>
      <c r="Z37" s="98">
        <f t="shared" si="8"/>
        <v>1038</v>
      </c>
      <c r="AA37" s="98">
        <f t="shared" si="8"/>
        <v>472</v>
      </c>
      <c r="AB37" s="98">
        <f t="shared" si="8"/>
        <v>0.94</v>
      </c>
      <c r="AC37" s="98">
        <f t="shared" si="8"/>
        <v>3.77</v>
      </c>
      <c r="AD37" s="98">
        <f t="shared" si="8"/>
        <v>256</v>
      </c>
      <c r="AE37" s="98">
        <f t="shared" si="8"/>
        <v>274</v>
      </c>
      <c r="AF37" s="98">
        <f t="shared" si="8"/>
        <v>1038</v>
      </c>
      <c r="AG37" s="98">
        <f t="shared" si="8"/>
        <v>472</v>
      </c>
      <c r="AH37" s="98">
        <f t="shared" si="8"/>
        <v>1.13</v>
      </c>
      <c r="AI37" s="98">
        <f t="shared" si="8"/>
        <v>5.66</v>
      </c>
      <c r="AJ37" s="98">
        <f t="shared" si="8"/>
        <v>286</v>
      </c>
      <c r="AK37" s="98">
        <f t="shared" si="8"/>
        <v>306</v>
      </c>
    </row>
    <row r="38" spans="1:37" s="98" customFormat="1" ht="15.75">
      <c r="A38" s="98" t="s">
        <v>45</v>
      </c>
      <c r="B38" s="98">
        <f>B68</f>
        <v>2641</v>
      </c>
      <c r="C38" s="98">
        <f t="shared" si="8"/>
        <v>943</v>
      </c>
      <c r="D38" s="98">
        <f t="shared" si="8"/>
        <v>1.89</v>
      </c>
      <c r="E38" s="98">
        <f t="shared" si="8"/>
        <v>7.55</v>
      </c>
      <c r="F38" s="98">
        <f t="shared" si="8"/>
        <v>447</v>
      </c>
      <c r="G38" s="98">
        <f t="shared" si="8"/>
        <v>479</v>
      </c>
      <c r="H38" s="98">
        <f t="shared" si="8"/>
        <v>2641</v>
      </c>
      <c r="I38" s="98">
        <f t="shared" si="8"/>
        <v>943</v>
      </c>
      <c r="J38" s="98">
        <f t="shared" si="8"/>
        <v>1.89</v>
      </c>
      <c r="K38" s="98">
        <f t="shared" si="8"/>
        <v>7.55</v>
      </c>
      <c r="L38" s="98">
        <f t="shared" si="8"/>
        <v>447</v>
      </c>
      <c r="M38" s="98">
        <f t="shared" si="8"/>
        <v>479</v>
      </c>
      <c r="N38" s="98">
        <f t="shared" si="8"/>
        <v>1981</v>
      </c>
      <c r="O38" s="98">
        <f t="shared" si="8"/>
        <v>708</v>
      </c>
      <c r="P38" s="98">
        <f t="shared" si="8"/>
        <v>1.42</v>
      </c>
      <c r="Q38" s="98">
        <f t="shared" si="8"/>
        <v>5.66</v>
      </c>
      <c r="R38" s="98">
        <f t="shared" si="8"/>
        <v>383</v>
      </c>
      <c r="S38" s="98">
        <f t="shared" si="8"/>
        <v>411</v>
      </c>
      <c r="T38" s="98">
        <f t="shared" si="8"/>
        <v>1300</v>
      </c>
      <c r="U38" s="98">
        <f t="shared" si="8"/>
        <v>472</v>
      </c>
      <c r="V38" s="98">
        <f t="shared" si="8"/>
        <v>0.94</v>
      </c>
      <c r="W38" s="98">
        <f t="shared" si="8"/>
        <v>3.77</v>
      </c>
      <c r="X38" s="98">
        <f t="shared" si="8"/>
        <v>256</v>
      </c>
      <c r="Y38" s="98">
        <f t="shared" si="8"/>
        <v>274</v>
      </c>
      <c r="Z38" s="98">
        <f t="shared" si="8"/>
        <v>1300</v>
      </c>
      <c r="AA38" s="98">
        <f t="shared" si="8"/>
        <v>472</v>
      </c>
      <c r="AB38" s="98">
        <f t="shared" si="8"/>
        <v>0.94</v>
      </c>
      <c r="AC38" s="98">
        <f t="shared" si="8"/>
        <v>3.77</v>
      </c>
      <c r="AD38" s="98">
        <f t="shared" si="8"/>
        <v>256</v>
      </c>
      <c r="AE38" s="98">
        <f t="shared" si="8"/>
        <v>274</v>
      </c>
      <c r="AF38" s="98">
        <f t="shared" si="8"/>
        <v>1300</v>
      </c>
      <c r="AG38" s="98">
        <f t="shared" si="8"/>
        <v>472</v>
      </c>
      <c r="AH38" s="98">
        <f t="shared" si="8"/>
        <v>1.13</v>
      </c>
      <c r="AI38" s="98">
        <f t="shared" si="8"/>
        <v>5.66</v>
      </c>
      <c r="AJ38" s="98">
        <f t="shared" si="8"/>
        <v>307</v>
      </c>
      <c r="AK38" s="98">
        <f t="shared" si="8"/>
        <v>329</v>
      </c>
    </row>
    <row r="39" spans="1:37" s="98" customFormat="1" ht="15.75">
      <c r="A39" s="98" t="s">
        <v>46</v>
      </c>
      <c r="B39" s="98">
        <f>B69</f>
        <v>1750</v>
      </c>
      <c r="C39" s="98">
        <f t="shared" si="8"/>
        <v>708</v>
      </c>
      <c r="D39" s="98">
        <f t="shared" si="8"/>
        <v>1.89</v>
      </c>
      <c r="E39" s="98">
        <f t="shared" si="8"/>
        <v>7.55</v>
      </c>
      <c r="F39" s="98">
        <f t="shared" si="8"/>
        <v>447</v>
      </c>
      <c r="G39" s="98">
        <f t="shared" si="8"/>
        <v>479</v>
      </c>
      <c r="H39" s="98">
        <f t="shared" si="8"/>
        <v>1750</v>
      </c>
      <c r="I39" s="98">
        <f t="shared" si="8"/>
        <v>708</v>
      </c>
      <c r="J39" s="98">
        <f t="shared" si="8"/>
        <v>1.89</v>
      </c>
      <c r="K39" s="98">
        <f t="shared" si="8"/>
        <v>7.55</v>
      </c>
      <c r="L39" s="98">
        <f t="shared" si="8"/>
        <v>447</v>
      </c>
      <c r="M39" s="98">
        <f t="shared" si="8"/>
        <v>479</v>
      </c>
      <c r="N39" s="98">
        <f t="shared" si="8"/>
        <v>1313</v>
      </c>
      <c r="O39" s="98">
        <f t="shared" si="8"/>
        <v>531</v>
      </c>
      <c r="P39" s="98">
        <f t="shared" si="8"/>
        <v>1.42</v>
      </c>
      <c r="Q39" s="98">
        <f t="shared" si="8"/>
        <v>5.66</v>
      </c>
      <c r="R39" s="98">
        <f t="shared" si="8"/>
        <v>383</v>
      </c>
      <c r="S39" s="98">
        <f t="shared" si="8"/>
        <v>411</v>
      </c>
      <c r="T39" s="98">
        <f t="shared" si="8"/>
        <v>802</v>
      </c>
      <c r="U39" s="98">
        <f t="shared" si="8"/>
        <v>354</v>
      </c>
      <c r="V39" s="98">
        <f t="shared" si="8"/>
        <v>0.94</v>
      </c>
      <c r="W39" s="98">
        <f t="shared" si="8"/>
        <v>3.77</v>
      </c>
      <c r="X39" s="98">
        <f t="shared" si="8"/>
        <v>256</v>
      </c>
      <c r="Y39" s="98">
        <f t="shared" si="8"/>
        <v>274</v>
      </c>
      <c r="Z39" s="98">
        <f t="shared" si="8"/>
        <v>802</v>
      </c>
      <c r="AA39" s="98">
        <f t="shared" si="8"/>
        <v>354</v>
      </c>
      <c r="AB39" s="98">
        <f t="shared" si="8"/>
        <v>0.94</v>
      </c>
      <c r="AC39" s="98">
        <f t="shared" si="8"/>
        <v>3.77</v>
      </c>
      <c r="AD39" s="98">
        <f t="shared" si="8"/>
        <v>256</v>
      </c>
      <c r="AE39" s="98">
        <f t="shared" si="8"/>
        <v>274</v>
      </c>
      <c r="AF39" s="98">
        <f t="shared" si="8"/>
        <v>755</v>
      </c>
      <c r="AG39" s="98">
        <f t="shared" si="8"/>
        <v>377</v>
      </c>
      <c r="AH39" s="98">
        <f t="shared" si="8"/>
        <v>1.13</v>
      </c>
      <c r="AI39" s="98">
        <f t="shared" si="8"/>
        <v>5.66</v>
      </c>
      <c r="AJ39" s="98">
        <f t="shared" si="8"/>
        <v>260</v>
      </c>
      <c r="AK39" s="98">
        <f t="shared" si="8"/>
        <v>279</v>
      </c>
    </row>
    <row r="40" spans="1:37" s="98" customFormat="1" ht="15.75">
      <c r="A40" s="98" t="s">
        <v>47</v>
      </c>
      <c r="B40" s="98">
        <f>B70</f>
        <v>1750</v>
      </c>
      <c r="C40" s="98">
        <f t="shared" si="8"/>
        <v>708</v>
      </c>
      <c r="D40" s="98">
        <f t="shared" si="8"/>
        <v>1.89</v>
      </c>
      <c r="E40" s="98">
        <f t="shared" si="8"/>
        <v>7.55</v>
      </c>
      <c r="F40" s="98">
        <f t="shared" si="8"/>
        <v>447</v>
      </c>
      <c r="G40" s="98">
        <f t="shared" si="8"/>
        <v>479</v>
      </c>
      <c r="H40" s="98">
        <f t="shared" si="8"/>
        <v>1750</v>
      </c>
      <c r="I40" s="98">
        <f t="shared" si="8"/>
        <v>708</v>
      </c>
      <c r="J40" s="98">
        <f t="shared" si="8"/>
        <v>1.89</v>
      </c>
      <c r="K40" s="98">
        <f t="shared" si="8"/>
        <v>7.55</v>
      </c>
      <c r="L40" s="98">
        <f t="shared" si="8"/>
        <v>447</v>
      </c>
      <c r="M40" s="98">
        <f t="shared" si="8"/>
        <v>479</v>
      </c>
      <c r="N40" s="98">
        <f t="shared" si="8"/>
        <v>1313</v>
      </c>
      <c r="O40" s="98">
        <f t="shared" si="8"/>
        <v>531</v>
      </c>
      <c r="P40" s="98">
        <f t="shared" si="8"/>
        <v>1.42</v>
      </c>
      <c r="Q40" s="98">
        <f t="shared" si="8"/>
        <v>5.66</v>
      </c>
      <c r="R40" s="98">
        <f t="shared" si="8"/>
        <v>383</v>
      </c>
      <c r="S40" s="98">
        <f t="shared" si="8"/>
        <v>411</v>
      </c>
      <c r="T40" s="98">
        <f t="shared" si="8"/>
        <v>802</v>
      </c>
      <c r="U40" s="98">
        <f t="shared" si="8"/>
        <v>354</v>
      </c>
      <c r="V40" s="98">
        <f t="shared" si="8"/>
        <v>0.94</v>
      </c>
      <c r="W40" s="98">
        <f t="shared" si="8"/>
        <v>3.77</v>
      </c>
      <c r="X40" s="98">
        <f t="shared" si="8"/>
        <v>256</v>
      </c>
      <c r="Y40" s="98">
        <f t="shared" si="8"/>
        <v>274</v>
      </c>
      <c r="Z40" s="98">
        <f t="shared" si="8"/>
        <v>802</v>
      </c>
      <c r="AA40" s="98">
        <f t="shared" si="8"/>
        <v>354</v>
      </c>
      <c r="AB40" s="98">
        <f t="shared" si="8"/>
        <v>0.94</v>
      </c>
      <c r="AC40" s="98">
        <f t="shared" si="8"/>
        <v>3.77</v>
      </c>
      <c r="AD40" s="98">
        <f t="shared" si="8"/>
        <v>256</v>
      </c>
      <c r="AE40" s="98">
        <f t="shared" si="8"/>
        <v>274</v>
      </c>
      <c r="AF40" s="98">
        <f t="shared" si="8"/>
        <v>802</v>
      </c>
      <c r="AG40" s="98">
        <f t="shared" si="8"/>
        <v>377</v>
      </c>
      <c r="AH40" s="98">
        <f t="shared" si="8"/>
        <v>1.13</v>
      </c>
      <c r="AI40" s="98">
        <f t="shared" si="8"/>
        <v>5.66</v>
      </c>
      <c r="AJ40" s="98">
        <f t="shared" si="8"/>
        <v>260</v>
      </c>
      <c r="AK40" s="98">
        <f t="shared" si="8"/>
        <v>279</v>
      </c>
    </row>
    <row r="41" spans="1:37" s="105" customFormat="1" ht="15.75">
      <c r="A41" s="105" t="s">
        <v>48</v>
      </c>
      <c r="B41" s="105">
        <f>B70</f>
        <v>1750</v>
      </c>
      <c r="C41" s="105">
        <f aca="true" t="shared" si="10" ref="C41:AK41">C70</f>
        <v>708</v>
      </c>
      <c r="D41" s="105">
        <f t="shared" si="10"/>
        <v>1.89</v>
      </c>
      <c r="E41" s="105">
        <f t="shared" si="10"/>
        <v>7.55</v>
      </c>
      <c r="F41" s="105">
        <f t="shared" si="10"/>
        <v>447</v>
      </c>
      <c r="G41" s="105">
        <f t="shared" si="10"/>
        <v>479</v>
      </c>
      <c r="H41" s="105">
        <f t="shared" si="10"/>
        <v>1750</v>
      </c>
      <c r="I41" s="105">
        <f t="shared" si="10"/>
        <v>708</v>
      </c>
      <c r="J41" s="105">
        <f t="shared" si="10"/>
        <v>1.89</v>
      </c>
      <c r="K41" s="105">
        <f t="shared" si="10"/>
        <v>7.55</v>
      </c>
      <c r="L41" s="105">
        <f t="shared" si="10"/>
        <v>447</v>
      </c>
      <c r="M41" s="105">
        <f t="shared" si="10"/>
        <v>479</v>
      </c>
      <c r="N41" s="105">
        <f t="shared" si="10"/>
        <v>1313</v>
      </c>
      <c r="O41" s="105">
        <f t="shared" si="10"/>
        <v>531</v>
      </c>
      <c r="P41" s="105">
        <f t="shared" si="10"/>
        <v>1.42</v>
      </c>
      <c r="Q41" s="105">
        <f t="shared" si="10"/>
        <v>5.66</v>
      </c>
      <c r="R41" s="105">
        <f t="shared" si="10"/>
        <v>383</v>
      </c>
      <c r="S41" s="105">
        <f t="shared" si="10"/>
        <v>411</v>
      </c>
      <c r="T41" s="105">
        <f t="shared" si="10"/>
        <v>802</v>
      </c>
      <c r="U41" s="105">
        <f t="shared" si="10"/>
        <v>354</v>
      </c>
      <c r="V41" s="105">
        <f t="shared" si="10"/>
        <v>0.94</v>
      </c>
      <c r="W41" s="105">
        <f t="shared" si="10"/>
        <v>3.77</v>
      </c>
      <c r="X41" s="105">
        <f t="shared" si="10"/>
        <v>256</v>
      </c>
      <c r="Y41" s="105">
        <f t="shared" si="10"/>
        <v>274</v>
      </c>
      <c r="Z41" s="105">
        <f t="shared" si="10"/>
        <v>802</v>
      </c>
      <c r="AA41" s="105">
        <f t="shared" si="10"/>
        <v>354</v>
      </c>
      <c r="AB41" s="105">
        <f t="shared" si="10"/>
        <v>0.94</v>
      </c>
      <c r="AC41" s="105">
        <f t="shared" si="10"/>
        <v>3.77</v>
      </c>
      <c r="AD41" s="105">
        <f t="shared" si="10"/>
        <v>256</v>
      </c>
      <c r="AE41" s="105">
        <f t="shared" si="10"/>
        <v>274</v>
      </c>
      <c r="AF41" s="105">
        <f t="shared" si="10"/>
        <v>802</v>
      </c>
      <c r="AG41" s="105">
        <f t="shared" si="10"/>
        <v>377</v>
      </c>
      <c r="AH41" s="105">
        <f t="shared" si="10"/>
        <v>1.13</v>
      </c>
      <c r="AI41" s="105">
        <f t="shared" si="10"/>
        <v>5.66</v>
      </c>
      <c r="AJ41" s="105">
        <f t="shared" si="10"/>
        <v>260</v>
      </c>
      <c r="AK41" s="105">
        <f t="shared" si="10"/>
        <v>279</v>
      </c>
    </row>
    <row r="42" spans="1:37" s="98" customFormat="1" ht="15.75">
      <c r="A42" s="98" t="s">
        <v>49</v>
      </c>
      <c r="B42" s="98">
        <f>B72</f>
        <v>2200</v>
      </c>
      <c r="C42" s="98">
        <f aca="true" t="shared" si="11" ref="C42:AK45">C72</f>
        <v>943</v>
      </c>
      <c r="D42" s="98">
        <f t="shared" si="11"/>
        <v>1.89</v>
      </c>
      <c r="E42" s="98">
        <f t="shared" si="11"/>
        <v>7.55</v>
      </c>
      <c r="F42" s="98">
        <f t="shared" si="11"/>
        <v>447</v>
      </c>
      <c r="G42" s="98">
        <f t="shared" si="11"/>
        <v>479</v>
      </c>
      <c r="H42" s="98">
        <f t="shared" si="11"/>
        <v>2200</v>
      </c>
      <c r="I42" s="98">
        <f t="shared" si="11"/>
        <v>943</v>
      </c>
      <c r="J42" s="98">
        <f t="shared" si="11"/>
        <v>1.89</v>
      </c>
      <c r="K42" s="98">
        <f t="shared" si="11"/>
        <v>7.55</v>
      </c>
      <c r="L42" s="98">
        <f t="shared" si="11"/>
        <v>447</v>
      </c>
      <c r="M42" s="98">
        <f t="shared" si="11"/>
        <v>479</v>
      </c>
      <c r="N42" s="98">
        <f t="shared" si="11"/>
        <v>1650</v>
      </c>
      <c r="O42" s="98">
        <f t="shared" si="11"/>
        <v>708</v>
      </c>
      <c r="P42" s="98">
        <f t="shared" si="11"/>
        <v>1.42</v>
      </c>
      <c r="Q42" s="98">
        <f t="shared" si="11"/>
        <v>5.66</v>
      </c>
      <c r="R42" s="98">
        <f t="shared" si="11"/>
        <v>383</v>
      </c>
      <c r="S42" s="98">
        <f t="shared" si="11"/>
        <v>411</v>
      </c>
      <c r="T42" s="98">
        <f t="shared" si="11"/>
        <v>943</v>
      </c>
      <c r="U42" s="98">
        <f t="shared" si="11"/>
        <v>472</v>
      </c>
      <c r="V42" s="98">
        <f t="shared" si="11"/>
        <v>0.94</v>
      </c>
      <c r="W42" s="98">
        <f t="shared" si="11"/>
        <v>3.77</v>
      </c>
      <c r="X42" s="98">
        <f t="shared" si="11"/>
        <v>256</v>
      </c>
      <c r="Y42" s="98">
        <f t="shared" si="11"/>
        <v>274</v>
      </c>
      <c r="Z42" s="98">
        <f t="shared" si="11"/>
        <v>943</v>
      </c>
      <c r="AA42" s="98">
        <f t="shared" si="11"/>
        <v>472</v>
      </c>
      <c r="AB42" s="98">
        <f t="shared" si="11"/>
        <v>0.94</v>
      </c>
      <c r="AC42" s="98">
        <f t="shared" si="11"/>
        <v>3.77</v>
      </c>
      <c r="AD42" s="98">
        <f t="shared" si="11"/>
        <v>256</v>
      </c>
      <c r="AE42" s="98">
        <f t="shared" si="11"/>
        <v>274</v>
      </c>
      <c r="AF42" s="98">
        <f t="shared" si="11"/>
        <v>943</v>
      </c>
      <c r="AG42" s="98">
        <f t="shared" si="11"/>
        <v>472</v>
      </c>
      <c r="AH42" s="98">
        <f t="shared" si="11"/>
        <v>1.13</v>
      </c>
      <c r="AI42" s="98">
        <f t="shared" si="11"/>
        <v>5.66</v>
      </c>
      <c r="AJ42" s="98">
        <f t="shared" si="11"/>
        <v>286</v>
      </c>
      <c r="AK42" s="98">
        <f t="shared" si="11"/>
        <v>306</v>
      </c>
    </row>
    <row r="43" spans="1:37" s="98" customFormat="1" ht="15.75">
      <c r="A43" s="98" t="s">
        <v>50</v>
      </c>
      <c r="B43" s="98">
        <f>B73</f>
        <v>2453</v>
      </c>
      <c r="C43" s="98">
        <f aca="true" t="shared" si="12" ref="C43:Q43">C73</f>
        <v>943</v>
      </c>
      <c r="D43" s="98">
        <f t="shared" si="12"/>
        <v>1.89</v>
      </c>
      <c r="E43" s="98">
        <f t="shared" si="12"/>
        <v>7.55</v>
      </c>
      <c r="F43" s="98">
        <f t="shared" si="12"/>
        <v>447</v>
      </c>
      <c r="G43" s="98">
        <f t="shared" si="12"/>
        <v>479</v>
      </c>
      <c r="H43" s="98">
        <f t="shared" si="12"/>
        <v>2453</v>
      </c>
      <c r="I43" s="98">
        <f t="shared" si="12"/>
        <v>943</v>
      </c>
      <c r="J43" s="98">
        <f t="shared" si="12"/>
        <v>1.89</v>
      </c>
      <c r="K43" s="98">
        <f t="shared" si="12"/>
        <v>7.55</v>
      </c>
      <c r="L43" s="98">
        <f t="shared" si="12"/>
        <v>447</v>
      </c>
      <c r="M43" s="98">
        <f t="shared" si="12"/>
        <v>479</v>
      </c>
      <c r="N43" s="98">
        <f t="shared" si="12"/>
        <v>1840</v>
      </c>
      <c r="O43" s="98">
        <f t="shared" si="12"/>
        <v>708</v>
      </c>
      <c r="P43" s="98">
        <f t="shared" si="12"/>
        <v>1.42</v>
      </c>
      <c r="Q43" s="98">
        <f t="shared" si="12"/>
        <v>5.66</v>
      </c>
      <c r="R43" s="98">
        <f t="shared" si="11"/>
        <v>383</v>
      </c>
      <c r="S43" s="98">
        <f t="shared" si="11"/>
        <v>411</v>
      </c>
      <c r="T43" s="98">
        <f t="shared" si="11"/>
        <v>1132</v>
      </c>
      <c r="U43" s="98">
        <f t="shared" si="11"/>
        <v>472</v>
      </c>
      <c r="V43" s="98">
        <f t="shared" si="11"/>
        <v>0.94</v>
      </c>
      <c r="W43" s="98">
        <f t="shared" si="11"/>
        <v>3.77</v>
      </c>
      <c r="X43" s="98">
        <f t="shared" si="11"/>
        <v>256</v>
      </c>
      <c r="Y43" s="98">
        <f t="shared" si="11"/>
        <v>274</v>
      </c>
      <c r="Z43" s="98">
        <f t="shared" si="11"/>
        <v>1132</v>
      </c>
      <c r="AA43" s="98">
        <f t="shared" si="11"/>
        <v>472</v>
      </c>
      <c r="AB43" s="98">
        <f t="shared" si="11"/>
        <v>0.94</v>
      </c>
      <c r="AC43" s="98">
        <f t="shared" si="11"/>
        <v>3.77</v>
      </c>
      <c r="AD43" s="98">
        <f t="shared" si="11"/>
        <v>256</v>
      </c>
      <c r="AE43" s="98">
        <f t="shared" si="11"/>
        <v>274</v>
      </c>
      <c r="AF43" s="98">
        <f t="shared" si="11"/>
        <v>1132</v>
      </c>
      <c r="AG43" s="98">
        <f t="shared" si="11"/>
        <v>472</v>
      </c>
      <c r="AH43" s="98">
        <f t="shared" si="11"/>
        <v>1.13</v>
      </c>
      <c r="AI43" s="98">
        <f t="shared" si="11"/>
        <v>5.66</v>
      </c>
      <c r="AJ43" s="98">
        <f t="shared" si="11"/>
        <v>286</v>
      </c>
      <c r="AK43" s="98">
        <f t="shared" si="11"/>
        <v>306</v>
      </c>
    </row>
    <row r="44" spans="1:37" s="98" customFormat="1" ht="15.75">
      <c r="A44" s="98" t="s">
        <v>141</v>
      </c>
      <c r="B44" s="98">
        <f>B74</f>
        <v>3302</v>
      </c>
      <c r="C44" s="98">
        <f t="shared" si="11"/>
        <v>1132</v>
      </c>
      <c r="D44" s="98">
        <f t="shared" si="11"/>
        <v>1.89</v>
      </c>
      <c r="E44" s="98">
        <f t="shared" si="11"/>
        <v>7.55</v>
      </c>
      <c r="F44" s="98">
        <f t="shared" si="11"/>
        <v>447</v>
      </c>
      <c r="G44" s="98">
        <f t="shared" si="11"/>
        <v>479</v>
      </c>
      <c r="H44" s="98">
        <f t="shared" si="11"/>
        <v>3302</v>
      </c>
      <c r="I44" s="98">
        <f t="shared" si="11"/>
        <v>1132</v>
      </c>
      <c r="J44" s="98">
        <f t="shared" si="11"/>
        <v>1.89</v>
      </c>
      <c r="K44" s="98">
        <f t="shared" si="11"/>
        <v>7.55</v>
      </c>
      <c r="L44" s="98">
        <f t="shared" si="11"/>
        <v>447</v>
      </c>
      <c r="M44" s="98">
        <f t="shared" si="11"/>
        <v>479</v>
      </c>
      <c r="N44" s="98">
        <f t="shared" si="11"/>
        <v>2476</v>
      </c>
      <c r="O44" s="98">
        <f t="shared" si="11"/>
        <v>849</v>
      </c>
      <c r="P44" s="98">
        <f t="shared" si="11"/>
        <v>1.42</v>
      </c>
      <c r="Q44" s="98">
        <f t="shared" si="11"/>
        <v>5.66</v>
      </c>
      <c r="R44" s="98">
        <f t="shared" si="11"/>
        <v>383</v>
      </c>
      <c r="S44" s="98">
        <f t="shared" si="11"/>
        <v>411</v>
      </c>
      <c r="T44" s="98">
        <f t="shared" si="11"/>
        <v>1887</v>
      </c>
      <c r="U44" s="98">
        <f t="shared" si="11"/>
        <v>566</v>
      </c>
      <c r="V44" s="98">
        <f t="shared" si="11"/>
        <v>0.94</v>
      </c>
      <c r="W44" s="98">
        <f t="shared" si="11"/>
        <v>3.77</v>
      </c>
      <c r="X44" s="98">
        <f t="shared" si="11"/>
        <v>256</v>
      </c>
      <c r="Y44" s="98">
        <f t="shared" si="11"/>
        <v>274</v>
      </c>
      <c r="Z44" s="98">
        <f t="shared" si="11"/>
        <v>1887</v>
      </c>
      <c r="AA44" s="98">
        <f t="shared" si="11"/>
        <v>566</v>
      </c>
      <c r="AB44" s="98">
        <f t="shared" si="11"/>
        <v>0.94</v>
      </c>
      <c r="AC44" s="98">
        <f t="shared" si="11"/>
        <v>3.77</v>
      </c>
      <c r="AD44" s="98">
        <f t="shared" si="11"/>
        <v>256</v>
      </c>
      <c r="AE44" s="98">
        <f t="shared" si="11"/>
        <v>274</v>
      </c>
      <c r="AF44" s="98">
        <f t="shared" si="11"/>
        <v>1887</v>
      </c>
      <c r="AG44" s="98">
        <f t="shared" si="11"/>
        <v>613</v>
      </c>
      <c r="AH44" s="98">
        <f t="shared" si="11"/>
        <v>1.13</v>
      </c>
      <c r="AI44" s="98">
        <f t="shared" si="11"/>
        <v>5.66</v>
      </c>
      <c r="AJ44" s="98">
        <f t="shared" si="11"/>
        <v>307</v>
      </c>
      <c r="AK44" s="98">
        <f t="shared" si="11"/>
        <v>329</v>
      </c>
    </row>
    <row r="45" spans="1:37" s="98" customFormat="1" ht="15.75">
      <c r="A45" s="98" t="s">
        <v>142</v>
      </c>
      <c r="B45" s="98">
        <f>B75</f>
        <v>3302</v>
      </c>
      <c r="C45" s="98">
        <f t="shared" si="11"/>
        <v>1132</v>
      </c>
      <c r="D45" s="98">
        <f t="shared" si="11"/>
        <v>1.89</v>
      </c>
      <c r="E45" s="98">
        <f t="shared" si="11"/>
        <v>7.55</v>
      </c>
      <c r="F45" s="98">
        <f t="shared" si="11"/>
        <v>447</v>
      </c>
      <c r="G45" s="98">
        <f t="shared" si="11"/>
        <v>479</v>
      </c>
      <c r="H45" s="98">
        <f t="shared" si="11"/>
        <v>3302</v>
      </c>
      <c r="I45" s="98">
        <f t="shared" si="11"/>
        <v>1132</v>
      </c>
      <c r="J45" s="98">
        <f t="shared" si="11"/>
        <v>1.89</v>
      </c>
      <c r="K45" s="98">
        <f t="shared" si="11"/>
        <v>7.55</v>
      </c>
      <c r="L45" s="98">
        <f t="shared" si="11"/>
        <v>447</v>
      </c>
      <c r="M45" s="98">
        <f t="shared" si="11"/>
        <v>479</v>
      </c>
      <c r="N45" s="98">
        <f t="shared" si="11"/>
        <v>2476</v>
      </c>
      <c r="O45" s="98">
        <f t="shared" si="11"/>
        <v>849</v>
      </c>
      <c r="P45" s="98">
        <f t="shared" si="11"/>
        <v>1.42</v>
      </c>
      <c r="Q45" s="98">
        <f t="shared" si="11"/>
        <v>5.66</v>
      </c>
      <c r="R45" s="98">
        <f t="shared" si="11"/>
        <v>383</v>
      </c>
      <c r="S45" s="98">
        <f t="shared" si="11"/>
        <v>411</v>
      </c>
      <c r="T45" s="98">
        <f t="shared" si="11"/>
        <v>1651</v>
      </c>
      <c r="U45" s="98">
        <f t="shared" si="11"/>
        <v>566</v>
      </c>
      <c r="V45" s="98">
        <f t="shared" si="11"/>
        <v>0.94</v>
      </c>
      <c r="W45" s="98">
        <f t="shared" si="11"/>
        <v>3.77</v>
      </c>
      <c r="X45" s="98">
        <f t="shared" si="11"/>
        <v>256</v>
      </c>
      <c r="Y45" s="98">
        <f t="shared" si="11"/>
        <v>274</v>
      </c>
      <c r="Z45" s="98">
        <f t="shared" si="11"/>
        <v>1651</v>
      </c>
      <c r="AA45" s="98">
        <f t="shared" si="11"/>
        <v>566</v>
      </c>
      <c r="AB45" s="98">
        <f t="shared" si="11"/>
        <v>0.94</v>
      </c>
      <c r="AC45" s="98">
        <f t="shared" si="11"/>
        <v>3.77</v>
      </c>
      <c r="AD45" s="98">
        <f t="shared" si="11"/>
        <v>256</v>
      </c>
      <c r="AE45" s="98">
        <f t="shared" si="11"/>
        <v>274</v>
      </c>
      <c r="AF45" s="98">
        <f t="shared" si="11"/>
        <v>1887</v>
      </c>
      <c r="AG45" s="98">
        <f t="shared" si="11"/>
        <v>613</v>
      </c>
      <c r="AH45" s="98">
        <f t="shared" si="11"/>
        <v>1.13</v>
      </c>
      <c r="AI45" s="98">
        <f t="shared" si="11"/>
        <v>5.66</v>
      </c>
      <c r="AJ45" s="98">
        <f t="shared" si="11"/>
        <v>307</v>
      </c>
      <c r="AK45" s="98">
        <f t="shared" si="11"/>
        <v>329</v>
      </c>
    </row>
    <row r="46" s="98" customFormat="1" ht="15.75"/>
    <row r="47" s="98" customFormat="1" ht="15.75">
      <c r="B47" s="98" t="s">
        <v>133</v>
      </c>
    </row>
    <row r="48" spans="2:7" s="98" customFormat="1" ht="15.75">
      <c r="B48" s="98" t="s">
        <v>94</v>
      </c>
      <c r="C48" s="98" t="s">
        <v>134</v>
      </c>
      <c r="D48" s="98" t="s">
        <v>135</v>
      </c>
      <c r="E48" s="98" t="s">
        <v>136</v>
      </c>
      <c r="F48" s="98" t="s">
        <v>137</v>
      </c>
      <c r="G48" s="98" t="s">
        <v>138</v>
      </c>
    </row>
    <row r="49" spans="1:7" s="98" customFormat="1" ht="15.75">
      <c r="A49" s="105" t="s">
        <v>43</v>
      </c>
      <c r="B49" s="105">
        <f aca="true" t="shared" si="13" ref="B49:G49">B88</f>
        <v>1981</v>
      </c>
      <c r="C49" s="105">
        <f t="shared" si="13"/>
        <v>1981</v>
      </c>
      <c r="D49" s="105">
        <f t="shared" si="13"/>
        <v>1485.75</v>
      </c>
      <c r="E49" s="105">
        <f t="shared" si="13"/>
        <v>990.5</v>
      </c>
      <c r="F49" s="105">
        <f t="shared" si="13"/>
        <v>990.5</v>
      </c>
      <c r="G49" s="105">
        <f t="shared" si="13"/>
        <v>1132</v>
      </c>
    </row>
    <row r="50" spans="1:7" s="98" customFormat="1" ht="15.75">
      <c r="A50" s="98" t="s">
        <v>44</v>
      </c>
      <c r="B50" s="98">
        <f aca="true" t="shared" si="14" ref="B50:G50">B80</f>
        <v>1509</v>
      </c>
      <c r="C50" s="98">
        <f t="shared" si="14"/>
        <v>1509</v>
      </c>
      <c r="D50" s="98">
        <f t="shared" si="14"/>
        <v>1131.75</v>
      </c>
      <c r="E50" s="98">
        <f t="shared" si="14"/>
        <v>754.5</v>
      </c>
      <c r="F50" s="98">
        <f t="shared" si="14"/>
        <v>754.5</v>
      </c>
      <c r="G50" s="98">
        <f t="shared" si="14"/>
        <v>802</v>
      </c>
    </row>
    <row r="51" spans="1:7" s="98" customFormat="1" ht="15.75">
      <c r="A51" s="98" t="s">
        <v>74</v>
      </c>
      <c r="B51" s="98">
        <f aca="true" t="shared" si="15" ref="B51:G54">B81</f>
        <v>1415</v>
      </c>
      <c r="C51" s="98">
        <f t="shared" si="15"/>
        <v>1415</v>
      </c>
      <c r="D51" s="98">
        <f t="shared" si="15"/>
        <v>1061.25</v>
      </c>
      <c r="E51" s="98">
        <f t="shared" si="15"/>
        <v>707.5</v>
      </c>
      <c r="F51" s="98">
        <f t="shared" si="15"/>
        <v>707.5</v>
      </c>
      <c r="G51" s="98">
        <f t="shared" si="15"/>
        <v>519</v>
      </c>
    </row>
    <row r="52" spans="1:7" s="98" customFormat="1" ht="15.75">
      <c r="A52" s="98" t="s">
        <v>45</v>
      </c>
      <c r="B52" s="98">
        <f t="shared" si="15"/>
        <v>1509</v>
      </c>
      <c r="C52" s="98">
        <f t="shared" si="15"/>
        <v>1509</v>
      </c>
      <c r="D52" s="98">
        <f t="shared" si="15"/>
        <v>1131.75</v>
      </c>
      <c r="E52" s="98">
        <f t="shared" si="15"/>
        <v>754.5</v>
      </c>
      <c r="F52" s="98">
        <f t="shared" si="15"/>
        <v>754.5</v>
      </c>
      <c r="G52" s="98">
        <f t="shared" si="15"/>
        <v>802</v>
      </c>
    </row>
    <row r="53" spans="1:7" s="98" customFormat="1" ht="15.75">
      <c r="A53" s="98" t="s">
        <v>46</v>
      </c>
      <c r="B53" s="98">
        <f t="shared" si="15"/>
        <v>1250</v>
      </c>
      <c r="C53" s="98">
        <f t="shared" si="15"/>
        <v>1250</v>
      </c>
      <c r="D53" s="98">
        <f t="shared" si="15"/>
        <v>937.5</v>
      </c>
      <c r="E53" s="98">
        <f t="shared" si="15"/>
        <v>625</v>
      </c>
      <c r="F53" s="98">
        <f t="shared" si="15"/>
        <v>625</v>
      </c>
      <c r="G53" s="98">
        <f t="shared" si="15"/>
        <v>472</v>
      </c>
    </row>
    <row r="54" spans="1:7" s="98" customFormat="1" ht="15.75">
      <c r="A54" s="98" t="s">
        <v>47</v>
      </c>
      <c r="B54" s="98">
        <f t="shared" si="15"/>
        <v>1250</v>
      </c>
      <c r="C54" s="98">
        <f t="shared" si="15"/>
        <v>1250</v>
      </c>
      <c r="D54" s="98">
        <f t="shared" si="15"/>
        <v>937.5</v>
      </c>
      <c r="E54" s="98">
        <f t="shared" si="15"/>
        <v>625</v>
      </c>
      <c r="F54" s="98">
        <f t="shared" si="15"/>
        <v>625</v>
      </c>
      <c r="G54" s="98">
        <f t="shared" si="15"/>
        <v>472</v>
      </c>
    </row>
    <row r="55" spans="1:7" s="98" customFormat="1" ht="15.75">
      <c r="A55" s="105" t="s">
        <v>48</v>
      </c>
      <c r="B55" s="105">
        <f aca="true" t="shared" si="16" ref="B55:G55">B84</f>
        <v>1250</v>
      </c>
      <c r="C55" s="105">
        <f t="shared" si="16"/>
        <v>1250</v>
      </c>
      <c r="D55" s="105">
        <f t="shared" si="16"/>
        <v>937.5</v>
      </c>
      <c r="E55" s="105">
        <f t="shared" si="16"/>
        <v>625</v>
      </c>
      <c r="F55" s="105">
        <f t="shared" si="16"/>
        <v>625</v>
      </c>
      <c r="G55" s="105">
        <f t="shared" si="16"/>
        <v>472</v>
      </c>
    </row>
    <row r="56" spans="1:7" s="98" customFormat="1" ht="15.75">
      <c r="A56" s="98" t="s">
        <v>49</v>
      </c>
      <c r="B56" s="98">
        <f aca="true" t="shared" si="17" ref="B56:G56">B86</f>
        <v>1415</v>
      </c>
      <c r="C56" s="98">
        <f t="shared" si="17"/>
        <v>1415</v>
      </c>
      <c r="D56" s="98">
        <f t="shared" si="17"/>
        <v>1061.25</v>
      </c>
      <c r="E56" s="98">
        <f t="shared" si="17"/>
        <v>707.5</v>
      </c>
      <c r="F56" s="98">
        <f t="shared" si="17"/>
        <v>707.5</v>
      </c>
      <c r="G56" s="98">
        <f t="shared" si="17"/>
        <v>566</v>
      </c>
    </row>
    <row r="57" spans="1:7" s="98" customFormat="1" ht="15.75">
      <c r="A57" s="98" t="s">
        <v>50</v>
      </c>
      <c r="B57" s="98">
        <f aca="true" t="shared" si="18" ref="B57:G59">B87</f>
        <v>1415</v>
      </c>
      <c r="C57" s="98">
        <f t="shared" si="18"/>
        <v>1415</v>
      </c>
      <c r="D57" s="98">
        <f t="shared" si="18"/>
        <v>1061.25</v>
      </c>
      <c r="E57" s="98">
        <f t="shared" si="18"/>
        <v>707.5</v>
      </c>
      <c r="F57" s="98">
        <f t="shared" si="18"/>
        <v>707.5</v>
      </c>
      <c r="G57" s="98">
        <f t="shared" si="18"/>
        <v>660</v>
      </c>
    </row>
    <row r="58" spans="1:7" s="98" customFormat="1" ht="15.75">
      <c r="A58" s="98" t="s">
        <v>141</v>
      </c>
      <c r="B58" s="98">
        <f t="shared" si="18"/>
        <v>1981</v>
      </c>
      <c r="C58" s="98">
        <f t="shared" si="18"/>
        <v>1981</v>
      </c>
      <c r="D58" s="98">
        <f t="shared" si="18"/>
        <v>1485.75</v>
      </c>
      <c r="E58" s="98">
        <f t="shared" si="18"/>
        <v>990.5</v>
      </c>
      <c r="F58" s="98">
        <f t="shared" si="18"/>
        <v>990.5</v>
      </c>
      <c r="G58" s="98">
        <f t="shared" si="18"/>
        <v>1132</v>
      </c>
    </row>
    <row r="59" spans="1:7" s="98" customFormat="1" ht="15.75">
      <c r="A59" s="98" t="s">
        <v>142</v>
      </c>
      <c r="B59" s="98">
        <f t="shared" si="18"/>
        <v>1981</v>
      </c>
      <c r="C59" s="98">
        <f t="shared" si="18"/>
        <v>1981</v>
      </c>
      <c r="D59" s="98">
        <f t="shared" si="18"/>
        <v>1485.75</v>
      </c>
      <c r="E59" s="98">
        <f t="shared" si="18"/>
        <v>990.5</v>
      </c>
      <c r="F59" s="98">
        <f t="shared" si="18"/>
        <v>990.5</v>
      </c>
      <c r="G59" s="98">
        <f t="shared" si="18"/>
        <v>1132</v>
      </c>
    </row>
    <row r="62" spans="1:37" ht="15.75">
      <c r="A62" s="99" t="s">
        <v>241</v>
      </c>
      <c r="B62" s="99" t="s">
        <v>241</v>
      </c>
      <c r="C62" s="99" t="s">
        <v>241</v>
      </c>
      <c r="D62" s="99" t="s">
        <v>241</v>
      </c>
      <c r="E62" s="99" t="s">
        <v>241</v>
      </c>
      <c r="F62" s="99" t="s">
        <v>241</v>
      </c>
      <c r="G62" s="99" t="s">
        <v>241</v>
      </c>
      <c r="H62" s="99" t="s">
        <v>241</v>
      </c>
      <c r="I62" s="99" t="s">
        <v>241</v>
      </c>
      <c r="J62" s="99" t="s">
        <v>241</v>
      </c>
      <c r="K62" s="99" t="s">
        <v>241</v>
      </c>
      <c r="L62" s="99" t="s">
        <v>241</v>
      </c>
      <c r="M62" s="99" t="s">
        <v>241</v>
      </c>
      <c r="N62" s="99" t="s">
        <v>241</v>
      </c>
      <c r="O62" s="99" t="s">
        <v>241</v>
      </c>
      <c r="P62" s="99" t="s">
        <v>241</v>
      </c>
      <c r="Q62" s="99" t="s">
        <v>241</v>
      </c>
      <c r="R62" s="99" t="s">
        <v>241</v>
      </c>
      <c r="S62" s="99" t="s">
        <v>241</v>
      </c>
      <c r="T62" s="99" t="s">
        <v>241</v>
      </c>
      <c r="U62" s="99" t="s">
        <v>241</v>
      </c>
      <c r="V62" s="99" t="s">
        <v>241</v>
      </c>
      <c r="W62" s="99" t="s">
        <v>241</v>
      </c>
      <c r="X62" s="99" t="s">
        <v>241</v>
      </c>
      <c r="Y62" s="99" t="s">
        <v>241</v>
      </c>
      <c r="Z62" s="99" t="s">
        <v>241</v>
      </c>
      <c r="AA62" s="99" t="s">
        <v>241</v>
      </c>
      <c r="AB62" s="99" t="s">
        <v>241</v>
      </c>
      <c r="AC62" s="99" t="s">
        <v>241</v>
      </c>
      <c r="AD62" s="99" t="s">
        <v>241</v>
      </c>
      <c r="AE62" s="99" t="s">
        <v>241</v>
      </c>
      <c r="AF62" s="99" t="s">
        <v>241</v>
      </c>
      <c r="AG62" s="99" t="s">
        <v>241</v>
      </c>
      <c r="AH62" s="99" t="s">
        <v>241</v>
      </c>
      <c r="AI62" s="99" t="s">
        <v>241</v>
      </c>
      <c r="AJ62" s="99" t="s">
        <v>241</v>
      </c>
      <c r="AK62" s="99" t="s">
        <v>241</v>
      </c>
    </row>
    <row r="63" spans="1:32" s="98" customFormat="1" ht="15.75">
      <c r="A63" s="98" t="s">
        <v>37</v>
      </c>
      <c r="B63" s="98" t="s">
        <v>94</v>
      </c>
      <c r="H63" s="98" t="s">
        <v>93</v>
      </c>
      <c r="N63" s="98" t="s">
        <v>51</v>
      </c>
      <c r="T63" s="98" t="s">
        <v>52</v>
      </c>
      <c r="Z63" s="98" t="s">
        <v>52</v>
      </c>
      <c r="AF63" s="98" t="s">
        <v>53</v>
      </c>
    </row>
    <row r="64" spans="1:37" s="98" customFormat="1" ht="15.75">
      <c r="A64" s="98" t="s">
        <v>38</v>
      </c>
      <c r="B64" s="98" t="s">
        <v>39</v>
      </c>
      <c r="C64" s="98" t="s">
        <v>40</v>
      </c>
      <c r="D64" s="98" t="s">
        <v>41</v>
      </c>
      <c r="E64" s="98" t="s">
        <v>42</v>
      </c>
      <c r="F64" s="98" t="s">
        <v>54</v>
      </c>
      <c r="G64" s="98" t="s">
        <v>55</v>
      </c>
      <c r="H64" s="98" t="s">
        <v>39</v>
      </c>
      <c r="I64" s="98" t="s">
        <v>40</v>
      </c>
      <c r="J64" s="98" t="s">
        <v>41</v>
      </c>
      <c r="K64" s="98" t="s">
        <v>42</v>
      </c>
      <c r="L64" s="98" t="s">
        <v>54</v>
      </c>
      <c r="M64" s="98" t="s">
        <v>55</v>
      </c>
      <c r="N64" s="98" t="s">
        <v>39</v>
      </c>
      <c r="O64" s="98" t="s">
        <v>40</v>
      </c>
      <c r="P64" s="98" t="s">
        <v>41</v>
      </c>
      <c r="Q64" s="98" t="s">
        <v>42</v>
      </c>
      <c r="R64" s="98" t="s">
        <v>54</v>
      </c>
      <c r="S64" s="98" t="s">
        <v>55</v>
      </c>
      <c r="T64" s="98" t="s">
        <v>39</v>
      </c>
      <c r="U64" s="98" t="s">
        <v>40</v>
      </c>
      <c r="V64" s="98" t="s">
        <v>41</v>
      </c>
      <c r="W64" s="98" t="s">
        <v>42</v>
      </c>
      <c r="X64" s="98" t="s">
        <v>54</v>
      </c>
      <c r="Y64" s="98" t="s">
        <v>55</v>
      </c>
      <c r="Z64" s="98" t="s">
        <v>39</v>
      </c>
      <c r="AA64" s="98" t="s">
        <v>40</v>
      </c>
      <c r="AB64" s="98" t="s">
        <v>41</v>
      </c>
      <c r="AC64" s="98" t="s">
        <v>42</v>
      </c>
      <c r="AD64" s="98" t="s">
        <v>54</v>
      </c>
      <c r="AE64" s="98" t="s">
        <v>55</v>
      </c>
      <c r="AF64" s="98" t="s">
        <v>39</v>
      </c>
      <c r="AG64" s="98" t="s">
        <v>40</v>
      </c>
      <c r="AH64" s="98" t="s">
        <v>41</v>
      </c>
      <c r="AI64" s="98" t="s">
        <v>42</v>
      </c>
      <c r="AJ64" s="98" t="s">
        <v>54</v>
      </c>
      <c r="AK64" s="98" t="s">
        <v>55</v>
      </c>
    </row>
    <row r="65" spans="1:37" s="98" customFormat="1" ht="15.75">
      <c r="A65" s="98" t="s">
        <v>43</v>
      </c>
      <c r="B65" s="98">
        <v>4434</v>
      </c>
      <c r="C65" s="98">
        <v>1321</v>
      </c>
      <c r="D65" s="98">
        <v>1.89</v>
      </c>
      <c r="E65" s="98">
        <v>7.55</v>
      </c>
      <c r="F65" s="98">
        <v>635</v>
      </c>
      <c r="G65" s="98">
        <v>680</v>
      </c>
      <c r="H65" s="98">
        <v>4434</v>
      </c>
      <c r="I65" s="98">
        <v>1321</v>
      </c>
      <c r="J65" s="98">
        <v>1.89</v>
      </c>
      <c r="K65" s="98">
        <v>7.55</v>
      </c>
      <c r="L65" s="98">
        <v>635</v>
      </c>
      <c r="M65" s="98">
        <v>680</v>
      </c>
      <c r="N65" s="98">
        <v>3325</v>
      </c>
      <c r="O65" s="98">
        <v>991</v>
      </c>
      <c r="P65" s="98">
        <v>1.42</v>
      </c>
      <c r="Q65" s="98">
        <v>5.66</v>
      </c>
      <c r="R65" s="98">
        <v>544</v>
      </c>
      <c r="S65" s="98">
        <v>583</v>
      </c>
      <c r="T65" s="98">
        <v>2217</v>
      </c>
      <c r="U65" s="98">
        <v>660</v>
      </c>
      <c r="V65" s="98">
        <v>0.94</v>
      </c>
      <c r="W65" s="98">
        <v>3.77</v>
      </c>
      <c r="X65" s="98">
        <v>363</v>
      </c>
      <c r="Y65" s="98">
        <v>389</v>
      </c>
      <c r="Z65" s="98">
        <v>2217</v>
      </c>
      <c r="AA65" s="98">
        <v>660</v>
      </c>
      <c r="AB65" s="98">
        <v>0.94</v>
      </c>
      <c r="AC65" s="98">
        <v>3.77</v>
      </c>
      <c r="AD65" s="98">
        <v>363</v>
      </c>
      <c r="AE65" s="98">
        <v>389</v>
      </c>
      <c r="AF65" s="98">
        <v>2547</v>
      </c>
      <c r="AG65" s="98">
        <v>778</v>
      </c>
      <c r="AH65" s="98">
        <v>1.13</v>
      </c>
      <c r="AI65" s="98">
        <v>5.66</v>
      </c>
      <c r="AJ65" s="98">
        <v>435</v>
      </c>
      <c r="AK65" s="98">
        <v>467</v>
      </c>
    </row>
    <row r="66" spans="1:37" s="98" customFormat="1" ht="15.75">
      <c r="A66" s="98" t="s">
        <v>44</v>
      </c>
      <c r="B66" s="98">
        <v>2924</v>
      </c>
      <c r="C66" s="98">
        <v>991</v>
      </c>
      <c r="D66" s="98">
        <v>1.89</v>
      </c>
      <c r="E66" s="98">
        <v>7.55</v>
      </c>
      <c r="F66" s="98">
        <v>447</v>
      </c>
      <c r="G66" s="98">
        <v>479</v>
      </c>
      <c r="H66" s="98">
        <v>2924</v>
      </c>
      <c r="I66" s="98">
        <v>991</v>
      </c>
      <c r="J66" s="98">
        <v>1.89</v>
      </c>
      <c r="K66" s="98">
        <v>7.55</v>
      </c>
      <c r="L66" s="98">
        <v>447</v>
      </c>
      <c r="M66" s="98">
        <v>479</v>
      </c>
      <c r="N66" s="98">
        <v>2193</v>
      </c>
      <c r="O66" s="98">
        <v>743</v>
      </c>
      <c r="P66" s="98">
        <v>1.42</v>
      </c>
      <c r="Q66" s="98">
        <v>5.66</v>
      </c>
      <c r="R66" s="98">
        <v>383</v>
      </c>
      <c r="S66" s="98">
        <v>411</v>
      </c>
      <c r="T66" s="98">
        <v>1462</v>
      </c>
      <c r="U66" s="98">
        <v>495</v>
      </c>
      <c r="V66" s="98">
        <v>0.94</v>
      </c>
      <c r="W66" s="98">
        <v>3.77</v>
      </c>
      <c r="X66" s="98">
        <v>256</v>
      </c>
      <c r="Y66" s="98">
        <v>274</v>
      </c>
      <c r="Z66" s="98">
        <v>1462</v>
      </c>
      <c r="AA66" s="98">
        <v>495</v>
      </c>
      <c r="AB66" s="98">
        <v>0.94</v>
      </c>
      <c r="AC66" s="98">
        <v>3.77</v>
      </c>
      <c r="AD66" s="98">
        <v>256</v>
      </c>
      <c r="AE66" s="98">
        <v>274</v>
      </c>
      <c r="AF66" s="98">
        <v>1509</v>
      </c>
      <c r="AG66" s="98">
        <v>542</v>
      </c>
      <c r="AH66" s="98">
        <v>1.13</v>
      </c>
      <c r="AI66" s="98">
        <v>5.66</v>
      </c>
      <c r="AJ66" s="98">
        <v>286</v>
      </c>
      <c r="AK66" s="98">
        <v>306</v>
      </c>
    </row>
    <row r="67" spans="1:37" s="98" customFormat="1" ht="15.75">
      <c r="A67" s="98" t="s">
        <v>74</v>
      </c>
      <c r="B67" s="98">
        <v>2275</v>
      </c>
      <c r="C67" s="98">
        <v>943</v>
      </c>
      <c r="D67" s="98">
        <v>1.89</v>
      </c>
      <c r="E67" s="98">
        <v>7.55</v>
      </c>
      <c r="F67" s="98">
        <v>447</v>
      </c>
      <c r="G67" s="98">
        <v>479</v>
      </c>
      <c r="H67" s="98">
        <v>2275</v>
      </c>
      <c r="I67" s="98">
        <v>943</v>
      </c>
      <c r="J67" s="98">
        <v>1.89</v>
      </c>
      <c r="K67" s="98">
        <v>7.55</v>
      </c>
      <c r="L67" s="98">
        <v>447</v>
      </c>
      <c r="M67" s="98">
        <v>479</v>
      </c>
      <c r="N67" s="98">
        <v>1706</v>
      </c>
      <c r="O67" s="98">
        <v>708</v>
      </c>
      <c r="P67" s="98">
        <v>1.42</v>
      </c>
      <c r="Q67" s="98">
        <v>5.66</v>
      </c>
      <c r="R67" s="98">
        <v>383</v>
      </c>
      <c r="S67" s="98">
        <v>411</v>
      </c>
      <c r="T67" s="98">
        <v>1038</v>
      </c>
      <c r="U67" s="98">
        <v>472</v>
      </c>
      <c r="V67" s="98">
        <v>0.94</v>
      </c>
      <c r="W67" s="98">
        <v>3.77</v>
      </c>
      <c r="X67" s="98">
        <v>256</v>
      </c>
      <c r="Y67" s="98">
        <v>274</v>
      </c>
      <c r="Z67" s="98">
        <v>1038</v>
      </c>
      <c r="AA67" s="98">
        <v>472</v>
      </c>
      <c r="AB67" s="98">
        <v>0.94</v>
      </c>
      <c r="AC67" s="98">
        <v>3.77</v>
      </c>
      <c r="AD67" s="98">
        <v>256</v>
      </c>
      <c r="AE67" s="98">
        <v>274</v>
      </c>
      <c r="AF67" s="98">
        <v>1038</v>
      </c>
      <c r="AG67" s="98">
        <v>472</v>
      </c>
      <c r="AH67" s="98">
        <v>1.13</v>
      </c>
      <c r="AI67" s="98">
        <v>5.66</v>
      </c>
      <c r="AJ67" s="98">
        <v>286</v>
      </c>
      <c r="AK67" s="98">
        <v>306</v>
      </c>
    </row>
    <row r="68" spans="1:37" s="98" customFormat="1" ht="15.75">
      <c r="A68" s="98" t="s">
        <v>45</v>
      </c>
      <c r="B68" s="98">
        <v>2641</v>
      </c>
      <c r="C68" s="98">
        <v>943</v>
      </c>
      <c r="D68" s="98">
        <v>1.89</v>
      </c>
      <c r="E68" s="98">
        <v>7.55</v>
      </c>
      <c r="F68" s="98">
        <v>447</v>
      </c>
      <c r="G68" s="98">
        <v>479</v>
      </c>
      <c r="H68" s="98">
        <v>2641</v>
      </c>
      <c r="I68" s="98">
        <v>943</v>
      </c>
      <c r="J68" s="98">
        <v>1.89</v>
      </c>
      <c r="K68" s="98">
        <v>7.55</v>
      </c>
      <c r="L68" s="98">
        <v>447</v>
      </c>
      <c r="M68" s="98">
        <v>479</v>
      </c>
      <c r="N68" s="98">
        <v>1981</v>
      </c>
      <c r="O68" s="98">
        <v>708</v>
      </c>
      <c r="P68" s="98">
        <v>1.42</v>
      </c>
      <c r="Q68" s="98">
        <v>5.66</v>
      </c>
      <c r="R68" s="98">
        <v>383</v>
      </c>
      <c r="S68" s="98">
        <v>411</v>
      </c>
      <c r="T68" s="98">
        <v>1300</v>
      </c>
      <c r="U68" s="98">
        <v>472</v>
      </c>
      <c r="V68" s="98">
        <v>0.94</v>
      </c>
      <c r="W68" s="98">
        <v>3.77</v>
      </c>
      <c r="X68" s="98">
        <v>256</v>
      </c>
      <c r="Y68" s="98">
        <v>274</v>
      </c>
      <c r="Z68" s="98">
        <v>1300</v>
      </c>
      <c r="AA68" s="98">
        <v>472</v>
      </c>
      <c r="AB68" s="98">
        <v>0.94</v>
      </c>
      <c r="AC68" s="98">
        <v>3.77</v>
      </c>
      <c r="AD68" s="98">
        <v>256</v>
      </c>
      <c r="AE68" s="98">
        <v>274</v>
      </c>
      <c r="AF68" s="98">
        <v>1300</v>
      </c>
      <c r="AG68" s="98">
        <v>472</v>
      </c>
      <c r="AH68" s="98">
        <v>1.13</v>
      </c>
      <c r="AI68" s="98">
        <v>5.66</v>
      </c>
      <c r="AJ68" s="98">
        <v>307</v>
      </c>
      <c r="AK68" s="98">
        <v>329</v>
      </c>
    </row>
    <row r="69" spans="1:37" s="98" customFormat="1" ht="15.75">
      <c r="A69" s="98" t="s">
        <v>46</v>
      </c>
      <c r="B69" s="98">
        <v>1750</v>
      </c>
      <c r="C69" s="98">
        <v>708</v>
      </c>
      <c r="D69" s="98">
        <v>1.89</v>
      </c>
      <c r="E69" s="98">
        <v>7.55</v>
      </c>
      <c r="F69" s="98">
        <v>447</v>
      </c>
      <c r="G69" s="98">
        <v>479</v>
      </c>
      <c r="H69" s="98">
        <v>1750</v>
      </c>
      <c r="I69" s="98">
        <v>708</v>
      </c>
      <c r="J69" s="98">
        <v>1.89</v>
      </c>
      <c r="K69" s="98">
        <v>7.55</v>
      </c>
      <c r="L69" s="98">
        <v>447</v>
      </c>
      <c r="M69" s="98">
        <v>479</v>
      </c>
      <c r="N69" s="98">
        <v>1313</v>
      </c>
      <c r="O69" s="98">
        <v>531</v>
      </c>
      <c r="P69" s="98">
        <v>1.42</v>
      </c>
      <c r="Q69" s="98">
        <v>5.66</v>
      </c>
      <c r="R69" s="98">
        <v>383</v>
      </c>
      <c r="S69" s="98">
        <v>411</v>
      </c>
      <c r="T69" s="98">
        <v>802</v>
      </c>
      <c r="U69" s="98">
        <v>354</v>
      </c>
      <c r="V69" s="98">
        <v>0.94</v>
      </c>
      <c r="W69" s="98">
        <v>3.77</v>
      </c>
      <c r="X69" s="98">
        <v>256</v>
      </c>
      <c r="Y69" s="98">
        <v>274</v>
      </c>
      <c r="Z69" s="98">
        <v>802</v>
      </c>
      <c r="AA69" s="98">
        <v>354</v>
      </c>
      <c r="AB69" s="98">
        <v>0.94</v>
      </c>
      <c r="AC69" s="98">
        <v>3.77</v>
      </c>
      <c r="AD69" s="98">
        <v>256</v>
      </c>
      <c r="AE69" s="98">
        <v>274</v>
      </c>
      <c r="AF69" s="98">
        <v>755</v>
      </c>
      <c r="AG69" s="98">
        <v>377</v>
      </c>
      <c r="AH69" s="98">
        <v>1.13</v>
      </c>
      <c r="AI69" s="98">
        <v>5.66</v>
      </c>
      <c r="AJ69" s="98">
        <v>260</v>
      </c>
      <c r="AK69" s="98">
        <v>279</v>
      </c>
    </row>
    <row r="70" spans="1:37" s="98" customFormat="1" ht="15.75">
      <c r="A70" s="98" t="s">
        <v>47</v>
      </c>
      <c r="B70" s="98">
        <v>1750</v>
      </c>
      <c r="C70" s="98">
        <v>708</v>
      </c>
      <c r="D70" s="98">
        <v>1.89</v>
      </c>
      <c r="E70" s="98">
        <v>7.55</v>
      </c>
      <c r="F70" s="98">
        <v>447</v>
      </c>
      <c r="G70" s="98">
        <v>479</v>
      </c>
      <c r="H70" s="98">
        <v>1750</v>
      </c>
      <c r="I70" s="98">
        <v>708</v>
      </c>
      <c r="J70" s="98">
        <v>1.89</v>
      </c>
      <c r="K70" s="98">
        <v>7.55</v>
      </c>
      <c r="L70" s="98">
        <v>447</v>
      </c>
      <c r="M70" s="98">
        <v>479</v>
      </c>
      <c r="N70" s="98">
        <v>1313</v>
      </c>
      <c r="O70" s="98">
        <v>531</v>
      </c>
      <c r="P70" s="98">
        <v>1.42</v>
      </c>
      <c r="Q70" s="98">
        <v>5.66</v>
      </c>
      <c r="R70" s="98">
        <v>383</v>
      </c>
      <c r="S70" s="98">
        <v>411</v>
      </c>
      <c r="T70" s="98">
        <v>802</v>
      </c>
      <c r="U70" s="98">
        <v>354</v>
      </c>
      <c r="V70" s="98">
        <v>0.94</v>
      </c>
      <c r="W70" s="98">
        <v>3.77</v>
      </c>
      <c r="X70" s="98">
        <v>256</v>
      </c>
      <c r="Y70" s="98">
        <v>274</v>
      </c>
      <c r="Z70" s="98">
        <v>802</v>
      </c>
      <c r="AA70" s="98">
        <v>354</v>
      </c>
      <c r="AB70" s="98">
        <v>0.94</v>
      </c>
      <c r="AC70" s="98">
        <v>3.77</v>
      </c>
      <c r="AD70" s="98">
        <v>256</v>
      </c>
      <c r="AE70" s="98">
        <v>274</v>
      </c>
      <c r="AF70" s="98">
        <v>802</v>
      </c>
      <c r="AG70" s="98">
        <v>377</v>
      </c>
      <c r="AH70" s="98">
        <v>1.13</v>
      </c>
      <c r="AI70" s="98">
        <v>5.66</v>
      </c>
      <c r="AJ70" s="98">
        <v>260</v>
      </c>
      <c r="AK70" s="98">
        <v>279</v>
      </c>
    </row>
    <row r="71" spans="1:37" s="98" customFormat="1" ht="15.75">
      <c r="A71" s="98" t="s">
        <v>48</v>
      </c>
      <c r="B71" s="98">
        <v>2200</v>
      </c>
      <c r="C71" s="98">
        <v>943</v>
      </c>
      <c r="D71" s="98">
        <v>1.89</v>
      </c>
      <c r="E71" s="98">
        <v>7.55</v>
      </c>
      <c r="F71" s="98">
        <v>447</v>
      </c>
      <c r="G71" s="98">
        <v>479</v>
      </c>
      <c r="H71" s="98">
        <v>2200</v>
      </c>
      <c r="I71" s="98">
        <v>943</v>
      </c>
      <c r="J71" s="98">
        <v>1.89</v>
      </c>
      <c r="K71" s="98">
        <v>7.55</v>
      </c>
      <c r="L71" s="98">
        <v>447</v>
      </c>
      <c r="M71" s="98">
        <v>479</v>
      </c>
      <c r="N71" s="98">
        <v>1650</v>
      </c>
      <c r="O71" s="98">
        <v>708</v>
      </c>
      <c r="P71" s="98">
        <v>1.42</v>
      </c>
      <c r="Q71" s="98">
        <v>5.66</v>
      </c>
      <c r="R71" s="98">
        <v>383</v>
      </c>
      <c r="S71" s="98">
        <v>411</v>
      </c>
      <c r="T71" s="98">
        <v>1100</v>
      </c>
      <c r="U71" s="98">
        <v>472</v>
      </c>
      <c r="V71" s="98">
        <v>0.94</v>
      </c>
      <c r="W71" s="98">
        <v>3.77</v>
      </c>
      <c r="X71" s="98">
        <v>256</v>
      </c>
      <c r="Y71" s="98">
        <v>274</v>
      </c>
      <c r="Z71" s="98">
        <v>1100</v>
      </c>
      <c r="AA71" s="98">
        <v>472</v>
      </c>
      <c r="AB71" s="98">
        <v>0.94</v>
      </c>
      <c r="AC71" s="98">
        <v>3.77</v>
      </c>
      <c r="AD71" s="98">
        <v>256</v>
      </c>
      <c r="AE71" s="98">
        <v>274</v>
      </c>
      <c r="AF71" s="98">
        <v>1415</v>
      </c>
      <c r="AG71" s="98">
        <v>472</v>
      </c>
      <c r="AH71" s="98">
        <v>1.13</v>
      </c>
      <c r="AI71" s="98">
        <v>5.66</v>
      </c>
      <c r="AJ71" s="98">
        <v>307</v>
      </c>
      <c r="AK71" s="98">
        <v>329</v>
      </c>
    </row>
    <row r="72" spans="1:37" s="98" customFormat="1" ht="15.75">
      <c r="A72" s="98" t="s">
        <v>49</v>
      </c>
      <c r="B72" s="98">
        <v>2200</v>
      </c>
      <c r="C72" s="98">
        <v>943</v>
      </c>
      <c r="D72" s="98">
        <v>1.89</v>
      </c>
      <c r="E72" s="98">
        <v>7.55</v>
      </c>
      <c r="F72" s="98">
        <v>447</v>
      </c>
      <c r="G72" s="98">
        <v>479</v>
      </c>
      <c r="H72" s="98">
        <v>2200</v>
      </c>
      <c r="I72" s="98">
        <v>943</v>
      </c>
      <c r="J72" s="98">
        <v>1.89</v>
      </c>
      <c r="K72" s="98">
        <v>7.55</v>
      </c>
      <c r="L72" s="98">
        <v>447</v>
      </c>
      <c r="M72" s="98">
        <v>479</v>
      </c>
      <c r="N72" s="98">
        <v>1650</v>
      </c>
      <c r="O72" s="98">
        <v>708</v>
      </c>
      <c r="P72" s="98">
        <v>1.42</v>
      </c>
      <c r="Q72" s="98">
        <v>5.66</v>
      </c>
      <c r="R72" s="98">
        <v>383</v>
      </c>
      <c r="S72" s="98">
        <v>411</v>
      </c>
      <c r="T72" s="98">
        <v>943</v>
      </c>
      <c r="U72" s="98">
        <v>472</v>
      </c>
      <c r="V72" s="98">
        <v>0.94</v>
      </c>
      <c r="W72" s="98">
        <v>3.77</v>
      </c>
      <c r="X72" s="98">
        <v>256</v>
      </c>
      <c r="Y72" s="98">
        <v>274</v>
      </c>
      <c r="Z72" s="98">
        <v>943</v>
      </c>
      <c r="AA72" s="98">
        <v>472</v>
      </c>
      <c r="AB72" s="98">
        <v>0.94</v>
      </c>
      <c r="AC72" s="98">
        <v>3.77</v>
      </c>
      <c r="AD72" s="98">
        <v>256</v>
      </c>
      <c r="AE72" s="98">
        <v>274</v>
      </c>
      <c r="AF72" s="98">
        <v>943</v>
      </c>
      <c r="AG72" s="98">
        <v>472</v>
      </c>
      <c r="AH72" s="98">
        <v>1.13</v>
      </c>
      <c r="AI72" s="98">
        <v>5.66</v>
      </c>
      <c r="AJ72" s="98">
        <v>286</v>
      </c>
      <c r="AK72" s="98">
        <v>306</v>
      </c>
    </row>
    <row r="73" spans="1:37" s="98" customFormat="1" ht="15.75">
      <c r="A73" s="98" t="s">
        <v>50</v>
      </c>
      <c r="B73" s="98">
        <v>2453</v>
      </c>
      <c r="C73" s="98">
        <v>943</v>
      </c>
      <c r="D73" s="98">
        <v>1.89</v>
      </c>
      <c r="E73" s="98">
        <v>7.55</v>
      </c>
      <c r="F73" s="98">
        <v>447</v>
      </c>
      <c r="G73" s="98">
        <v>479</v>
      </c>
      <c r="H73" s="98">
        <v>2453</v>
      </c>
      <c r="I73" s="98">
        <v>943</v>
      </c>
      <c r="J73" s="98">
        <v>1.89</v>
      </c>
      <c r="K73" s="98">
        <v>7.55</v>
      </c>
      <c r="L73" s="98">
        <v>447</v>
      </c>
      <c r="M73" s="98">
        <v>479</v>
      </c>
      <c r="N73" s="98">
        <v>1840</v>
      </c>
      <c r="O73" s="98">
        <v>708</v>
      </c>
      <c r="P73" s="98">
        <v>1.42</v>
      </c>
      <c r="Q73" s="98">
        <v>5.66</v>
      </c>
      <c r="R73" s="98">
        <v>383</v>
      </c>
      <c r="S73" s="98">
        <v>411</v>
      </c>
      <c r="T73" s="98">
        <v>1132</v>
      </c>
      <c r="U73" s="98">
        <v>472</v>
      </c>
      <c r="V73" s="98">
        <v>0.94</v>
      </c>
      <c r="W73" s="98">
        <v>3.77</v>
      </c>
      <c r="X73" s="98">
        <v>256</v>
      </c>
      <c r="Y73" s="98">
        <v>274</v>
      </c>
      <c r="Z73" s="98">
        <v>1132</v>
      </c>
      <c r="AA73" s="98">
        <v>472</v>
      </c>
      <c r="AB73" s="98">
        <v>0.94</v>
      </c>
      <c r="AC73" s="98">
        <v>3.77</v>
      </c>
      <c r="AD73" s="98">
        <v>256</v>
      </c>
      <c r="AE73" s="98">
        <v>274</v>
      </c>
      <c r="AF73" s="98">
        <v>1132</v>
      </c>
      <c r="AG73" s="98">
        <v>472</v>
      </c>
      <c r="AH73" s="98">
        <v>1.13</v>
      </c>
      <c r="AI73" s="98">
        <v>5.66</v>
      </c>
      <c r="AJ73" s="98">
        <v>286</v>
      </c>
      <c r="AK73" s="98">
        <v>306</v>
      </c>
    </row>
    <row r="74" spans="1:37" s="98" customFormat="1" ht="15.75">
      <c r="A74" s="98" t="s">
        <v>141</v>
      </c>
      <c r="B74" s="98">
        <v>3302</v>
      </c>
      <c r="C74" s="98">
        <v>1132</v>
      </c>
      <c r="D74" s="98">
        <v>1.89</v>
      </c>
      <c r="E74" s="98">
        <v>7.55</v>
      </c>
      <c r="F74" s="98">
        <v>447</v>
      </c>
      <c r="G74" s="98">
        <v>479</v>
      </c>
      <c r="H74" s="98">
        <v>3302</v>
      </c>
      <c r="I74" s="98">
        <v>1132</v>
      </c>
      <c r="J74" s="98">
        <v>1.89</v>
      </c>
      <c r="K74" s="98">
        <v>7.55</v>
      </c>
      <c r="L74" s="98">
        <v>447</v>
      </c>
      <c r="M74" s="98">
        <v>479</v>
      </c>
      <c r="N74" s="98">
        <v>2476</v>
      </c>
      <c r="O74" s="98">
        <v>849</v>
      </c>
      <c r="P74" s="98">
        <v>1.42</v>
      </c>
      <c r="Q74" s="98">
        <v>5.66</v>
      </c>
      <c r="R74" s="98">
        <v>383</v>
      </c>
      <c r="S74" s="98">
        <v>411</v>
      </c>
      <c r="T74" s="98">
        <v>1887</v>
      </c>
      <c r="U74" s="98">
        <v>566</v>
      </c>
      <c r="V74" s="98">
        <v>0.94</v>
      </c>
      <c r="W74" s="98">
        <v>3.77</v>
      </c>
      <c r="X74" s="98">
        <v>256</v>
      </c>
      <c r="Y74" s="98">
        <v>274</v>
      </c>
      <c r="Z74" s="98">
        <v>1887</v>
      </c>
      <c r="AA74" s="98">
        <v>566</v>
      </c>
      <c r="AB74" s="98">
        <v>0.94</v>
      </c>
      <c r="AC74" s="98">
        <v>3.77</v>
      </c>
      <c r="AD74" s="98">
        <v>256</v>
      </c>
      <c r="AE74" s="98">
        <v>274</v>
      </c>
      <c r="AF74" s="98">
        <v>1887</v>
      </c>
      <c r="AG74" s="98">
        <v>613</v>
      </c>
      <c r="AH74" s="98">
        <v>1.13</v>
      </c>
      <c r="AI74" s="98">
        <v>5.66</v>
      </c>
      <c r="AJ74" s="98">
        <v>307</v>
      </c>
      <c r="AK74" s="98">
        <v>329</v>
      </c>
    </row>
    <row r="75" spans="1:37" s="98" customFormat="1" ht="15.75">
      <c r="A75" s="98" t="s">
        <v>142</v>
      </c>
      <c r="B75" s="98">
        <v>3302</v>
      </c>
      <c r="C75" s="98">
        <v>1132</v>
      </c>
      <c r="D75" s="98">
        <v>1.89</v>
      </c>
      <c r="E75" s="98">
        <v>7.55</v>
      </c>
      <c r="F75" s="98">
        <v>447</v>
      </c>
      <c r="G75" s="98">
        <v>479</v>
      </c>
      <c r="H75" s="98">
        <v>3302</v>
      </c>
      <c r="I75" s="98">
        <v>1132</v>
      </c>
      <c r="J75" s="98">
        <v>1.89</v>
      </c>
      <c r="K75" s="98">
        <v>7.55</v>
      </c>
      <c r="L75" s="98">
        <v>447</v>
      </c>
      <c r="M75" s="98">
        <v>479</v>
      </c>
      <c r="N75" s="98">
        <v>2476</v>
      </c>
      <c r="O75" s="98">
        <v>849</v>
      </c>
      <c r="P75" s="98">
        <v>1.42</v>
      </c>
      <c r="Q75" s="98">
        <v>5.66</v>
      </c>
      <c r="R75" s="98">
        <v>383</v>
      </c>
      <c r="S75" s="98">
        <v>411</v>
      </c>
      <c r="T75" s="98">
        <v>1651</v>
      </c>
      <c r="U75" s="98">
        <v>566</v>
      </c>
      <c r="V75" s="98">
        <v>0.94</v>
      </c>
      <c r="W75" s="98">
        <v>3.77</v>
      </c>
      <c r="X75" s="98">
        <v>256</v>
      </c>
      <c r="Y75" s="98">
        <v>274</v>
      </c>
      <c r="Z75" s="98">
        <v>1651</v>
      </c>
      <c r="AA75" s="98">
        <v>566</v>
      </c>
      <c r="AB75" s="98">
        <v>0.94</v>
      </c>
      <c r="AC75" s="98">
        <v>3.77</v>
      </c>
      <c r="AD75" s="98">
        <v>256</v>
      </c>
      <c r="AE75" s="98">
        <v>274</v>
      </c>
      <c r="AF75" s="98">
        <v>1887</v>
      </c>
      <c r="AG75" s="98">
        <v>613</v>
      </c>
      <c r="AH75" s="98">
        <v>1.13</v>
      </c>
      <c r="AI75" s="98">
        <v>5.66</v>
      </c>
      <c r="AJ75" s="98">
        <v>307</v>
      </c>
      <c r="AK75" s="98">
        <v>329</v>
      </c>
    </row>
    <row r="76" s="98" customFormat="1" ht="15.75"/>
    <row r="77" s="98" customFormat="1" ht="15.75">
      <c r="B77" s="98" t="s">
        <v>133</v>
      </c>
    </row>
    <row r="78" spans="2:7" s="98" customFormat="1" ht="15.75">
      <c r="B78" s="98" t="s">
        <v>94</v>
      </c>
      <c r="C78" s="98" t="s">
        <v>134</v>
      </c>
      <c r="D78" s="98" t="s">
        <v>135</v>
      </c>
      <c r="E78" s="98" t="s">
        <v>136</v>
      </c>
      <c r="F78" s="98" t="s">
        <v>137</v>
      </c>
      <c r="G78" s="98" t="s">
        <v>138</v>
      </c>
    </row>
    <row r="79" spans="1:7" s="98" customFormat="1" ht="15.75">
      <c r="A79" s="98" t="s">
        <v>43</v>
      </c>
      <c r="B79" s="98">
        <v>2358</v>
      </c>
      <c r="C79" s="98">
        <v>2358</v>
      </c>
      <c r="D79" s="98">
        <v>1768.5</v>
      </c>
      <c r="E79" s="98">
        <v>1179</v>
      </c>
      <c r="F79" s="98">
        <v>1179</v>
      </c>
      <c r="G79" s="98">
        <v>1312</v>
      </c>
    </row>
    <row r="80" spans="1:7" s="98" customFormat="1" ht="15.75">
      <c r="A80" s="98" t="s">
        <v>44</v>
      </c>
      <c r="B80" s="98">
        <v>1509</v>
      </c>
      <c r="C80" s="98">
        <v>1509</v>
      </c>
      <c r="D80" s="98">
        <v>1131.75</v>
      </c>
      <c r="E80" s="98">
        <v>754.5</v>
      </c>
      <c r="F80" s="98">
        <v>754.5</v>
      </c>
      <c r="G80" s="98">
        <v>802</v>
      </c>
    </row>
    <row r="81" spans="1:7" s="98" customFormat="1" ht="15.75">
      <c r="A81" s="98" t="s">
        <v>74</v>
      </c>
      <c r="B81" s="98">
        <v>1415</v>
      </c>
      <c r="C81" s="98">
        <v>1415</v>
      </c>
      <c r="D81" s="98">
        <v>1061.25</v>
      </c>
      <c r="E81" s="98">
        <v>707.5</v>
      </c>
      <c r="F81" s="98">
        <v>707.5</v>
      </c>
      <c r="G81" s="98">
        <v>519</v>
      </c>
    </row>
    <row r="82" spans="1:7" s="98" customFormat="1" ht="15.75">
      <c r="A82" s="98" t="s">
        <v>45</v>
      </c>
      <c r="B82" s="98">
        <v>1509</v>
      </c>
      <c r="C82" s="98">
        <v>1509</v>
      </c>
      <c r="D82" s="98">
        <v>1131.75</v>
      </c>
      <c r="E82" s="98">
        <v>754.5</v>
      </c>
      <c r="F82" s="98">
        <v>754.5</v>
      </c>
      <c r="G82" s="98">
        <v>802</v>
      </c>
    </row>
    <row r="83" spans="1:7" s="98" customFormat="1" ht="15.75">
      <c r="A83" s="98" t="s">
        <v>46</v>
      </c>
      <c r="B83" s="98">
        <v>1250</v>
      </c>
      <c r="C83" s="98">
        <v>1250</v>
      </c>
      <c r="D83" s="98">
        <v>937.5</v>
      </c>
      <c r="E83" s="98">
        <v>625</v>
      </c>
      <c r="F83" s="98">
        <v>625</v>
      </c>
      <c r="G83" s="98">
        <v>472</v>
      </c>
    </row>
    <row r="84" spans="1:7" s="98" customFormat="1" ht="15.75">
      <c r="A84" s="98" t="s">
        <v>47</v>
      </c>
      <c r="B84" s="98">
        <v>1250</v>
      </c>
      <c r="C84" s="98">
        <v>1250</v>
      </c>
      <c r="D84" s="98">
        <v>937.5</v>
      </c>
      <c r="E84" s="98">
        <v>625</v>
      </c>
      <c r="F84" s="98">
        <v>625</v>
      </c>
      <c r="G84" s="98">
        <v>472</v>
      </c>
    </row>
    <row r="85" spans="1:7" s="98" customFormat="1" ht="15.75">
      <c r="A85" s="98" t="s">
        <v>48</v>
      </c>
      <c r="B85" s="98">
        <v>1415</v>
      </c>
      <c r="C85" s="98">
        <v>1415</v>
      </c>
      <c r="D85" s="98">
        <v>1061.25</v>
      </c>
      <c r="E85" s="98">
        <v>707.5</v>
      </c>
      <c r="F85" s="98">
        <v>707.5</v>
      </c>
      <c r="G85" s="98">
        <v>755</v>
      </c>
    </row>
    <row r="86" spans="1:7" s="98" customFormat="1" ht="15.75">
      <c r="A86" s="98" t="s">
        <v>49</v>
      </c>
      <c r="B86" s="98">
        <v>1415</v>
      </c>
      <c r="C86" s="98">
        <v>1415</v>
      </c>
      <c r="D86" s="98">
        <v>1061.25</v>
      </c>
      <c r="E86" s="98">
        <v>707.5</v>
      </c>
      <c r="F86" s="98">
        <v>707.5</v>
      </c>
      <c r="G86" s="98">
        <v>566</v>
      </c>
    </row>
    <row r="87" spans="1:7" s="98" customFormat="1" ht="15.75">
      <c r="A87" s="98" t="s">
        <v>50</v>
      </c>
      <c r="B87" s="98">
        <v>1415</v>
      </c>
      <c r="C87" s="98">
        <v>1415</v>
      </c>
      <c r="D87" s="98">
        <v>1061.25</v>
      </c>
      <c r="E87" s="98">
        <v>707.5</v>
      </c>
      <c r="F87" s="98">
        <v>707.5</v>
      </c>
      <c r="G87" s="98">
        <v>660</v>
      </c>
    </row>
    <row r="88" spans="1:7" s="98" customFormat="1" ht="15.75">
      <c r="A88" s="98" t="s">
        <v>141</v>
      </c>
      <c r="B88" s="98">
        <v>1981</v>
      </c>
      <c r="C88" s="98">
        <v>1981</v>
      </c>
      <c r="D88" s="98">
        <v>1485.75</v>
      </c>
      <c r="E88" s="98">
        <v>990.5</v>
      </c>
      <c r="F88" s="98">
        <v>990.5</v>
      </c>
      <c r="G88" s="98">
        <v>1132</v>
      </c>
    </row>
    <row r="89" spans="1:7" s="98" customFormat="1" ht="15.75">
      <c r="A89" s="98" t="s">
        <v>142</v>
      </c>
      <c r="B89" s="98">
        <v>1981</v>
      </c>
      <c r="C89" s="98">
        <v>1981</v>
      </c>
      <c r="D89" s="98">
        <v>1485.75</v>
      </c>
      <c r="E89" s="98">
        <v>990.5</v>
      </c>
      <c r="F89" s="98">
        <v>990.5</v>
      </c>
      <c r="G89" s="98">
        <v>1132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68"/>
  <sheetViews>
    <sheetView zoomScalePageLayoutView="0" workbookViewId="0" topLeftCell="A1">
      <selection activeCell="A30" sqref="A30"/>
    </sheetView>
  </sheetViews>
  <sheetFormatPr defaultColWidth="9.00390625" defaultRowHeight="15"/>
  <cols>
    <col min="1" max="1" width="47.875" style="0" customWidth="1"/>
    <col min="2" max="3" width="9.75390625" style="0" customWidth="1"/>
    <col min="4" max="4" width="16.875" style="0" customWidth="1"/>
    <col min="5" max="7" width="25.25390625" style="0" customWidth="1"/>
  </cols>
  <sheetData>
    <row r="1" spans="2:7" ht="15.75">
      <c r="B1" t="s">
        <v>76</v>
      </c>
      <c r="C1" t="s">
        <v>77</v>
      </c>
      <c r="D1" t="s">
        <v>59</v>
      </c>
      <c r="E1" t="s">
        <v>60</v>
      </c>
      <c r="F1" t="s">
        <v>60</v>
      </c>
      <c r="G1" t="s">
        <v>60</v>
      </c>
    </row>
    <row r="2" spans="1:7" ht="15.75">
      <c r="A2" s="2" t="s">
        <v>26</v>
      </c>
      <c r="B2" s="38">
        <f aca="true" t="shared" si="0" ref="B2:G12">ROUND(B34*0.865,0)</f>
        <v>173</v>
      </c>
      <c r="C2" s="38">
        <f t="shared" si="0"/>
        <v>173</v>
      </c>
      <c r="D2" s="38">
        <f t="shared" si="0"/>
        <v>130</v>
      </c>
      <c r="E2" s="38">
        <f t="shared" si="0"/>
        <v>87</v>
      </c>
      <c r="F2" s="38">
        <f t="shared" si="0"/>
        <v>87</v>
      </c>
      <c r="G2" s="38">
        <f t="shared" si="0"/>
        <v>87</v>
      </c>
    </row>
    <row r="3" spans="1:7" ht="15.75">
      <c r="A3" t="s">
        <v>27</v>
      </c>
      <c r="B3" s="38">
        <f t="shared" si="0"/>
        <v>26</v>
      </c>
      <c r="C3" s="38">
        <f t="shared" si="0"/>
        <v>26</v>
      </c>
      <c r="D3" s="38">
        <f t="shared" si="0"/>
        <v>26</v>
      </c>
      <c r="E3" s="38">
        <f t="shared" si="0"/>
        <v>26</v>
      </c>
      <c r="F3" s="38">
        <f t="shared" si="0"/>
        <v>26</v>
      </c>
      <c r="G3" s="38">
        <f t="shared" si="0"/>
        <v>26</v>
      </c>
    </row>
    <row r="4" spans="1:7" ht="15.75">
      <c r="A4" t="s">
        <v>61</v>
      </c>
      <c r="B4" s="38">
        <f t="shared" si="0"/>
        <v>260</v>
      </c>
      <c r="C4" s="38">
        <f t="shared" si="0"/>
        <v>260</v>
      </c>
      <c r="D4" s="38">
        <f t="shared" si="0"/>
        <v>195</v>
      </c>
      <c r="E4" s="38">
        <f t="shared" si="0"/>
        <v>130</v>
      </c>
      <c r="F4" s="38">
        <f t="shared" si="0"/>
        <v>130</v>
      </c>
      <c r="G4" s="38">
        <f t="shared" si="0"/>
        <v>130</v>
      </c>
    </row>
    <row r="5" spans="1:7" ht="15.75">
      <c r="A5" t="s">
        <v>65</v>
      </c>
      <c r="B5" s="38">
        <f t="shared" si="0"/>
        <v>497</v>
      </c>
      <c r="C5" s="38">
        <f t="shared" si="0"/>
        <v>497</v>
      </c>
      <c r="D5" s="38">
        <f t="shared" si="0"/>
        <v>346</v>
      </c>
      <c r="E5" s="38">
        <f t="shared" si="0"/>
        <v>238</v>
      </c>
      <c r="F5" s="38">
        <f t="shared" si="0"/>
        <v>238</v>
      </c>
      <c r="G5" s="38">
        <f t="shared" si="0"/>
        <v>238</v>
      </c>
    </row>
    <row r="6" spans="1:7" ht="15.75">
      <c r="A6" t="s">
        <v>62</v>
      </c>
      <c r="B6" s="38">
        <f t="shared" si="0"/>
        <v>260</v>
      </c>
      <c r="C6" s="38">
        <f t="shared" si="0"/>
        <v>260</v>
      </c>
      <c r="D6" s="38">
        <f t="shared" si="0"/>
        <v>195</v>
      </c>
      <c r="E6" s="38">
        <f t="shared" si="0"/>
        <v>130</v>
      </c>
      <c r="F6" s="38">
        <f t="shared" si="0"/>
        <v>130</v>
      </c>
      <c r="G6" s="38">
        <f t="shared" si="0"/>
        <v>130</v>
      </c>
    </row>
    <row r="7" spans="1:7" ht="15.75">
      <c r="A7" t="s">
        <v>66</v>
      </c>
      <c r="B7" s="38">
        <f t="shared" si="0"/>
        <v>497</v>
      </c>
      <c r="C7" s="38">
        <f t="shared" si="0"/>
        <v>497</v>
      </c>
      <c r="D7" s="38">
        <f t="shared" si="0"/>
        <v>346</v>
      </c>
      <c r="E7" s="38">
        <f t="shared" si="0"/>
        <v>238</v>
      </c>
      <c r="F7" s="38">
        <f t="shared" si="0"/>
        <v>238</v>
      </c>
      <c r="G7" s="38">
        <f t="shared" si="0"/>
        <v>238</v>
      </c>
    </row>
    <row r="8" spans="1:7" ht="15.75">
      <c r="A8" t="s">
        <v>63</v>
      </c>
      <c r="B8" s="38">
        <f t="shared" si="0"/>
        <v>260</v>
      </c>
      <c r="C8" s="38">
        <f t="shared" si="0"/>
        <v>260</v>
      </c>
      <c r="D8" s="38">
        <f t="shared" si="0"/>
        <v>195</v>
      </c>
      <c r="E8" s="38">
        <f t="shared" si="0"/>
        <v>130</v>
      </c>
      <c r="F8" s="38">
        <f t="shared" si="0"/>
        <v>130</v>
      </c>
      <c r="G8" s="38">
        <f t="shared" si="0"/>
        <v>130</v>
      </c>
    </row>
    <row r="9" spans="1:7" ht="15.75">
      <c r="A9" t="s">
        <v>67</v>
      </c>
      <c r="B9" s="38">
        <f t="shared" si="0"/>
        <v>497</v>
      </c>
      <c r="C9" s="38">
        <f t="shared" si="0"/>
        <v>497</v>
      </c>
      <c r="D9" s="38">
        <f t="shared" si="0"/>
        <v>346</v>
      </c>
      <c r="E9" s="38">
        <f t="shared" si="0"/>
        <v>238</v>
      </c>
      <c r="F9" s="38">
        <f t="shared" si="0"/>
        <v>238</v>
      </c>
      <c r="G9" s="38">
        <f t="shared" si="0"/>
        <v>238</v>
      </c>
    </row>
    <row r="10" spans="1:7" ht="15.75">
      <c r="A10" t="s">
        <v>64</v>
      </c>
      <c r="B10" s="38">
        <f t="shared" si="0"/>
        <v>260</v>
      </c>
      <c r="C10" s="38">
        <f t="shared" si="0"/>
        <v>260</v>
      </c>
      <c r="D10" s="38">
        <f t="shared" si="0"/>
        <v>195</v>
      </c>
      <c r="E10" s="38">
        <f t="shared" si="0"/>
        <v>130</v>
      </c>
      <c r="F10" s="38">
        <f t="shared" si="0"/>
        <v>130</v>
      </c>
      <c r="G10" s="38">
        <f t="shared" si="0"/>
        <v>130</v>
      </c>
    </row>
    <row r="11" spans="1:7" ht="15.75">
      <c r="A11" t="s">
        <v>68</v>
      </c>
      <c r="B11" s="38">
        <f t="shared" si="0"/>
        <v>497</v>
      </c>
      <c r="C11" s="38">
        <f t="shared" si="0"/>
        <v>497</v>
      </c>
      <c r="D11" s="38">
        <f t="shared" si="0"/>
        <v>346</v>
      </c>
      <c r="E11" s="38">
        <f t="shared" si="0"/>
        <v>238</v>
      </c>
      <c r="F11" s="38">
        <f t="shared" si="0"/>
        <v>238</v>
      </c>
      <c r="G11" s="38">
        <f t="shared" si="0"/>
        <v>238</v>
      </c>
    </row>
    <row r="12" spans="1:7" ht="15.75">
      <c r="A12" t="s">
        <v>28</v>
      </c>
      <c r="B12" s="38">
        <f t="shared" si="0"/>
        <v>324</v>
      </c>
      <c r="C12" s="38">
        <f t="shared" si="0"/>
        <v>324</v>
      </c>
      <c r="D12" s="38">
        <f t="shared" si="0"/>
        <v>238</v>
      </c>
      <c r="E12" s="38">
        <f t="shared" si="0"/>
        <v>173</v>
      </c>
      <c r="F12" s="38">
        <f t="shared" si="0"/>
        <v>173</v>
      </c>
      <c r="G12" s="38">
        <f t="shared" si="0"/>
        <v>173</v>
      </c>
    </row>
    <row r="13" spans="1:7" ht="15.75">
      <c r="A13" s="35" t="s">
        <v>243</v>
      </c>
      <c r="B13" s="38">
        <f aca="true" t="shared" si="1" ref="B13:G13">ROUND(B45*0.865*0.2,0)</f>
        <v>52</v>
      </c>
      <c r="C13" s="38">
        <f t="shared" si="1"/>
        <v>52</v>
      </c>
      <c r="D13" s="38">
        <f t="shared" si="1"/>
        <v>35</v>
      </c>
      <c r="E13" s="38">
        <f t="shared" si="1"/>
        <v>22</v>
      </c>
      <c r="F13" s="38">
        <f t="shared" si="1"/>
        <v>22</v>
      </c>
      <c r="G13" s="38">
        <f t="shared" si="1"/>
        <v>22</v>
      </c>
    </row>
    <row r="14" spans="1:7" ht="15.75">
      <c r="A14" t="s">
        <v>29</v>
      </c>
      <c r="B14" s="38">
        <f aca="true" t="shared" si="2" ref="B14:G24">ROUND(B46*0.865,0)</f>
        <v>281</v>
      </c>
      <c r="C14" s="38">
        <f t="shared" si="2"/>
        <v>281</v>
      </c>
      <c r="D14" s="38">
        <f t="shared" si="2"/>
        <v>195</v>
      </c>
      <c r="E14" s="38">
        <f t="shared" si="2"/>
        <v>130</v>
      </c>
      <c r="F14" s="38">
        <f t="shared" si="2"/>
        <v>130</v>
      </c>
      <c r="G14" s="38">
        <f t="shared" si="2"/>
        <v>130</v>
      </c>
    </row>
    <row r="15" spans="1:7" ht="15.75">
      <c r="A15" t="s">
        <v>30</v>
      </c>
      <c r="B15" s="38">
        <f t="shared" si="2"/>
        <v>74</v>
      </c>
      <c r="C15" s="38">
        <f t="shared" si="2"/>
        <v>74</v>
      </c>
      <c r="D15" s="38">
        <f t="shared" si="2"/>
        <v>56</v>
      </c>
      <c r="E15" s="38">
        <f t="shared" si="2"/>
        <v>39</v>
      </c>
      <c r="F15" s="38">
        <f t="shared" si="2"/>
        <v>39</v>
      </c>
      <c r="G15" s="38">
        <f t="shared" si="2"/>
        <v>39</v>
      </c>
    </row>
    <row r="16" spans="1:7" ht="15.75">
      <c r="A16" t="s">
        <v>31</v>
      </c>
      <c r="B16" s="38">
        <f t="shared" si="2"/>
        <v>74</v>
      </c>
      <c r="C16" s="38">
        <f t="shared" si="2"/>
        <v>74</v>
      </c>
      <c r="D16" s="38">
        <f t="shared" si="2"/>
        <v>56</v>
      </c>
      <c r="E16" s="38">
        <f t="shared" si="2"/>
        <v>39</v>
      </c>
      <c r="F16" s="38">
        <f t="shared" si="2"/>
        <v>39</v>
      </c>
      <c r="G16" s="38">
        <f t="shared" si="2"/>
        <v>39</v>
      </c>
    </row>
    <row r="17" spans="1:7" ht="15.75">
      <c r="A17" s="2" t="s">
        <v>139</v>
      </c>
      <c r="B17" s="38">
        <f t="shared" si="2"/>
        <v>74</v>
      </c>
      <c r="C17" s="38">
        <f t="shared" si="2"/>
        <v>74</v>
      </c>
      <c r="D17" s="38">
        <f t="shared" si="2"/>
        <v>56</v>
      </c>
      <c r="E17" s="38">
        <f t="shared" si="2"/>
        <v>39</v>
      </c>
      <c r="F17" s="38">
        <f t="shared" si="2"/>
        <v>39</v>
      </c>
      <c r="G17" s="38">
        <f t="shared" si="2"/>
        <v>39</v>
      </c>
    </row>
    <row r="18" spans="1:7" ht="15.75">
      <c r="A18" t="s">
        <v>32</v>
      </c>
      <c r="B18" s="38">
        <f t="shared" si="2"/>
        <v>260</v>
      </c>
      <c r="C18" s="38">
        <f t="shared" si="2"/>
        <v>260</v>
      </c>
      <c r="D18" s="38">
        <f t="shared" si="2"/>
        <v>195</v>
      </c>
      <c r="E18" s="38">
        <f t="shared" si="2"/>
        <v>130</v>
      </c>
      <c r="F18" s="38">
        <f t="shared" si="2"/>
        <v>130</v>
      </c>
      <c r="G18" s="38">
        <f t="shared" si="2"/>
        <v>130</v>
      </c>
    </row>
    <row r="19" spans="1:7" ht="15.75">
      <c r="A19" t="s">
        <v>33</v>
      </c>
      <c r="B19" s="38">
        <f t="shared" si="2"/>
        <v>216</v>
      </c>
      <c r="C19" s="38">
        <f t="shared" si="2"/>
        <v>216</v>
      </c>
      <c r="D19" s="38">
        <f t="shared" si="2"/>
        <v>151</v>
      </c>
      <c r="E19" s="38">
        <f t="shared" si="2"/>
        <v>108</v>
      </c>
      <c r="F19" s="38">
        <f t="shared" si="2"/>
        <v>108</v>
      </c>
      <c r="G19" s="38">
        <f t="shared" si="2"/>
        <v>108</v>
      </c>
    </row>
    <row r="20" spans="1:7" ht="15.75">
      <c r="A20" t="s">
        <v>34</v>
      </c>
      <c r="B20" s="38">
        <f t="shared" si="2"/>
        <v>216</v>
      </c>
      <c r="C20" s="38">
        <f t="shared" si="2"/>
        <v>216</v>
      </c>
      <c r="D20" s="38">
        <f t="shared" si="2"/>
        <v>151</v>
      </c>
      <c r="E20" s="38">
        <f t="shared" si="2"/>
        <v>108</v>
      </c>
      <c r="F20" s="38">
        <f t="shared" si="2"/>
        <v>108</v>
      </c>
      <c r="G20" s="38">
        <f t="shared" si="2"/>
        <v>108</v>
      </c>
    </row>
    <row r="21" spans="1:7" ht="15.75">
      <c r="A21" t="s">
        <v>35</v>
      </c>
      <c r="B21" s="38">
        <f t="shared" si="2"/>
        <v>260</v>
      </c>
      <c r="C21" s="38">
        <f t="shared" si="2"/>
        <v>260</v>
      </c>
      <c r="D21" s="38">
        <f t="shared" si="2"/>
        <v>195</v>
      </c>
      <c r="E21" s="38">
        <f t="shared" si="2"/>
        <v>130</v>
      </c>
      <c r="F21" s="38">
        <f t="shared" si="2"/>
        <v>130</v>
      </c>
      <c r="G21" s="38">
        <f t="shared" si="2"/>
        <v>130</v>
      </c>
    </row>
    <row r="22" spans="1:7" ht="15.75">
      <c r="A22" t="s">
        <v>78</v>
      </c>
      <c r="B22" s="38">
        <f t="shared" si="2"/>
        <v>74</v>
      </c>
      <c r="C22" s="38">
        <f t="shared" si="2"/>
        <v>74</v>
      </c>
      <c r="D22" s="38">
        <f t="shared" si="2"/>
        <v>56</v>
      </c>
      <c r="E22" s="38">
        <f t="shared" si="2"/>
        <v>39</v>
      </c>
      <c r="F22" s="38">
        <f t="shared" si="2"/>
        <v>39</v>
      </c>
      <c r="G22" s="38">
        <f t="shared" si="2"/>
        <v>39</v>
      </c>
    </row>
    <row r="23" spans="1:7" ht="15.75">
      <c r="A23" t="s">
        <v>79</v>
      </c>
      <c r="B23" s="38">
        <f t="shared" si="2"/>
        <v>74</v>
      </c>
      <c r="C23" s="38">
        <f t="shared" si="2"/>
        <v>74</v>
      </c>
      <c r="D23" s="38">
        <f t="shared" si="2"/>
        <v>56</v>
      </c>
      <c r="E23" s="38">
        <f t="shared" si="2"/>
        <v>39</v>
      </c>
      <c r="F23" s="38">
        <f t="shared" si="2"/>
        <v>39</v>
      </c>
      <c r="G23" s="38">
        <f t="shared" si="2"/>
        <v>39</v>
      </c>
    </row>
    <row r="24" spans="1:7" ht="15.75">
      <c r="A24" t="s">
        <v>36</v>
      </c>
      <c r="B24" s="38">
        <f t="shared" si="2"/>
        <v>0</v>
      </c>
      <c r="C24" s="38">
        <f t="shared" si="2"/>
        <v>0</v>
      </c>
      <c r="D24" s="38">
        <f t="shared" si="2"/>
        <v>0</v>
      </c>
      <c r="E24" s="38">
        <f t="shared" si="2"/>
        <v>108</v>
      </c>
      <c r="F24" s="38">
        <f t="shared" si="2"/>
        <v>108</v>
      </c>
      <c r="G24" s="38">
        <f t="shared" si="2"/>
        <v>108</v>
      </c>
    </row>
    <row r="25" spans="1:7" ht="15.75">
      <c r="A25" t="s">
        <v>130</v>
      </c>
      <c r="B25" s="38">
        <f aca="true" t="shared" si="3" ref="B25:G26">ROUND(B57*0.865,0)</f>
        <v>260</v>
      </c>
      <c r="C25" s="38">
        <f t="shared" si="3"/>
        <v>260</v>
      </c>
      <c r="D25" s="38">
        <f t="shared" si="3"/>
        <v>195</v>
      </c>
      <c r="E25" s="38">
        <f t="shared" si="3"/>
        <v>130</v>
      </c>
      <c r="F25" s="38">
        <f t="shared" si="3"/>
        <v>130</v>
      </c>
      <c r="G25" s="38">
        <f t="shared" si="3"/>
        <v>130</v>
      </c>
    </row>
    <row r="26" spans="1:7" ht="15.75">
      <c r="A26" s="5" t="s">
        <v>131</v>
      </c>
      <c r="B26" s="38">
        <f t="shared" si="3"/>
        <v>151</v>
      </c>
      <c r="C26" s="38">
        <f t="shared" si="3"/>
        <v>151</v>
      </c>
      <c r="D26" s="38">
        <f t="shared" si="3"/>
        <v>108</v>
      </c>
      <c r="E26" s="38">
        <f t="shared" si="3"/>
        <v>87</v>
      </c>
      <c r="F26" s="38">
        <f t="shared" si="3"/>
        <v>87</v>
      </c>
      <c r="G26" s="38">
        <f t="shared" si="3"/>
        <v>87</v>
      </c>
    </row>
    <row r="27" spans="1:2" ht="15.75">
      <c r="A27" s="35"/>
      <c r="B27" s="5"/>
    </row>
    <row r="28" spans="1:2" ht="15.75">
      <c r="A28" s="10"/>
      <c r="B28" s="5"/>
    </row>
    <row r="29" spans="1:2" ht="15.75">
      <c r="A29" s="10"/>
      <c r="B29" s="5"/>
    </row>
    <row r="30" spans="1:2" ht="15.75">
      <c r="A30" s="33"/>
      <c r="B30" s="70"/>
    </row>
    <row r="31" spans="1:2" ht="15.75">
      <c r="A31" s="10"/>
      <c r="B31" s="5"/>
    </row>
    <row r="32" spans="1:7" ht="15.75">
      <c r="A32" s="104" t="s">
        <v>242</v>
      </c>
      <c r="B32" s="104" t="s">
        <v>242</v>
      </c>
      <c r="C32" s="104" t="s">
        <v>242</v>
      </c>
      <c r="D32" s="104" t="s">
        <v>242</v>
      </c>
      <c r="E32" s="104" t="s">
        <v>242</v>
      </c>
      <c r="F32" s="104" t="s">
        <v>242</v>
      </c>
      <c r="G32" s="104" t="s">
        <v>242</v>
      </c>
    </row>
    <row r="33" spans="2:7" s="100" customFormat="1" ht="15.75">
      <c r="B33" s="100" t="s">
        <v>76</v>
      </c>
      <c r="C33" s="100" t="s">
        <v>77</v>
      </c>
      <c r="D33" s="100" t="s">
        <v>59</v>
      </c>
      <c r="E33" s="100" t="s">
        <v>60</v>
      </c>
      <c r="F33" s="100" t="s">
        <v>60</v>
      </c>
      <c r="G33" s="100" t="s">
        <v>60</v>
      </c>
    </row>
    <row r="34" spans="1:7" s="100" customFormat="1" ht="15.75">
      <c r="A34" s="101" t="s">
        <v>26</v>
      </c>
      <c r="B34" s="102">
        <v>200</v>
      </c>
      <c r="C34" s="102">
        <v>200</v>
      </c>
      <c r="D34" s="102">
        <v>150</v>
      </c>
      <c r="E34" s="102">
        <v>100</v>
      </c>
      <c r="F34" s="102">
        <v>100</v>
      </c>
      <c r="G34" s="102">
        <v>100</v>
      </c>
    </row>
    <row r="35" spans="1:7" s="100" customFormat="1" ht="15.75">
      <c r="A35" s="100" t="s">
        <v>27</v>
      </c>
      <c r="B35" s="102">
        <v>30</v>
      </c>
      <c r="C35" s="102">
        <v>30</v>
      </c>
      <c r="D35" s="102">
        <v>30</v>
      </c>
      <c r="E35" s="102">
        <v>30</v>
      </c>
      <c r="F35" s="102">
        <v>30</v>
      </c>
      <c r="G35" s="102">
        <v>30</v>
      </c>
    </row>
    <row r="36" spans="1:7" s="100" customFormat="1" ht="15.75">
      <c r="A36" s="100" t="s">
        <v>61</v>
      </c>
      <c r="B36" s="102">
        <v>300</v>
      </c>
      <c r="C36" s="102">
        <v>300</v>
      </c>
      <c r="D36" s="102">
        <v>225</v>
      </c>
      <c r="E36" s="102">
        <v>150</v>
      </c>
      <c r="F36" s="102">
        <v>150</v>
      </c>
      <c r="G36" s="102">
        <v>150</v>
      </c>
    </row>
    <row r="37" spans="1:7" s="100" customFormat="1" ht="15.75">
      <c r="A37" s="100" t="s">
        <v>65</v>
      </c>
      <c r="B37" s="102">
        <v>575</v>
      </c>
      <c r="C37" s="102">
        <v>575</v>
      </c>
      <c r="D37" s="102">
        <v>400</v>
      </c>
      <c r="E37" s="102">
        <v>275</v>
      </c>
      <c r="F37" s="102">
        <v>275</v>
      </c>
      <c r="G37" s="102">
        <v>275</v>
      </c>
    </row>
    <row r="38" spans="1:7" s="100" customFormat="1" ht="15.75">
      <c r="A38" s="100" t="s">
        <v>62</v>
      </c>
      <c r="B38" s="102">
        <v>300</v>
      </c>
      <c r="C38" s="102">
        <v>300</v>
      </c>
      <c r="D38" s="102">
        <v>225</v>
      </c>
      <c r="E38" s="102">
        <v>150</v>
      </c>
      <c r="F38" s="102">
        <v>150</v>
      </c>
      <c r="G38" s="102">
        <v>150</v>
      </c>
    </row>
    <row r="39" spans="1:7" s="100" customFormat="1" ht="15.75">
      <c r="A39" s="100" t="s">
        <v>66</v>
      </c>
      <c r="B39" s="102">
        <v>575</v>
      </c>
      <c r="C39" s="102">
        <v>575</v>
      </c>
      <c r="D39" s="102">
        <v>400</v>
      </c>
      <c r="E39" s="102">
        <v>275</v>
      </c>
      <c r="F39" s="102">
        <v>275</v>
      </c>
      <c r="G39" s="102">
        <v>275</v>
      </c>
    </row>
    <row r="40" spans="1:7" s="100" customFormat="1" ht="15.75">
      <c r="A40" s="100" t="s">
        <v>63</v>
      </c>
      <c r="B40" s="102">
        <v>300</v>
      </c>
      <c r="C40" s="102">
        <v>300</v>
      </c>
      <c r="D40" s="102">
        <v>225</v>
      </c>
      <c r="E40" s="102">
        <v>150</v>
      </c>
      <c r="F40" s="102">
        <v>150</v>
      </c>
      <c r="G40" s="102">
        <v>150</v>
      </c>
    </row>
    <row r="41" spans="1:7" s="100" customFormat="1" ht="15.75">
      <c r="A41" s="100" t="s">
        <v>67</v>
      </c>
      <c r="B41" s="102">
        <v>575</v>
      </c>
      <c r="C41" s="102">
        <v>575</v>
      </c>
      <c r="D41" s="102">
        <v>400</v>
      </c>
      <c r="E41" s="102">
        <v>275</v>
      </c>
      <c r="F41" s="102">
        <v>275</v>
      </c>
      <c r="G41" s="102">
        <v>275</v>
      </c>
    </row>
    <row r="42" spans="1:7" s="100" customFormat="1" ht="15.75">
      <c r="A42" s="100" t="s">
        <v>64</v>
      </c>
      <c r="B42" s="102">
        <v>300</v>
      </c>
      <c r="C42" s="102">
        <v>300</v>
      </c>
      <c r="D42" s="102">
        <v>225</v>
      </c>
      <c r="E42" s="102">
        <v>150</v>
      </c>
      <c r="F42" s="102">
        <v>150</v>
      </c>
      <c r="G42" s="102">
        <v>150</v>
      </c>
    </row>
    <row r="43" spans="1:7" s="100" customFormat="1" ht="15.75">
      <c r="A43" s="100" t="s">
        <v>68</v>
      </c>
      <c r="B43" s="102">
        <v>575</v>
      </c>
      <c r="C43" s="102">
        <v>575</v>
      </c>
      <c r="D43" s="102">
        <v>400</v>
      </c>
      <c r="E43" s="102">
        <v>275</v>
      </c>
      <c r="F43" s="102">
        <v>275</v>
      </c>
      <c r="G43" s="102">
        <v>275</v>
      </c>
    </row>
    <row r="44" spans="1:7" s="100" customFormat="1" ht="15.75">
      <c r="A44" s="100" t="s">
        <v>28</v>
      </c>
      <c r="B44" s="102">
        <v>375</v>
      </c>
      <c r="C44" s="102">
        <v>375</v>
      </c>
      <c r="D44" s="102">
        <v>275</v>
      </c>
      <c r="E44" s="102">
        <v>200</v>
      </c>
      <c r="F44" s="102">
        <v>200</v>
      </c>
      <c r="G44" s="102">
        <v>200</v>
      </c>
    </row>
    <row r="45" spans="1:7" s="105" customFormat="1" ht="15.75">
      <c r="A45" s="105" t="s">
        <v>15</v>
      </c>
      <c r="B45" s="106">
        <v>300</v>
      </c>
      <c r="C45" s="106">
        <v>300</v>
      </c>
      <c r="D45" s="106">
        <v>200</v>
      </c>
      <c r="E45" s="106">
        <v>125</v>
      </c>
      <c r="F45" s="106">
        <v>125</v>
      </c>
      <c r="G45" s="106">
        <v>125</v>
      </c>
    </row>
    <row r="46" spans="1:7" s="100" customFormat="1" ht="15.75">
      <c r="A46" s="100" t="s">
        <v>29</v>
      </c>
      <c r="B46" s="102">
        <v>325</v>
      </c>
      <c r="C46" s="102">
        <v>325</v>
      </c>
      <c r="D46" s="102">
        <v>225</v>
      </c>
      <c r="E46" s="102">
        <v>150</v>
      </c>
      <c r="F46" s="102">
        <v>150</v>
      </c>
      <c r="G46" s="102">
        <v>150</v>
      </c>
    </row>
    <row r="47" spans="1:7" s="100" customFormat="1" ht="15.75">
      <c r="A47" s="100" t="s">
        <v>30</v>
      </c>
      <c r="B47" s="102">
        <v>85</v>
      </c>
      <c r="C47" s="102">
        <v>85</v>
      </c>
      <c r="D47" s="102">
        <v>65</v>
      </c>
      <c r="E47" s="102">
        <v>45</v>
      </c>
      <c r="F47" s="102">
        <v>45</v>
      </c>
      <c r="G47" s="102">
        <v>45</v>
      </c>
    </row>
    <row r="48" spans="1:7" s="100" customFormat="1" ht="15.75">
      <c r="A48" s="100" t="s">
        <v>31</v>
      </c>
      <c r="B48" s="102">
        <v>85</v>
      </c>
      <c r="C48" s="102">
        <v>85</v>
      </c>
      <c r="D48" s="102">
        <v>65</v>
      </c>
      <c r="E48" s="102">
        <v>45</v>
      </c>
      <c r="F48" s="102">
        <v>45</v>
      </c>
      <c r="G48" s="102">
        <v>45</v>
      </c>
    </row>
    <row r="49" spans="1:7" s="100" customFormat="1" ht="15.75">
      <c r="A49" s="101" t="s">
        <v>139</v>
      </c>
      <c r="B49" s="102">
        <v>85</v>
      </c>
      <c r="C49" s="102">
        <v>85</v>
      </c>
      <c r="D49" s="102">
        <v>65</v>
      </c>
      <c r="E49" s="102">
        <v>45</v>
      </c>
      <c r="F49" s="102">
        <v>45</v>
      </c>
      <c r="G49" s="102">
        <v>45</v>
      </c>
    </row>
    <row r="50" spans="1:7" s="100" customFormat="1" ht="15.75">
      <c r="A50" s="100" t="s">
        <v>32</v>
      </c>
      <c r="B50" s="102">
        <v>300</v>
      </c>
      <c r="C50" s="102">
        <v>300</v>
      </c>
      <c r="D50" s="102">
        <v>225</v>
      </c>
      <c r="E50" s="102">
        <v>150</v>
      </c>
      <c r="F50" s="102">
        <v>150</v>
      </c>
      <c r="G50" s="102">
        <v>150</v>
      </c>
    </row>
    <row r="51" spans="1:7" s="100" customFormat="1" ht="15.75">
      <c r="A51" s="100" t="s">
        <v>33</v>
      </c>
      <c r="B51" s="102">
        <v>250</v>
      </c>
      <c r="C51" s="102">
        <v>250</v>
      </c>
      <c r="D51" s="102">
        <v>175</v>
      </c>
      <c r="E51" s="102">
        <v>125</v>
      </c>
      <c r="F51" s="102">
        <v>125</v>
      </c>
      <c r="G51" s="102">
        <v>125</v>
      </c>
    </row>
    <row r="52" spans="1:7" s="100" customFormat="1" ht="15.75">
      <c r="A52" s="100" t="s">
        <v>34</v>
      </c>
      <c r="B52" s="102">
        <v>250</v>
      </c>
      <c r="C52" s="102">
        <v>250</v>
      </c>
      <c r="D52" s="102">
        <v>175</v>
      </c>
      <c r="E52" s="102">
        <v>125</v>
      </c>
      <c r="F52" s="102">
        <v>125</v>
      </c>
      <c r="G52" s="102">
        <v>125</v>
      </c>
    </row>
    <row r="53" spans="1:7" s="100" customFormat="1" ht="15.75">
      <c r="A53" s="100" t="s">
        <v>35</v>
      </c>
      <c r="B53" s="102">
        <v>300</v>
      </c>
      <c r="C53" s="102">
        <v>300</v>
      </c>
      <c r="D53" s="102">
        <v>225</v>
      </c>
      <c r="E53" s="102">
        <v>150</v>
      </c>
      <c r="F53" s="102">
        <v>150</v>
      </c>
      <c r="G53" s="102">
        <v>150</v>
      </c>
    </row>
    <row r="54" spans="1:7" s="100" customFormat="1" ht="15.75">
      <c r="A54" s="100" t="s">
        <v>78</v>
      </c>
      <c r="B54" s="102">
        <v>85</v>
      </c>
      <c r="C54" s="102">
        <v>85</v>
      </c>
      <c r="D54" s="102">
        <v>65</v>
      </c>
      <c r="E54" s="102">
        <v>45</v>
      </c>
      <c r="F54" s="102">
        <v>45</v>
      </c>
      <c r="G54" s="102">
        <v>45</v>
      </c>
    </row>
    <row r="55" spans="1:7" s="100" customFormat="1" ht="15.75">
      <c r="A55" s="100" t="s">
        <v>79</v>
      </c>
      <c r="B55" s="102">
        <v>85</v>
      </c>
      <c r="C55" s="102">
        <v>85</v>
      </c>
      <c r="D55" s="102">
        <v>65</v>
      </c>
      <c r="E55" s="102">
        <v>45</v>
      </c>
      <c r="F55" s="102">
        <v>45</v>
      </c>
      <c r="G55" s="102">
        <v>45</v>
      </c>
    </row>
    <row r="56" spans="1:7" s="100" customFormat="1" ht="15.75">
      <c r="A56" s="100" t="s">
        <v>36</v>
      </c>
      <c r="E56" s="102">
        <v>125</v>
      </c>
      <c r="F56" s="102">
        <v>125</v>
      </c>
      <c r="G56" s="102">
        <v>125</v>
      </c>
    </row>
    <row r="57" spans="1:7" s="100" customFormat="1" ht="15.75">
      <c r="A57" s="100" t="s">
        <v>130</v>
      </c>
      <c r="B57" s="100">
        <v>300</v>
      </c>
      <c r="C57" s="100">
        <v>300</v>
      </c>
      <c r="D57" s="100">
        <v>225</v>
      </c>
      <c r="E57" s="100">
        <v>150</v>
      </c>
      <c r="F57" s="100">
        <v>150</v>
      </c>
      <c r="G57" s="100">
        <v>150</v>
      </c>
    </row>
    <row r="58" spans="1:7" s="100" customFormat="1" ht="15.75">
      <c r="A58" s="103" t="s">
        <v>131</v>
      </c>
      <c r="B58" s="103">
        <v>175</v>
      </c>
      <c r="C58" s="100">
        <v>175</v>
      </c>
      <c r="D58" s="100">
        <v>125</v>
      </c>
      <c r="E58" s="100">
        <v>100</v>
      </c>
      <c r="F58" s="100">
        <v>100</v>
      </c>
      <c r="G58" s="100">
        <v>100</v>
      </c>
    </row>
    <row r="59" spans="1:2" ht="15.75">
      <c r="A59" s="10"/>
      <c r="B59" s="5"/>
    </row>
    <row r="60" spans="1:2" ht="15.75">
      <c r="A60" s="33"/>
      <c r="B60" s="70"/>
    </row>
    <row r="61" spans="1:2" ht="15.75">
      <c r="A61" s="10"/>
      <c r="B61" s="5"/>
    </row>
    <row r="62" spans="1:2" ht="15.75">
      <c r="A62" s="10"/>
      <c r="B62" s="5"/>
    </row>
    <row r="63" spans="1:2" ht="15.75">
      <c r="A63" s="10"/>
      <c r="B63" s="5"/>
    </row>
    <row r="64" spans="1:2" ht="15.75">
      <c r="A64" s="10"/>
      <c r="B64" s="5"/>
    </row>
    <row r="65" spans="1:2" ht="15.75">
      <c r="A65" s="10"/>
      <c r="B65" s="5"/>
    </row>
    <row r="66" spans="1:2" ht="15.75">
      <c r="A66" s="10"/>
      <c r="B66" s="5"/>
    </row>
    <row r="67" spans="1:2" ht="15.75">
      <c r="A67" s="10"/>
      <c r="B67" s="5"/>
    </row>
    <row r="68" spans="1:2" ht="15.75">
      <c r="A68" s="10"/>
      <c r="B68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for full trials-April 12</dc:title>
  <dc:subject>Advocates fixed fee scheme</dc:subject>
  <dc:creator>MoJ</dc:creator>
  <cp:keywords>AGFS, calculator,</cp:keywords>
  <dc:description/>
  <cp:lastModifiedBy>shamilton</cp:lastModifiedBy>
  <cp:lastPrinted>2010-04-23T06:43:50Z</cp:lastPrinted>
  <dcterms:created xsi:type="dcterms:W3CDTF">2007-01-23T12:51:37Z</dcterms:created>
  <dcterms:modified xsi:type="dcterms:W3CDTF">2014-10-31T10:08:41Z</dcterms:modified>
  <cp:category/>
  <cp:version/>
  <cp:contentType/>
  <cp:contentStatus/>
</cp:coreProperties>
</file>