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Tables E.1-E.3" sheetId="1" r:id="rId1"/>
    <sheet name="Table E.4" sheetId="2" r:id="rId2"/>
    <sheet name="Table E.5" sheetId="3" r:id="rId3"/>
    <sheet name="Table E.6" sheetId="4" r:id="rId4"/>
    <sheet name="Table E.7-E.8" sheetId="5" r:id="rId5"/>
    <sheet name="Table E.9" sheetId="6" r:id="rId6"/>
    <sheet name="Table E.10" sheetId="7" r:id="rId7"/>
    <sheet name="Table E.11" sheetId="8" r:id="rId8"/>
  </sheets>
  <definedNames/>
  <calcPr fullCalcOnLoad="1"/>
</workbook>
</file>

<file path=xl/sharedStrings.xml><?xml version="1.0" encoding="utf-8"?>
<sst xmlns="http://schemas.openxmlformats.org/spreadsheetml/2006/main" count="501" uniqueCount="184">
  <si>
    <t>Model 9</t>
  </si>
  <si>
    <t>Model 11</t>
  </si>
  <si>
    <t>Model 17</t>
  </si>
  <si>
    <t>1st part</t>
  </si>
  <si>
    <t>2nd part (cost 2010=0)</t>
  </si>
  <si>
    <t>2nd part (cost 2010&gt;0)</t>
  </si>
  <si>
    <t>Males (20-64)</t>
  </si>
  <si>
    <t>Females (20-64)</t>
  </si>
  <si>
    <t xml:space="preserve">Long standing health problem  disability or infirmity  </t>
  </si>
  <si>
    <t>65 and over</t>
  </si>
  <si>
    <t xml:space="preserve"> </t>
  </si>
  <si>
    <t>Females(20-64)</t>
  </si>
  <si>
    <t>Medium secure care</t>
  </si>
  <si>
    <t>Detained under the Mental Health Act</t>
  </si>
  <si>
    <t>Min. 4 contacts w. min. 4 diffeent care professionals</t>
  </si>
  <si>
    <t>Min. 3 contacts w. min. 3 diffeent care professionals</t>
  </si>
  <si>
    <t>Min. 2 contacts w. min. 2 diffeent care professionals</t>
  </si>
  <si>
    <t>Enhanced CPA</t>
  </si>
  <si>
    <t>F00 - (Dementia in Alzheimer's disease)</t>
  </si>
  <si>
    <t>F01 - (Vascular dementia)</t>
  </si>
  <si>
    <t>F02 - (Dementia in other diseases classified elsewhere)</t>
  </si>
  <si>
    <t>F03 - (Unspecified dementia)</t>
  </si>
  <si>
    <t>F05 - (Delirium not induced by alcohol and other psychoactive)</t>
  </si>
  <si>
    <t>F06 - (Other mental disorders due to brain damage/dysfunction/physical disease)</t>
  </si>
  <si>
    <t>F07 - (Personality &amp; behav'l disord's due to brain disease, damage &amp; dysfunc'n)</t>
  </si>
  <si>
    <t>F10 - (Mental and behavioural disorders due to use of alcohol)</t>
  </si>
  <si>
    <t>F11 - (Mental and behavioural disorders due to use of opioids)</t>
  </si>
  <si>
    <t>F12 - (Mental and behavioural disorders due to use of cannabin)</t>
  </si>
  <si>
    <t>F13 - (Mental and behavioural disorders due to use of sedatives or hypnotics)</t>
  </si>
  <si>
    <t>F14 - (Mental and behavioural disorders due to use of cocaine)</t>
  </si>
  <si>
    <t>F15 - (Mental &amp; behav'l disord's due to use of other stimulants, incl caffeine)</t>
  </si>
  <si>
    <t>F19 - (Mental &amp; behav'l disorders due to multiple drug/psychoactive sub use)</t>
  </si>
  <si>
    <t>F20 - (Schizophrenia)</t>
  </si>
  <si>
    <t>F22 - (Persistent delusional disorders)</t>
  </si>
  <si>
    <t>F23 - (Acute and transient psychotic disorders)</t>
  </si>
  <si>
    <t>F25 - (Schizoaffective disorders)</t>
  </si>
  <si>
    <t>F29 - (Unspecified nonorganic psychosis)</t>
  </si>
  <si>
    <t>F30 - (Manic episode)</t>
  </si>
  <si>
    <t>F31 - (Bipolar affective disorder)</t>
  </si>
  <si>
    <t>F32 - (Depressive episode)</t>
  </si>
  <si>
    <t>F33 - (Recurrent depressive disorder)</t>
  </si>
  <si>
    <t>F34 - (Persistent mood [affective] disorders)</t>
  </si>
  <si>
    <t>F39 - (Unspecified mood [affective] disorder)</t>
  </si>
  <si>
    <t>F40 - (Phobic anxiety disorders)</t>
  </si>
  <si>
    <t>F41 - (Other anxiety disorders)</t>
  </si>
  <si>
    <t>F42 - (Obsessive-compulsive disorder)</t>
  </si>
  <si>
    <t>F43 - (Reaction to severe stressand adjustment disorders)</t>
  </si>
  <si>
    <t>F44 - (Dissociative [conversion] disorders)</t>
  </si>
  <si>
    <t>F45 - (Somatoform disorders)</t>
  </si>
  <si>
    <t>F50 - (Eating disorders)</t>
  </si>
  <si>
    <t>F60 - (Specific personality disorders)</t>
  </si>
  <si>
    <t>F61 - (Mixed and other personality disorders)</t>
  </si>
  <si>
    <t>F70 - (Mild mental retardation)</t>
  </si>
  <si>
    <t>F84 - (Pervasive developmental disorders)</t>
  </si>
  <si>
    <t>F90 - (Hyperkinetic disorders)</t>
  </si>
  <si>
    <t>F99 - (Mental disorder, not otherwise specified)</t>
  </si>
  <si>
    <t>G30 - (Alzheimer's disease)</t>
  </si>
  <si>
    <t>G40 - (Epilepsy)</t>
  </si>
  <si>
    <t>R45 - (Symptoms and signs involving emotional state)</t>
  </si>
  <si>
    <t>Z81 - (Family history of mental and behavioural disorders)</t>
  </si>
  <si>
    <t>Z91 - (Personal history of risk-factors, NEC)</t>
  </si>
  <si>
    <t>Irish</t>
  </si>
  <si>
    <t>Any other White background</t>
  </si>
  <si>
    <t>White and Black Caribbean</t>
  </si>
  <si>
    <t>White and Black African</t>
  </si>
  <si>
    <t>White and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</si>
  <si>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</si>
  <si>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</si>
  <si>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</si>
  <si>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</si>
  <si>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</si>
  <si>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</si>
  <si>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</si>
  <si>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</si>
  <si>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Chinese</t>
  </si>
  <si>
    <t>Any other ethnic group</t>
  </si>
  <si>
    <t>Not stated</t>
  </si>
  <si>
    <t>Unemployed</t>
  </si>
  <si>
    <t>Other including in education or training</t>
  </si>
  <si>
    <t>Not disclosed</t>
  </si>
  <si>
    <t>Not applicable</t>
  </si>
  <si>
    <t>Not known</t>
  </si>
  <si>
    <t>Missing</t>
  </si>
  <si>
    <t>Non-settled Accommodation</t>
  </si>
  <si>
    <t>Not disclosed (patient asked but refused to respond)</t>
  </si>
  <si>
    <t>Divorced/Person whose Civil Partnership has been dissolved</t>
  </si>
  <si>
    <t>Separated</t>
  </si>
  <si>
    <t>Single</t>
  </si>
  <si>
    <t>Widowed/Surviving Civil Partner</t>
  </si>
  <si>
    <t>Models</t>
  </si>
  <si>
    <t>Decile</t>
  </si>
  <si>
    <t>Minimum</t>
  </si>
  <si>
    <t>Maximum</t>
  </si>
  <si>
    <t>Mean</t>
  </si>
  <si>
    <t>Observations</t>
  </si>
  <si>
    <t>R2</t>
  </si>
  <si>
    <t>Admitted to a mental health hospital for at least two nights</t>
  </si>
  <si>
    <t>At least 4 contacts with each of at least 4 different care professionals</t>
  </si>
  <si>
    <t>At least 3 contacts with each of at least 3 different care professionals</t>
  </si>
  <si>
    <t>At least 2 contacts with each of at least 2 different care professionals</t>
  </si>
  <si>
    <t>Frequent care - at least 30 contacts with a single care professional</t>
  </si>
  <si>
    <t>Employment status (base cat. Employed)</t>
  </si>
  <si>
    <t>Ethnicity (base cat. British)</t>
  </si>
  <si>
    <t>Settled Accommodation Indicator (base cat. Settled accomodation)</t>
  </si>
  <si>
    <t>Marital status (base cat. Married)</t>
  </si>
  <si>
    <t>Not recorded</t>
  </si>
  <si>
    <t>First Year of Contact with Psychiatric Care (Base cat. 2010/11)</t>
  </si>
  <si>
    <t>Std.dev.</t>
  </si>
  <si>
    <t>Variable</t>
  </si>
  <si>
    <t>Standard Deviation</t>
  </si>
  <si>
    <t>IB/SDA with mental health diagnosis</t>
  </si>
  <si>
    <t>Mental health prevalence</t>
  </si>
  <si>
    <t>Dementia prevalence (09/10)</t>
  </si>
  <si>
    <t>SMR (MI excl. dementia indicated)</t>
  </si>
  <si>
    <t>Pop. rate pension credit single</t>
  </si>
  <si>
    <t>Proportion single (never married)</t>
  </si>
  <si>
    <t>Proportion separated (but still legally married)</t>
  </si>
  <si>
    <t>Proportion divorced</t>
  </si>
  <si>
    <t>Proportion widowed</t>
  </si>
  <si>
    <t>Proportion separated or divorced</t>
  </si>
  <si>
    <t>Proportion Black Caribbean/ Black African</t>
  </si>
  <si>
    <t>People with limiting long term illness</t>
  </si>
  <si>
    <t>Student practice or has a significant student branch practice</t>
  </si>
  <si>
    <t xml:space="preserve">B15-B19  - Viral hepatitis </t>
  </si>
  <si>
    <t xml:space="preserve">R69  - Unknown &amp; unspecified causes of morbidity </t>
  </si>
  <si>
    <t xml:space="preserve">T00-T07  - Injuries involving multiple body regions </t>
  </si>
  <si>
    <t xml:space="preserve">T08-T14  - Injuries to unspecified part of trunk limb or body </t>
  </si>
  <si>
    <t xml:space="preserve">T15-T19  - Effects of foreign body entering through natural orifice </t>
  </si>
  <si>
    <t xml:space="preserve">T36-T50  - Poisonings by drugs medicaments &amp; biological substances </t>
  </si>
  <si>
    <t>Males 20-64</t>
  </si>
  <si>
    <t>Females 20-64</t>
  </si>
  <si>
    <t>Ages 65+</t>
  </si>
  <si>
    <t>Males 65+</t>
  </si>
  <si>
    <t>Females 65+</t>
  </si>
  <si>
    <t>Age bands</t>
  </si>
  <si>
    <t>20 - 24</t>
  </si>
  <si>
    <t>65 - 69</t>
  </si>
  <si>
    <t>25 - 29</t>
  </si>
  <si>
    <t>70 - 74</t>
  </si>
  <si>
    <t>30 - 34</t>
  </si>
  <si>
    <t>75 - 79</t>
  </si>
  <si>
    <t>35 - 39</t>
  </si>
  <si>
    <t>80 - 84</t>
  </si>
  <si>
    <t>40 - 44</t>
  </si>
  <si>
    <t>85 +</t>
  </si>
  <si>
    <t>45 - 49</t>
  </si>
  <si>
    <t>50 - 54</t>
  </si>
  <si>
    <t>55 - 59</t>
  </si>
  <si>
    <t>60 - 64</t>
  </si>
  <si>
    <t>Any contact with mental health care services</t>
  </si>
  <si>
    <t>Ethnicity</t>
  </si>
  <si>
    <t>Not Stated</t>
  </si>
  <si>
    <t>British</t>
  </si>
  <si>
    <t>Marital status</t>
  </si>
  <si>
    <t xml:space="preserve">Married/Civil Partner </t>
  </si>
  <si>
    <t>Employment status</t>
  </si>
  <si>
    <t>Employed</t>
  </si>
  <si>
    <t>Settled Accommodation Indicator</t>
  </si>
  <si>
    <t>Settled Accommodation</t>
  </si>
  <si>
    <t>Other, including in education or training</t>
  </si>
  <si>
    <t>First Year Received Psychiatric Care</t>
  </si>
  <si>
    <t>2010/11</t>
  </si>
  <si>
    <t>Condition severity category</t>
  </si>
  <si>
    <t>No category</t>
  </si>
  <si>
    <t>Proportion providing more than 19hrs unpaid care per week</t>
  </si>
  <si>
    <t>Distance to Integrated Community Mental Health Team</t>
  </si>
  <si>
    <t>Standardised long standing health problem, disability or infirmity rate</t>
  </si>
  <si>
    <t xml:space="preserve">R40-R46  - Symptoms &amp; signs involving cognition, perception etc. </t>
  </si>
  <si>
    <t xml:space="preserve">Persons aged 65+ </t>
  </si>
  <si>
    <t>Validation Sample</t>
  </si>
  <si>
    <t xml:space="preserve">Table E.1: Coefficients on the practice- and stratum-level variables </t>
  </si>
  <si>
    <t xml:space="preserve">Table E.2: Coefficients on the practice- and stratum-level variables </t>
  </si>
  <si>
    <t xml:space="preserve">Table E.3: Coefficients on the practice- and stratum-level variables </t>
  </si>
  <si>
    <t>Table E.4: Coefficients on the person-level condition severity and care markers</t>
  </si>
  <si>
    <t xml:space="preserve">Table E.5 : Coefficients on the person-level psychiatric diagnostic markers </t>
  </si>
  <si>
    <t xml:space="preserve">Table E.6: Coefficients on the service user characteristics </t>
  </si>
  <si>
    <t xml:space="preserve">Table E.6, cont.: Coefficients on the service user characteristics </t>
  </si>
  <si>
    <t>Table E.7: Mean predicted costs for persons with zero costs and deciles of costs for persons with non-zero costs</t>
  </si>
  <si>
    <t>Table E.8: Mean predicted costs per capita for practices grouped into deciles of their actual costs per capita.</t>
  </si>
  <si>
    <t>Table E.9: Summary statistics for continous variables</t>
  </si>
  <si>
    <t>Table E.11: Descriptive statistics for categorical variables for users</t>
  </si>
  <si>
    <t>Admitted to a mental health hospital for at least 2 nights</t>
  </si>
  <si>
    <t xml:space="preserve">Table E.10: Desriptive statistics for categorical variables                     </t>
  </si>
  <si>
    <t>Developing the Mental Health Funding Formula for Allocations to General Practices               ACRA(2012)18B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</si>
</sst>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General\)"/>
    <numFmt numFmtId="165" formatCode="\(0.00\)"/>
    <numFmt numFmtId="166" formatCode="0.0000"/>
    <numFmt numFmtId="167" formatCode="0.0"/>
    <numFmt numFmtId="168" formatCode="0.000"/>
    <numFmt numFmtId="169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0" fontId="4" fillId="0" borderId="12" xfId="57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0" fontId="4" fillId="0" borderId="11" xfId="57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166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7.8515625" style="6" bestFit="1" customWidth="1"/>
    <col min="2" max="2" width="8.00390625" style="6" bestFit="1" customWidth="1"/>
    <col min="3" max="4" width="8.421875" style="6" bestFit="1" customWidth="1"/>
    <col min="5" max="6" width="19.00390625" style="6" bestFit="1" customWidth="1"/>
    <col min="7" max="16384" width="9.140625" style="6" customWidth="1"/>
  </cols>
  <sheetData>
    <row r="1" ht="12.75">
      <c r="A1" s="34" t="s">
        <v>183</v>
      </c>
    </row>
    <row r="3" spans="1:6" ht="12.75">
      <c r="A3" s="29" t="s">
        <v>170</v>
      </c>
      <c r="B3" s="30" t="s">
        <v>0</v>
      </c>
      <c r="C3" s="30" t="s">
        <v>1</v>
      </c>
      <c r="D3" s="30" t="s">
        <v>2</v>
      </c>
      <c r="E3" s="30" t="s">
        <v>2</v>
      </c>
      <c r="F3" s="30" t="s">
        <v>2</v>
      </c>
    </row>
    <row r="4" spans="1:6" ht="12.75">
      <c r="A4" s="31" t="s">
        <v>6</v>
      </c>
      <c r="B4" s="32">
        <f>""</f>
      </c>
      <c r="C4" s="32">
        <f>""</f>
      </c>
      <c r="D4" s="8" t="s">
        <v>3</v>
      </c>
      <c r="E4" s="8" t="s">
        <v>4</v>
      </c>
      <c r="F4" s="8" t="s">
        <v>5</v>
      </c>
    </row>
    <row r="5" spans="1:6" ht="12.75">
      <c r="A5" s="12" t="str">
        <f>"IB/SDA with mental health diagnosis                                   "</f>
        <v>IB/SDA with mental health diagnosis                                   </v>
      </c>
      <c r="B5" s="18" t="str">
        <f>"1621.72"</f>
        <v>1621.72</v>
      </c>
      <c r="C5" s="18" t="str">
        <f>"187.22"</f>
        <v>187.22</v>
      </c>
      <c r="D5" s="18" t="str">
        <f>"18.09"</f>
        <v>18.09</v>
      </c>
      <c r="E5" s="18" t="str">
        <f>"-1.46"</f>
        <v>-1.46</v>
      </c>
      <c r="F5" s="18" t="str">
        <f>"-2.28"</f>
        <v>-2.28</v>
      </c>
    </row>
    <row r="6" spans="1:6" ht="12.75">
      <c r="A6" s="12" t="str">
        <f>"                                                                      "</f>
        <v>                                                                      </v>
      </c>
      <c r="B6" s="18" t="str">
        <f>"(13.16)"</f>
        <v>(13.16)</v>
      </c>
      <c r="C6" s="18" t="str">
        <f>"(1.72)"</f>
        <v>(1.72)</v>
      </c>
      <c r="D6" s="18" t="str">
        <f>"(33.10)"</f>
        <v>(33.10)</v>
      </c>
      <c r="E6" s="18" t="str">
        <f>"(-1.42)"</f>
        <v>(-1.42)</v>
      </c>
      <c r="F6" s="18" t="str">
        <f>"(-2.23)"</f>
        <v>(-2.23)</v>
      </c>
    </row>
    <row r="7" spans="1:6" ht="12.75">
      <c r="A7" s="12" t="str">
        <f>"Mental health prevalence                                              "</f>
        <v>Mental health prevalence                                              </v>
      </c>
      <c r="B7" s="18" t="str">
        <f>"4428.52"</f>
        <v>4428.52</v>
      </c>
      <c r="C7" s="18" t="str">
        <f>"1251.06"</f>
        <v>1251.06</v>
      </c>
      <c r="D7" s="18" t="str">
        <f>"5.85"</f>
        <v>5.85</v>
      </c>
      <c r="E7" s="18" t="str">
        <f>"1.17"</f>
        <v>1.17</v>
      </c>
      <c r="F7" s="18" t="str">
        <f>"0.61"</f>
        <v>0.61</v>
      </c>
    </row>
    <row r="8" spans="1:6" ht="12.75">
      <c r="A8" s="12" t="str">
        <f>"                                                                      "</f>
        <v>                                                                      </v>
      </c>
      <c r="B8" s="18" t="str">
        <f>"(11.52)"</f>
        <v>(11.52)</v>
      </c>
      <c r="C8" s="18" t="str">
        <f>"(3.73)"</f>
        <v>(3.73)</v>
      </c>
      <c r="D8" s="18" t="str">
        <f>"(15.40)"</f>
        <v>(15.40)</v>
      </c>
      <c r="E8" s="18" t="str">
        <f>"(1.94)"</f>
        <v>(1.94)</v>
      </c>
      <c r="F8" s="18" t="str">
        <f>"(1.01)"</f>
        <v>(1.01)</v>
      </c>
    </row>
    <row r="9" spans="1:6" ht="12.75">
      <c r="A9" s="12" t="str">
        <f>"Student practice or has a significant student branch practice         "</f>
        <v>Student practice or has a significant student branch practice         </v>
      </c>
      <c r="B9" s="18" t="str">
        <f>"-34.36"</f>
        <v>-34.36</v>
      </c>
      <c r="C9" s="18" t="str">
        <f>"-16.68"</f>
        <v>-16.68</v>
      </c>
      <c r="D9" s="18" t="str">
        <f>"-0.44"</f>
        <v>-0.44</v>
      </c>
      <c r="E9" s="18" t="str">
        <f>"-0.12"</f>
        <v>-0.12</v>
      </c>
      <c r="F9" s="18" t="str">
        <f>"-0.08"</f>
        <v>-0.08</v>
      </c>
    </row>
    <row r="10" spans="1:6" ht="12.75">
      <c r="A10" s="12" t="str">
        <f>"                                                                      "</f>
        <v>                                                                      </v>
      </c>
      <c r="B10" s="18" t="str">
        <f>"(-8.08)"</f>
        <v>(-8.08)</v>
      </c>
      <c r="C10" s="18" t="str">
        <f>"(-4.39)"</f>
        <v>(-4.39)</v>
      </c>
      <c r="D10" s="18" t="str">
        <f>"(-15.06)"</f>
        <v>(-15.06)</v>
      </c>
      <c r="E10" s="18" t="str">
        <f>"(-1.96)"</f>
        <v>(-1.96)</v>
      </c>
      <c r="F10" s="18" t="str">
        <f>"(-1.36)"</f>
        <v>(-1.36)</v>
      </c>
    </row>
    <row r="11" spans="1:6" ht="12.75">
      <c r="A11" s="12" t="str">
        <f>"Proportion Black Caribbean/ Black African                             "</f>
        <v>Proportion Black Caribbean/ Black African                             </v>
      </c>
      <c r="B11" s="18" t="str">
        <f>"214.86"</f>
        <v>214.86</v>
      </c>
      <c r="C11" s="18">
        <f>""</f>
      </c>
      <c r="D11" s="18">
        <f>""</f>
      </c>
      <c r="E11" s="18">
        <f>""</f>
      </c>
      <c r="F11" s="18">
        <f>""</f>
      </c>
    </row>
    <row r="12" spans="1:6" ht="12.75">
      <c r="A12" s="12" t="str">
        <f>"                                                                      "</f>
        <v>                                                                      </v>
      </c>
      <c r="B12" s="18" t="str">
        <f>"(6.96)"</f>
        <v>(6.96)</v>
      </c>
      <c r="C12" s="18">
        <f>""</f>
      </c>
      <c r="D12" s="18">
        <f>""</f>
      </c>
      <c r="E12" s="18">
        <f>""</f>
      </c>
      <c r="F12" s="18">
        <f>""</f>
      </c>
    </row>
    <row r="13" spans="1:6" ht="12.75">
      <c r="A13" s="12" t="str">
        <f>"Proportion widowed                                                    "</f>
        <v>Proportion widowed                                                    </v>
      </c>
      <c r="B13" s="18" t="str">
        <f>"594.70"</f>
        <v>594.70</v>
      </c>
      <c r="C13" s="18" t="str">
        <f>"329.82"</f>
        <v>329.82</v>
      </c>
      <c r="D13" s="18" t="str">
        <f>"5.21"</f>
        <v>5.21</v>
      </c>
      <c r="E13" s="18" t="str">
        <f>"3.89"</f>
        <v>3.89</v>
      </c>
      <c r="F13" s="18" t="str">
        <f>"3.33"</f>
        <v>3.33</v>
      </c>
    </row>
    <row r="14" spans="1:6" ht="12.75">
      <c r="A14" s="12" t="str">
        <f>"                                                                      "</f>
        <v>                                                                      </v>
      </c>
      <c r="B14" s="18" t="str">
        <f>"(7.82)"</f>
        <v>(7.82)</v>
      </c>
      <c r="C14" s="18" t="str">
        <f>"(4.87)"</f>
        <v>(4.87)</v>
      </c>
      <c r="D14" s="18" t="str">
        <f>"(12.29)"</f>
        <v>(12.29)</v>
      </c>
      <c r="E14" s="18" t="str">
        <f>"(4.76)"</f>
        <v>(4.76)</v>
      </c>
      <c r="F14" s="18" t="str">
        <f>"(4.15)"</f>
        <v>(4.15)</v>
      </c>
    </row>
    <row r="15" spans="1:6" ht="12.75">
      <c r="A15" s="12" t="str">
        <f>"Proportion single (never married)                                     "</f>
        <v>Proportion single (never married)                                     </v>
      </c>
      <c r="B15" s="18" t="str">
        <f>"123.32"</f>
        <v>123.32</v>
      </c>
      <c r="C15" s="18" t="str">
        <f>"54.22"</f>
        <v>54.22</v>
      </c>
      <c r="D15" s="18" t="str">
        <f>"0.66"</f>
        <v>0.66</v>
      </c>
      <c r="E15" s="18" t="str">
        <f>"0.94"</f>
        <v>0.94</v>
      </c>
      <c r="F15" s="18" t="str">
        <f>"0.62"</f>
        <v>0.62</v>
      </c>
    </row>
    <row r="16" spans="1:6" ht="12.75">
      <c r="A16" s="12" t="str">
        <f>"                                                                      "</f>
        <v>                                                                      </v>
      </c>
      <c r="B16" s="18" t="str">
        <f>"(6.78)"</f>
        <v>(6.78)</v>
      </c>
      <c r="C16" s="18" t="str">
        <f>"(3.35)"</f>
        <v>(3.35)</v>
      </c>
      <c r="D16" s="18" t="str">
        <f>"(6.29)"</f>
        <v>(6.29)</v>
      </c>
      <c r="E16" s="18" t="str">
        <f>"(4.74)"</f>
        <v>(4.74)</v>
      </c>
      <c r="F16" s="18" t="str">
        <f>"(3.11)"</f>
        <v>(3.11)</v>
      </c>
    </row>
    <row r="17" spans="1:6" ht="12.75">
      <c r="A17" s="12" t="str">
        <f>"Stratum proportion with diagnosis codes B15-B19                       "</f>
        <v>Stratum proportion with diagnosis codes B15-B19                       </v>
      </c>
      <c r="B17" s="18" t="str">
        <f>"456.97"</f>
        <v>456.97</v>
      </c>
      <c r="C17" s="18" t="str">
        <f>"128.59"</f>
        <v>128.59</v>
      </c>
      <c r="D17" s="18" t="str">
        <f>"4.58"</f>
        <v>4.58</v>
      </c>
      <c r="E17" s="18" t="str">
        <f>"-0.18"</f>
        <v>-0.18</v>
      </c>
      <c r="F17" s="18" t="str">
        <f>"0.12"</f>
        <v>0.12</v>
      </c>
    </row>
    <row r="18" spans="1:6" ht="12.75">
      <c r="A18" s="12" t="str">
        <f>"                                                                      "</f>
        <v>                                                                      </v>
      </c>
      <c r="B18" s="18" t="str">
        <f>"(2.76)"</f>
        <v>(2.76)</v>
      </c>
      <c r="C18" s="18" t="str">
        <f>"(0.87)"</f>
        <v>(0.87)</v>
      </c>
      <c r="D18" s="18" t="str">
        <f>"(9.03)"</f>
        <v>(9.03)</v>
      </c>
      <c r="E18" s="18" t="str">
        <f>"(-0.17)"</f>
        <v>(-0.17)</v>
      </c>
      <c r="F18" s="18" t="str">
        <f>"(0.12)"</f>
        <v>(0.12)</v>
      </c>
    </row>
    <row r="19" spans="1:6" ht="12.75">
      <c r="A19" s="12" t="str">
        <f>"Stratum proportion with diagnosis codes T36-T50                       "</f>
        <v>Stratum proportion with diagnosis codes T36-T50                       </v>
      </c>
      <c r="B19" s="18" t="str">
        <f>"294.25"</f>
        <v>294.25</v>
      </c>
      <c r="C19" s="18" t="str">
        <f>"70.95"</f>
        <v>70.95</v>
      </c>
      <c r="D19" s="18" t="str">
        <f>"3.56"</f>
        <v>3.56</v>
      </c>
      <c r="E19" s="18" t="str">
        <f>"-0.01"</f>
        <v>-0.01</v>
      </c>
      <c r="F19" s="18" t="str">
        <f>"-0.42"</f>
        <v>-0.42</v>
      </c>
    </row>
    <row r="20" spans="1:6" ht="12.75">
      <c r="A20" s="33" t="str">
        <f>"                                                                      "</f>
        <v>                                                                      </v>
      </c>
      <c r="B20" s="32" t="str">
        <f>"(2.91)"</f>
        <v>(2.91)</v>
      </c>
      <c r="C20" s="32" t="str">
        <f>"(0.79)"</f>
        <v>(0.79)</v>
      </c>
      <c r="D20" s="32" t="str">
        <f>"(8.42)"</f>
        <v>(8.42)</v>
      </c>
      <c r="E20" s="32" t="str">
        <f>"(-0.02)"</f>
        <v>(-0.02)</v>
      </c>
      <c r="F20" s="32" t="str">
        <f>"(-0.56)"</f>
        <v>(-0.56)</v>
      </c>
    </row>
    <row r="21" ht="12.75">
      <c r="A21" s="9" t="str">
        <f>"t statistics in parentheses"</f>
        <v>t statistics in parentheses</v>
      </c>
    </row>
    <row r="24" spans="1:6" ht="12.75">
      <c r="A24" s="5" t="s">
        <v>171</v>
      </c>
      <c r="B24" s="30" t="s">
        <v>0</v>
      </c>
      <c r="C24" s="30" t="s">
        <v>1</v>
      </c>
      <c r="D24" s="30" t="s">
        <v>2</v>
      </c>
      <c r="E24" s="30" t="s">
        <v>2</v>
      </c>
      <c r="F24" s="30" t="s">
        <v>2</v>
      </c>
    </row>
    <row r="25" spans="1:6" ht="12.75">
      <c r="A25" s="31" t="s">
        <v>7</v>
      </c>
      <c r="B25" s="32">
        <f>""</f>
      </c>
      <c r="C25" s="32">
        <f>""</f>
      </c>
      <c r="D25" s="8" t="s">
        <v>3</v>
      </c>
      <c r="E25" s="8" t="s">
        <v>4</v>
      </c>
      <c r="F25" s="8" t="s">
        <v>5</v>
      </c>
    </row>
    <row r="26" spans="1:6" ht="12.75">
      <c r="A26" s="12" t="str">
        <f>"IB/SDA with mental health diagnosis                                   "</f>
        <v>IB/SDA with mental health diagnosis                                   </v>
      </c>
      <c r="B26" s="18" t="str">
        <f>"635.31"</f>
        <v>635.31</v>
      </c>
      <c r="C26" s="18" t="str">
        <f>"106.21"</f>
        <v>106.21</v>
      </c>
      <c r="D26" s="18" t="str">
        <f>"14.27"</f>
        <v>14.27</v>
      </c>
      <c r="E26" s="18" t="str">
        <f>"-1.76"</f>
        <v>-1.76</v>
      </c>
      <c r="F26" s="18" t="str">
        <f>"-1.98"</f>
        <v>-1.98</v>
      </c>
    </row>
    <row r="27" spans="1:6" ht="12.75">
      <c r="A27" s="12" t="str">
        <f>"                                                                      "</f>
        <v>                                                                      </v>
      </c>
      <c r="B27" s="18" t="str">
        <f>"(4.81)"</f>
        <v>(4.81)</v>
      </c>
      <c r="C27" s="18" t="str">
        <f>"(0.90)"</f>
        <v>(0.90)</v>
      </c>
      <c r="D27" s="18" t="str">
        <f>"(20.90)"</f>
        <v>(20.90)</v>
      </c>
      <c r="E27" s="18" t="str">
        <f>"(-1.35)"</f>
        <v>(-1.35)</v>
      </c>
      <c r="F27" s="18" t="str">
        <f>"(-1.52)"</f>
        <v>(-1.52)</v>
      </c>
    </row>
    <row r="28" spans="1:6" ht="12.75">
      <c r="A28" s="12" t="str">
        <f>"Mental health prevalence                                              "</f>
        <v>Mental health prevalence                                              </v>
      </c>
      <c r="B28" s="18" t="str">
        <f>"4918.85"</f>
        <v>4918.85</v>
      </c>
      <c r="C28" s="18" t="str">
        <f>"1748.31"</f>
        <v>1748.31</v>
      </c>
      <c r="D28" s="18" t="str">
        <f>"8.78"</f>
        <v>8.78</v>
      </c>
      <c r="E28" s="18" t="str">
        <f>"1.90"</f>
        <v>1.90</v>
      </c>
      <c r="F28" s="18" t="str">
        <f>"1.45"</f>
        <v>1.45</v>
      </c>
    </row>
    <row r="29" spans="1:6" ht="12.75">
      <c r="A29" s="12" t="str">
        <f>"                                                                      "</f>
        <v>                                                                      </v>
      </c>
      <c r="B29" s="18" t="str">
        <f>"(9.49)"</f>
        <v>(9.49)</v>
      </c>
      <c r="C29" s="18" t="str">
        <f>"(3.88)"</f>
        <v>(3.88)</v>
      </c>
      <c r="D29" s="18" t="str">
        <f>"(16.51)"</f>
        <v>(16.51)</v>
      </c>
      <c r="E29" s="18" t="str">
        <f>"(2.85)"</f>
        <v>(2.85)</v>
      </c>
      <c r="F29" s="18" t="str">
        <f>"(2.06)"</f>
        <v>(2.06)</v>
      </c>
    </row>
    <row r="30" spans="1:6" ht="12.75">
      <c r="A30" s="12" t="str">
        <f>"Student practice or has a significant student branch practice         "</f>
        <v>Student practice or has a significant student branch practice         </v>
      </c>
      <c r="B30" s="18" t="str">
        <f>"-13.99"</f>
        <v>-13.99</v>
      </c>
      <c r="C30" s="18" t="str">
        <f>"-9.41"</f>
        <v>-9.41</v>
      </c>
      <c r="D30" s="18" t="str">
        <f>"-0.23"</f>
        <v>-0.23</v>
      </c>
      <c r="E30" s="18" t="str">
        <f>"-0.11"</f>
        <v>-0.11</v>
      </c>
      <c r="F30" s="18" t="str">
        <f>"-0.09"</f>
        <v>-0.09</v>
      </c>
    </row>
    <row r="31" spans="1:6" ht="12.75">
      <c r="A31" s="12" t="str">
        <f>"                                                                      "</f>
        <v>                                                                      </v>
      </c>
      <c r="B31" s="18" t="str">
        <f>"(-3.19)"</f>
        <v>(-3.19)</v>
      </c>
      <c r="C31" s="18" t="str">
        <f>"(-2.41)"</f>
        <v>(-2.41)</v>
      </c>
      <c r="D31" s="18" t="str">
        <f>"(-8.51)"</f>
        <v>(-8.51)</v>
      </c>
      <c r="E31" s="18" t="str">
        <f>"(-2.10)"</f>
        <v>(-2.10)</v>
      </c>
      <c r="F31" s="18" t="str">
        <f>"(-1.64)"</f>
        <v>(-1.64)</v>
      </c>
    </row>
    <row r="32" spans="1:6" ht="12.75">
      <c r="A32" s="12" t="str">
        <f>"Proportion widowed                                                    "</f>
        <v>Proportion widowed                                                    </v>
      </c>
      <c r="B32" s="18" t="str">
        <f>"193.82"</f>
        <v>193.82</v>
      </c>
      <c r="C32" s="18" t="str">
        <f>"57.63"</f>
        <v>57.63</v>
      </c>
      <c r="D32" s="18" t="str">
        <f>"1.43"</f>
        <v>1.43</v>
      </c>
      <c r="E32" s="18" t="str">
        <f>"1.78"</f>
        <v>1.78</v>
      </c>
      <c r="F32" s="18" t="str">
        <f>"1.36"</f>
        <v>1.36</v>
      </c>
    </row>
    <row r="33" spans="1:6" ht="12.75">
      <c r="A33" s="12" t="str">
        <f>"                                                                      "</f>
        <v>                                                                      </v>
      </c>
      <c r="B33" s="18" t="str">
        <f>"(2.70)"</f>
        <v>(2.70)</v>
      </c>
      <c r="C33" s="18" t="str">
        <f>"(0.90)"</f>
        <v>(0.90)</v>
      </c>
      <c r="D33" s="18" t="str">
        <f>"(3.52)"</f>
        <v>(3.52)</v>
      </c>
      <c r="E33" s="18" t="str">
        <f>"(2.26)"</f>
        <v>(2.26)</v>
      </c>
      <c r="F33" s="18" t="str">
        <f>"(1.74)"</f>
        <v>(1.74)</v>
      </c>
    </row>
    <row r="34" spans="1:6" ht="12.75">
      <c r="A34" s="12" t="str">
        <f>"Proportion single (never married)                                     "</f>
        <v>Proportion single (never married)                                     </v>
      </c>
      <c r="B34" s="18" t="str">
        <f>"80.55"</f>
        <v>80.55</v>
      </c>
      <c r="C34" s="18" t="str">
        <f>"2.15"</f>
        <v>2.15</v>
      </c>
      <c r="D34" s="18" t="str">
        <f>"-0.23"</f>
        <v>-0.23</v>
      </c>
      <c r="E34" s="18" t="str">
        <f>"0.59"</f>
        <v>0.59</v>
      </c>
      <c r="F34" s="18" t="str">
        <f>"0.44"</f>
        <v>0.44</v>
      </c>
    </row>
    <row r="35" spans="1:6" ht="12.75">
      <c r="A35" s="12" t="str">
        <f>"                                                                      "</f>
        <v>                                                                      </v>
      </c>
      <c r="B35" s="18" t="str">
        <f>"(4.58)"</f>
        <v>(4.58)</v>
      </c>
      <c r="C35" s="18" t="str">
        <f>"(0.14)"</f>
        <v>(0.14)</v>
      </c>
      <c r="D35" s="18" t="str">
        <f>"(-2.28)"</f>
        <v>(-2.28)</v>
      </c>
      <c r="E35" s="18" t="str">
        <f>"(3.10)"</f>
        <v>(3.10)</v>
      </c>
      <c r="F35" s="18" t="str">
        <f>"(2.37)"</f>
        <v>(2.37)</v>
      </c>
    </row>
    <row r="36" spans="1:6" ht="12.75">
      <c r="A36" s="12" t="str">
        <f>"Proportion divorced                                                   "</f>
        <v>Proportion divorced                                                   </v>
      </c>
      <c r="B36" s="18" t="str">
        <f>"284.72"</f>
        <v>284.72</v>
      </c>
      <c r="C36" s="18" t="str">
        <f>"32.59"</f>
        <v>32.59</v>
      </c>
      <c r="D36" s="18" t="str">
        <f>"1.84"</f>
        <v>1.84</v>
      </c>
      <c r="E36" s="18" t="str">
        <f>"0.29"</f>
        <v>0.29</v>
      </c>
      <c r="F36" s="18" t="str">
        <f>"-0.28"</f>
        <v>-0.28</v>
      </c>
    </row>
    <row r="37" spans="1:6" ht="12.75">
      <c r="A37" s="12" t="str">
        <f>"                                                                      "</f>
        <v>                                                                      </v>
      </c>
      <c r="B37" s="18" t="str">
        <f>"(3.44)"</f>
        <v>(3.44)</v>
      </c>
      <c r="C37" s="18" t="str">
        <f>"(0.44)"</f>
        <v>(0.44)</v>
      </c>
      <c r="D37" s="18" t="str">
        <f>"(3.66)"</f>
        <v>(3.66)</v>
      </c>
      <c r="E37" s="18" t="str">
        <f>"(0.30)"</f>
        <v>(0.30)</v>
      </c>
      <c r="F37" s="18" t="str">
        <f>"(-0.29)"</f>
        <v>(-0.29)</v>
      </c>
    </row>
    <row r="38" spans="1:6" ht="12.75">
      <c r="A38" s="12" t="str">
        <f>"Stratum proportion with diagnosis codes R40-R46                       "</f>
        <v>Stratum proportion with diagnosis codes R40-R46                       </v>
      </c>
      <c r="B38" s="18" t="str">
        <f>"344.39"</f>
        <v>344.39</v>
      </c>
      <c r="C38" s="18" t="str">
        <f>"144.60"</f>
        <v>144.60</v>
      </c>
      <c r="D38" s="18" t="str">
        <f>"2.28"</f>
        <v>2.28</v>
      </c>
      <c r="E38" s="18" t="str">
        <f>"0.12"</f>
        <v>0.12</v>
      </c>
      <c r="F38" s="18" t="str">
        <f>"0.18"</f>
        <v>0.18</v>
      </c>
    </row>
    <row r="39" spans="1:6" ht="12.75">
      <c r="A39" s="12" t="str">
        <f>"                                                                      "</f>
        <v>                                                                      </v>
      </c>
      <c r="B39" s="18" t="str">
        <f>"(2.75)"</f>
        <v>(2.75)</v>
      </c>
      <c r="C39" s="18" t="str">
        <f>"(1.22)"</f>
        <v>(1.22)</v>
      </c>
      <c r="D39" s="18" t="str">
        <f>"(4.40)"</f>
        <v>(4.40)</v>
      </c>
      <c r="E39" s="18" t="str">
        <f>"(0.22)"</f>
        <v>(0.22)</v>
      </c>
      <c r="F39" s="18" t="str">
        <f>"(0.32)"</f>
        <v>(0.32)</v>
      </c>
    </row>
    <row r="40" spans="1:6" ht="12.75">
      <c r="A40" s="12" t="str">
        <f>"Stratum proportion with diagnosis codes T36-T50                       "</f>
        <v>Stratum proportion with diagnosis codes T36-T50                       </v>
      </c>
      <c r="B40" s="18" t="str">
        <f>"307.94"</f>
        <v>307.94</v>
      </c>
      <c r="C40" s="18" t="str">
        <f>"54.38"</f>
        <v>54.38</v>
      </c>
      <c r="D40" s="18" t="str">
        <f>"2.77"</f>
        <v>2.77</v>
      </c>
      <c r="E40" s="18" t="str">
        <f>"0.02"</f>
        <v>0.02</v>
      </c>
      <c r="F40" s="18" t="str">
        <f>"-0.18"</f>
        <v>-0.18</v>
      </c>
    </row>
    <row r="41" spans="1:6" ht="12.75">
      <c r="A41" s="33" t="str">
        <f>"                                                                      "</f>
        <v>                                                                      </v>
      </c>
      <c r="B41" s="32" t="str">
        <f>"(4.10)"</f>
        <v>(4.10)</v>
      </c>
      <c r="C41" s="32" t="str">
        <f>"(0.81)"</f>
        <v>(0.81)</v>
      </c>
      <c r="D41" s="32" t="str">
        <f>"(7.62)"</f>
        <v>(7.62)</v>
      </c>
      <c r="E41" s="32" t="str">
        <f>"(0.02)"</f>
        <v>(0.02)</v>
      </c>
      <c r="F41" s="32" t="str">
        <f>"(-0.26)"</f>
        <v>(-0.26)</v>
      </c>
    </row>
    <row r="42" spans="1:6" ht="12.75">
      <c r="A42" s="16" t="str">
        <f>"t statistics in parentheses"</f>
        <v>t statistics in parentheses</v>
      </c>
      <c r="B42" s="18"/>
      <c r="C42" s="18"/>
      <c r="D42" s="18"/>
      <c r="E42" s="18"/>
      <c r="F42" s="18"/>
    </row>
    <row r="45" spans="1:6" ht="12.75">
      <c r="A45" s="29" t="s">
        <v>172</v>
      </c>
      <c r="B45" s="30" t="s">
        <v>0</v>
      </c>
      <c r="C45" s="30" t="s">
        <v>1</v>
      </c>
      <c r="D45" s="30" t="s">
        <v>2</v>
      </c>
      <c r="E45" s="30" t="s">
        <v>2</v>
      </c>
      <c r="F45" s="30" t="s">
        <v>2</v>
      </c>
    </row>
    <row r="46" spans="1:6" ht="12.75">
      <c r="A46" s="34" t="s">
        <v>168</v>
      </c>
      <c r="B46" s="32">
        <f>""</f>
      </c>
      <c r="C46" s="32">
        <f>""</f>
      </c>
      <c r="D46" s="8" t="s">
        <v>3</v>
      </c>
      <c r="E46" s="8" t="s">
        <v>4</v>
      </c>
      <c r="F46" s="8" t="s">
        <v>5</v>
      </c>
    </row>
    <row r="47" spans="1:6" ht="12.75">
      <c r="A47" s="12" t="str">
        <f>"Dementia prevalence (09/10)                                           "</f>
        <v>Dementia prevalence (09/10)                                           </v>
      </c>
      <c r="B47" s="18" t="str">
        <f>"4877.10"</f>
        <v>4877.10</v>
      </c>
      <c r="C47" s="18" t="str">
        <f>"1930.42"</f>
        <v>1930.42</v>
      </c>
      <c r="D47" s="18" t="str">
        <f>"3.55"</f>
        <v>3.55</v>
      </c>
      <c r="E47" s="18" t="str">
        <f>"1.05"</f>
        <v>1.05</v>
      </c>
      <c r="F47" s="18" t="str">
        <f>"0.95"</f>
        <v>0.95</v>
      </c>
    </row>
    <row r="48" spans="1:6" ht="12.75">
      <c r="A48" s="12" t="str">
        <f>"                                                                      "</f>
        <v>                                                                      </v>
      </c>
      <c r="B48" s="18" t="str">
        <f>"(10.64)"</f>
        <v>(10.64)</v>
      </c>
      <c r="C48" s="18" t="str">
        <f>"(4.21)"</f>
        <v>(4.21)</v>
      </c>
      <c r="D48" s="18" t="str">
        <f>"(9.01)"</f>
        <v>(9.01)</v>
      </c>
      <c r="E48" s="18" t="str">
        <f>"(2.06)"</f>
        <v>(2.06)</v>
      </c>
      <c r="F48" s="18" t="str">
        <f>"(1.87)"</f>
        <v>(1.87)</v>
      </c>
    </row>
    <row r="49" spans="1:6" ht="12.75">
      <c r="A49" s="12" t="str">
        <f>"Proportion providing more than 19hrs unpaid care per week. DWP        "</f>
        <v>Proportion providing more than 19hrs unpaid care per week. DWP        </v>
      </c>
      <c r="B49" s="18" t="str">
        <f>"-1790.43"</f>
        <v>-1790.43</v>
      </c>
      <c r="C49" s="18" t="str">
        <f>"-1066.95"</f>
        <v>-1066.95</v>
      </c>
      <c r="D49" s="18" t="str">
        <f>"-2.30"</f>
        <v>-2.30</v>
      </c>
      <c r="E49" s="18" t="str">
        <f>"-4.34"</f>
        <v>-4.34</v>
      </c>
      <c r="F49" s="18" t="str">
        <f>"-4.28"</f>
        <v>-4.28</v>
      </c>
    </row>
    <row r="50" spans="1:6" ht="12.75">
      <c r="A50" s="12" t="str">
        <f>"                                                                      "</f>
        <v>                                                                      </v>
      </c>
      <c r="B50" s="18" t="str">
        <f>"(-8.17)"</f>
        <v>(-8.17)</v>
      </c>
      <c r="C50" s="18" t="str">
        <f>"(-5.12)"</f>
        <v>(-5.12)</v>
      </c>
      <c r="D50" s="18" t="str">
        <f>"(-3.73)"</f>
        <v>(-3.73)</v>
      </c>
      <c r="E50" s="18" t="str">
        <f>"(-2.98)"</f>
        <v>(-2.98)</v>
      </c>
      <c r="F50" s="18" t="str">
        <f>"(-2.96)"</f>
        <v>(-2.96)</v>
      </c>
    </row>
    <row r="51" spans="1:6" ht="12.75">
      <c r="A51" s="12" t="str">
        <f>"Distance to Integrated Comun. Mental Health Team                      "</f>
        <v>Distance to Integrated Comun. Mental Health Team                      </v>
      </c>
      <c r="B51" s="18" t="str">
        <f>"-12.39"</f>
        <v>-12.39</v>
      </c>
      <c r="C51" s="18" t="str">
        <f>"-9.60"</f>
        <v>-9.60</v>
      </c>
      <c r="D51" s="18" t="str">
        <f>"-0.05"</f>
        <v>-0.05</v>
      </c>
      <c r="E51" s="18" t="str">
        <f>"-0.08"</f>
        <v>-0.08</v>
      </c>
      <c r="F51" s="18" t="str">
        <f>"-0.07"</f>
        <v>-0.07</v>
      </c>
    </row>
    <row r="52" spans="1:6" ht="12.75">
      <c r="A52" s="12" t="str">
        <f>"                                                                      "</f>
        <v>                                                                      </v>
      </c>
      <c r="B52" s="18" t="str">
        <f>"(-5.89)"</f>
        <v>(-5.89)</v>
      </c>
      <c r="C52" s="18" t="str">
        <f>"(-4.76)"</f>
        <v>(-4.76)</v>
      </c>
      <c r="D52" s="18" t="str">
        <f>"(-7.15)"</f>
        <v>(-7.15)</v>
      </c>
      <c r="E52" s="18" t="str">
        <f>"(-4.16)"</f>
        <v>(-4.16)</v>
      </c>
      <c r="F52" s="18" t="str">
        <f>"(-3.45)"</f>
        <v>(-3.45)</v>
      </c>
    </row>
    <row r="53" spans="1:6" ht="12.75">
      <c r="A53" s="12" t="str">
        <f>"Standardized mental illness mortality ratios 2001 to 2008             "</f>
        <v>Standardized mental illness mortality ratios 2001 to 2008             </v>
      </c>
      <c r="B53" s="18" t="str">
        <f>"26.22"</f>
        <v>26.22</v>
      </c>
      <c r="C53" s="18" t="str">
        <f>"10.27"</f>
        <v>10.27</v>
      </c>
      <c r="D53" s="18" t="str">
        <f>"0.07"</f>
        <v>0.07</v>
      </c>
      <c r="E53" s="18" t="str">
        <f>"0.06"</f>
        <v>0.06</v>
      </c>
      <c r="F53" s="18" t="str">
        <f>"0.06"</f>
        <v>0.06</v>
      </c>
    </row>
    <row r="54" spans="1:6" ht="12.75">
      <c r="A54" s="12" t="str">
        <f>"                                                                      "</f>
        <v>                                                                      </v>
      </c>
      <c r="B54" s="18" t="str">
        <f>"(6.71)"</f>
        <v>(6.71)</v>
      </c>
      <c r="C54" s="18" t="str">
        <f>"(2.74)"</f>
        <v>(2.74)</v>
      </c>
      <c r="D54" s="18" t="str">
        <f>"(6.65)"</f>
        <v>(6.65)</v>
      </c>
      <c r="E54" s="18" t="str">
        <f>"(2.69)"</f>
        <v>(2.69)</v>
      </c>
      <c r="F54" s="18" t="str">
        <f>"(2.53)"</f>
        <v>(2.53)</v>
      </c>
    </row>
    <row r="55" spans="1:6" ht="12.75">
      <c r="A55" s="12" t="str">
        <f>"Pop. rate pension credit single                                       "</f>
        <v>Pop. rate pension credit single                                       </v>
      </c>
      <c r="B55" s="18" t="str">
        <f>"290.93"</f>
        <v>290.93</v>
      </c>
      <c r="C55" s="18" t="str">
        <f>"135.62"</f>
        <v>135.62</v>
      </c>
      <c r="D55" s="18" t="str">
        <f>"0.48"</f>
        <v>0.48</v>
      </c>
      <c r="E55" s="18" t="str">
        <f>"0.32"</f>
        <v>0.32</v>
      </c>
      <c r="F55" s="18" t="str">
        <f>"0.23"</f>
        <v>0.23</v>
      </c>
    </row>
    <row r="56" spans="1:6" ht="12.75">
      <c r="A56" s="12" t="str">
        <f>"                                                                      "</f>
        <v>                                                                      </v>
      </c>
      <c r="B56" s="18" t="str">
        <f>"(8.08)"</f>
        <v>(8.08)</v>
      </c>
      <c r="C56" s="18" t="str">
        <f>"(3.98)"</f>
        <v>(3.98)</v>
      </c>
      <c r="D56" s="18" t="str">
        <f>"(5.44)"</f>
        <v>(5.44)</v>
      </c>
      <c r="E56" s="18" t="str">
        <f>"(1.51)"</f>
        <v>(1.51)</v>
      </c>
      <c r="F56" s="18" t="str">
        <f>"(1.09)"</f>
        <v>(1.09)</v>
      </c>
    </row>
    <row r="57" spans="1:6" ht="12.75">
      <c r="A57" s="12" t="s">
        <v>8</v>
      </c>
      <c r="B57" s="18" t="str">
        <f>"123.05"</f>
        <v>123.05</v>
      </c>
      <c r="C57" s="18" t="str">
        <f>"70.32"</f>
        <v>70.32</v>
      </c>
      <c r="D57" s="18" t="str">
        <f>"0.44"</f>
        <v>0.44</v>
      </c>
      <c r="E57" s="18" t="str">
        <f>"0.22"</f>
        <v>0.22</v>
      </c>
      <c r="F57" s="18" t="str">
        <f>"0.15"</f>
        <v>0.15</v>
      </c>
    </row>
    <row r="58" spans="1:6" ht="12.75">
      <c r="A58" s="33" t="str">
        <f>"                                                                      "</f>
        <v>                                                                      </v>
      </c>
      <c r="B58" s="32" t="str">
        <f>"(7.52)"</f>
        <v>(7.52)</v>
      </c>
      <c r="C58" s="32" t="str">
        <f>"(4.51)"</f>
        <v>(4.51)</v>
      </c>
      <c r="D58" s="32" t="str">
        <f>"(10.31)"</f>
        <v>(10.31)</v>
      </c>
      <c r="E58" s="32" t="str">
        <f>"(2.05)"</f>
        <v>(2.05)</v>
      </c>
      <c r="F58" s="32" t="str">
        <f>"(1.44)"</f>
        <v>(1.44)</v>
      </c>
    </row>
    <row r="59" ht="12.75">
      <c r="A59" s="9" t="str">
        <f>"t statistics in parentheses"</f>
        <v>t statistics in parentheses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zoomScalePageLayoutView="0" workbookViewId="0" topLeftCell="A1">
      <selection activeCell="B2" sqref="B2:D3"/>
    </sheetView>
  </sheetViews>
  <sheetFormatPr defaultColWidth="9.140625" defaultRowHeight="15"/>
  <cols>
    <col min="1" max="1" width="62.421875" style="0" bestFit="1" customWidth="1"/>
    <col min="2" max="2" width="11.7109375" style="0" bestFit="1" customWidth="1"/>
    <col min="3" max="3" width="13.28125" style="0" bestFit="1" customWidth="1"/>
    <col min="4" max="4" width="10.28125" style="0" bestFit="1" customWidth="1"/>
  </cols>
  <sheetData>
    <row r="2" spans="1:5" ht="15">
      <c r="A2" s="5" t="s">
        <v>173</v>
      </c>
      <c r="B2" s="61" t="s">
        <v>1</v>
      </c>
      <c r="C2" s="61"/>
      <c r="D2" s="61"/>
      <c r="E2" s="6"/>
    </row>
    <row r="3" spans="1:5" ht="15">
      <c r="A3" s="7"/>
      <c r="B3" s="8" t="s">
        <v>6</v>
      </c>
      <c r="C3" s="8" t="s">
        <v>11</v>
      </c>
      <c r="D3" s="8" t="s">
        <v>9</v>
      </c>
      <c r="E3" s="6"/>
    </row>
    <row r="4" spans="1:5" ht="15">
      <c r="A4" s="27" t="s">
        <v>12</v>
      </c>
      <c r="B4" s="6">
        <v>12399.54</v>
      </c>
      <c r="C4" s="6">
        <v>13613.27</v>
      </c>
      <c r="D4" s="6">
        <v>10841.85</v>
      </c>
      <c r="E4" s="6"/>
    </row>
    <row r="5" spans="1:5" ht="15">
      <c r="A5" s="6"/>
      <c r="B5" s="19">
        <v>16.11</v>
      </c>
      <c r="C5" s="19">
        <v>5.75</v>
      </c>
      <c r="D5" s="19">
        <v>2.32</v>
      </c>
      <c r="E5" s="6" t="s">
        <v>10</v>
      </c>
    </row>
    <row r="6" spans="1:5" ht="15">
      <c r="A6" s="27" t="s">
        <v>13</v>
      </c>
      <c r="B6" s="6">
        <v>9609.45</v>
      </c>
      <c r="C6" s="6">
        <v>8598.35</v>
      </c>
      <c r="D6" s="6">
        <v>8386.49</v>
      </c>
      <c r="E6" s="6"/>
    </row>
    <row r="7" spans="1:5" ht="15">
      <c r="A7" s="6"/>
      <c r="B7" s="19">
        <v>52.48</v>
      </c>
      <c r="C7" s="19">
        <v>48.25</v>
      </c>
      <c r="D7" s="19">
        <v>33.08</v>
      </c>
      <c r="E7" s="6"/>
    </row>
    <row r="8" spans="1:5" ht="15">
      <c r="A8" s="27" t="s">
        <v>96</v>
      </c>
      <c r="B8" s="6">
        <v>4802.64</v>
      </c>
      <c r="C8" s="6">
        <v>5218.24</v>
      </c>
      <c r="D8" s="6">
        <v>6924.77</v>
      </c>
      <c r="E8" s="6"/>
    </row>
    <row r="9" spans="1:5" ht="15">
      <c r="A9" s="6"/>
      <c r="B9" s="19">
        <v>35.97</v>
      </c>
      <c r="C9" s="19">
        <v>37.96</v>
      </c>
      <c r="D9" s="19">
        <v>39.12</v>
      </c>
      <c r="E9" s="6"/>
    </row>
    <row r="10" spans="1:5" ht="15">
      <c r="A10" s="27" t="s">
        <v>97</v>
      </c>
      <c r="B10" s="6">
        <v>5385.07</v>
      </c>
      <c r="C10" s="6">
        <v>5094.17</v>
      </c>
      <c r="D10" s="6">
        <v>5080.32</v>
      </c>
      <c r="E10" s="6"/>
    </row>
    <row r="11" spans="1:5" ht="15">
      <c r="A11" s="6"/>
      <c r="B11" s="19">
        <v>24.99</v>
      </c>
      <c r="C11" s="19">
        <v>27.31</v>
      </c>
      <c r="D11" s="19">
        <v>12.33</v>
      </c>
      <c r="E11" s="6"/>
    </row>
    <row r="12" spans="1:5" ht="15">
      <c r="A12" s="27" t="s">
        <v>98</v>
      </c>
      <c r="B12" s="6">
        <v>3131.81</v>
      </c>
      <c r="C12" s="6">
        <v>3109.28</v>
      </c>
      <c r="D12" s="6">
        <v>2551.66</v>
      </c>
      <c r="E12" s="6"/>
    </row>
    <row r="13" spans="1:5" ht="15">
      <c r="A13" s="6"/>
      <c r="B13" s="19">
        <v>34.79</v>
      </c>
      <c r="C13" s="19">
        <v>42.54</v>
      </c>
      <c r="D13" s="19">
        <v>26.25</v>
      </c>
      <c r="E13" s="6"/>
    </row>
    <row r="14" spans="1:5" ht="15">
      <c r="A14" s="27" t="s">
        <v>99</v>
      </c>
      <c r="B14" s="6">
        <v>1493.24</v>
      </c>
      <c r="C14" s="6">
        <v>1466.75</v>
      </c>
      <c r="D14" s="6">
        <v>1320.3</v>
      </c>
      <c r="E14" s="6"/>
    </row>
    <row r="15" spans="1:5" ht="15">
      <c r="A15" s="6"/>
      <c r="B15" s="19">
        <v>42.31</v>
      </c>
      <c r="C15" s="19">
        <v>52.84</v>
      </c>
      <c r="D15" s="19">
        <v>40.87</v>
      </c>
      <c r="E15" s="6"/>
    </row>
    <row r="16" spans="1:5" ht="15">
      <c r="A16" s="27" t="s">
        <v>100</v>
      </c>
      <c r="B16" s="6">
        <v>2599.95</v>
      </c>
      <c r="C16" s="6">
        <v>2428.61</v>
      </c>
      <c r="D16" s="6">
        <v>2029.37</v>
      </c>
      <c r="E16" s="6"/>
    </row>
    <row r="17" spans="1:5" ht="15">
      <c r="A17" s="6"/>
      <c r="B17" s="19">
        <v>20.39</v>
      </c>
      <c r="C17" s="19">
        <v>21.47</v>
      </c>
      <c r="D17" s="19">
        <v>15.25</v>
      </c>
      <c r="E17" s="6"/>
    </row>
    <row r="18" spans="1:5" ht="15">
      <c r="A18" s="11" t="s">
        <v>17</v>
      </c>
      <c r="B18" s="6">
        <v>898.71</v>
      </c>
      <c r="C18" s="6">
        <v>713.59</v>
      </c>
      <c r="D18" s="6">
        <v>710.32</v>
      </c>
      <c r="E18" s="6"/>
    </row>
    <row r="19" spans="1:5" ht="15">
      <c r="A19" s="28"/>
      <c r="B19" s="24">
        <v>26.12</v>
      </c>
      <c r="C19" s="24">
        <v>27.37</v>
      </c>
      <c r="D19" s="24">
        <v>24.27</v>
      </c>
      <c r="E19" s="6"/>
    </row>
    <row r="20" spans="1:5" ht="15">
      <c r="A20" s="16" t="str">
        <f>"t statistics in parentheses"</f>
        <v>t statistics in parentheses</v>
      </c>
      <c r="B20" s="6"/>
      <c r="C20" s="6"/>
      <c r="D20" s="6"/>
      <c r="E20" s="6"/>
    </row>
  </sheetData>
  <sheetProtection/>
  <mergeCells count="1"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7.140625" style="0" bestFit="1" customWidth="1"/>
    <col min="2" max="2" width="10.8515625" style="4" bestFit="1" customWidth="1"/>
    <col min="3" max="3" width="12.140625" style="4" bestFit="1" customWidth="1"/>
    <col min="4" max="4" width="9.28125" style="4" bestFit="1" customWidth="1"/>
  </cols>
  <sheetData>
    <row r="2" spans="1:5" ht="15">
      <c r="A2" s="5" t="s">
        <v>174</v>
      </c>
      <c r="B2" s="61" t="s">
        <v>1</v>
      </c>
      <c r="C2" s="61"/>
      <c r="D2" s="61"/>
      <c r="E2" s="6"/>
    </row>
    <row r="3" spans="1:5" ht="15">
      <c r="A3" s="7"/>
      <c r="B3" s="8" t="s">
        <v>6</v>
      </c>
      <c r="C3" s="8" t="s">
        <v>11</v>
      </c>
      <c r="D3" s="8" t="s">
        <v>9</v>
      </c>
      <c r="E3" s="6" t="s">
        <v>10</v>
      </c>
    </row>
    <row r="4" spans="1:5" ht="15">
      <c r="A4" s="6" t="s">
        <v>18</v>
      </c>
      <c r="B4" s="17">
        <v>583.74</v>
      </c>
      <c r="C4" s="18">
        <v>1096.03</v>
      </c>
      <c r="D4" s="18">
        <v>-207.05</v>
      </c>
      <c r="E4" s="6"/>
    </row>
    <row r="5" spans="1:5" ht="15">
      <c r="A5" s="19"/>
      <c r="B5" s="20">
        <v>0.77</v>
      </c>
      <c r="C5" s="20">
        <v>1.29</v>
      </c>
      <c r="D5" s="20">
        <v>-1.98</v>
      </c>
      <c r="E5" s="6" t="s">
        <v>10</v>
      </c>
    </row>
    <row r="6" spans="1:5" s="3" customFormat="1" ht="15">
      <c r="A6" s="6" t="s">
        <v>19</v>
      </c>
      <c r="B6" s="21">
        <v>-570.56</v>
      </c>
      <c r="C6" s="21">
        <v>-1475.02</v>
      </c>
      <c r="D6" s="21">
        <v>-1529.65</v>
      </c>
      <c r="E6" s="19" t="s">
        <v>10</v>
      </c>
    </row>
    <row r="7" spans="1:5" ht="15">
      <c r="A7" s="19"/>
      <c r="B7" s="22">
        <v>-0.47</v>
      </c>
      <c r="C7" s="22">
        <v>-1.35</v>
      </c>
      <c r="D7" s="22">
        <v>-8.47</v>
      </c>
      <c r="E7" s="6" t="s">
        <v>10</v>
      </c>
    </row>
    <row r="8" spans="1:5" s="3" customFormat="1" ht="15">
      <c r="A8" s="6" t="s">
        <v>20</v>
      </c>
      <c r="B8" s="21">
        <v>-1262.79</v>
      </c>
      <c r="C8" s="21">
        <v>3127.59</v>
      </c>
      <c r="D8" s="21">
        <v>-1420.94</v>
      </c>
      <c r="E8" s="19" t="s">
        <v>10</v>
      </c>
    </row>
    <row r="9" spans="1:5" ht="15">
      <c r="A9" s="19"/>
      <c r="B9" s="23">
        <v>-1.14</v>
      </c>
      <c r="C9" s="23">
        <v>1.3</v>
      </c>
      <c r="D9" s="23">
        <v>-3.33</v>
      </c>
      <c r="E9" s="6" t="s">
        <v>10</v>
      </c>
    </row>
    <row r="10" spans="1:5" s="3" customFormat="1" ht="15">
      <c r="A10" s="6" t="s">
        <v>21</v>
      </c>
      <c r="B10" s="21">
        <v>-220.75</v>
      </c>
      <c r="C10" s="21">
        <v>-539.84</v>
      </c>
      <c r="D10" s="21">
        <v>-762.76</v>
      </c>
      <c r="E10" s="19" t="s">
        <v>10</v>
      </c>
    </row>
    <row r="11" spans="1:5" ht="15">
      <c r="A11" s="19"/>
      <c r="B11" s="22">
        <v>-0.14</v>
      </c>
      <c r="C11" s="22">
        <v>-0.5</v>
      </c>
      <c r="D11" s="22">
        <v>-3.53</v>
      </c>
      <c r="E11" s="6" t="s">
        <v>10</v>
      </c>
    </row>
    <row r="12" spans="1:5" s="3" customFormat="1" ht="15">
      <c r="A12" s="6" t="s">
        <v>22</v>
      </c>
      <c r="B12" s="21">
        <v>105.42</v>
      </c>
      <c r="C12" s="21">
        <v>-265.78</v>
      </c>
      <c r="D12" s="21">
        <v>-1332.64</v>
      </c>
      <c r="E12" s="19" t="s">
        <v>10</v>
      </c>
    </row>
    <row r="13" spans="1:5" ht="15">
      <c r="A13" s="19"/>
      <c r="B13" s="22">
        <v>0.05</v>
      </c>
      <c r="C13" s="22">
        <v>-0.15</v>
      </c>
      <c r="D13" s="22">
        <v>-3.31</v>
      </c>
      <c r="E13" s="6" t="s">
        <v>10</v>
      </c>
    </row>
    <row r="14" spans="1:5" s="3" customFormat="1" ht="15">
      <c r="A14" s="6" t="s">
        <v>23</v>
      </c>
      <c r="B14" s="21">
        <v>280.23</v>
      </c>
      <c r="C14" s="21">
        <v>788.11</v>
      </c>
      <c r="D14" s="21">
        <v>-305.03</v>
      </c>
      <c r="E14" s="19" t="s">
        <v>10</v>
      </c>
    </row>
    <row r="15" spans="1:5" ht="15">
      <c r="A15" s="19"/>
      <c r="B15" s="22">
        <v>0.51</v>
      </c>
      <c r="C15" s="22">
        <v>1.19</v>
      </c>
      <c r="D15" s="22">
        <v>-1.44</v>
      </c>
      <c r="E15" s="6" t="s">
        <v>10</v>
      </c>
    </row>
    <row r="16" spans="1:5" s="3" customFormat="1" ht="15">
      <c r="A16" s="6" t="s">
        <v>24</v>
      </c>
      <c r="B16" s="21">
        <v>1232.58</v>
      </c>
      <c r="C16" s="21">
        <v>3009.08</v>
      </c>
      <c r="D16" s="21">
        <v>1784.31</v>
      </c>
      <c r="E16" s="19" t="s">
        <v>10</v>
      </c>
    </row>
    <row r="17" spans="1:5" ht="15">
      <c r="A17" s="19"/>
      <c r="B17" s="22">
        <v>1.14</v>
      </c>
      <c r="C17" s="22">
        <v>1.76</v>
      </c>
      <c r="D17" s="22">
        <v>1.21</v>
      </c>
      <c r="E17" s="6" t="s">
        <v>10</v>
      </c>
    </row>
    <row r="18" spans="1:5" s="3" customFormat="1" ht="15">
      <c r="A18" s="6" t="s">
        <v>25</v>
      </c>
      <c r="B18" s="21">
        <v>-1762.5</v>
      </c>
      <c r="C18" s="21">
        <v>-1331.1</v>
      </c>
      <c r="D18" s="21">
        <v>-1384.14</v>
      </c>
      <c r="E18" s="19" t="s">
        <v>10</v>
      </c>
    </row>
    <row r="19" spans="1:5" ht="15">
      <c r="A19" s="19"/>
      <c r="B19" s="22">
        <v>-12.01</v>
      </c>
      <c r="C19" s="22">
        <v>-6.78</v>
      </c>
      <c r="D19" s="22">
        <v>-3.41</v>
      </c>
      <c r="E19" s="6" t="s">
        <v>10</v>
      </c>
    </row>
    <row r="20" spans="1:5" s="3" customFormat="1" ht="15">
      <c r="A20" s="6" t="s">
        <v>26</v>
      </c>
      <c r="B20" s="21">
        <v>-745.97</v>
      </c>
      <c r="C20" s="21">
        <v>-910.61</v>
      </c>
      <c r="D20" s="21">
        <v>1627.37</v>
      </c>
      <c r="E20" s="19" t="s">
        <v>10</v>
      </c>
    </row>
    <row r="21" spans="1:5" ht="15">
      <c r="A21" s="19"/>
      <c r="B21" s="22">
        <v>-4.74</v>
      </c>
      <c r="C21" s="22">
        <v>-3.95</v>
      </c>
      <c r="D21" s="22">
        <v>0.45</v>
      </c>
      <c r="E21" s="6" t="s">
        <v>10</v>
      </c>
    </row>
    <row r="22" spans="1:5" s="3" customFormat="1" ht="15">
      <c r="A22" s="6" t="s">
        <v>27</v>
      </c>
      <c r="B22" s="21">
        <v>658.4</v>
      </c>
      <c r="C22" s="21">
        <v>809.75</v>
      </c>
      <c r="D22" s="21">
        <v>-2417.69</v>
      </c>
      <c r="E22" s="19" t="s">
        <v>10</v>
      </c>
    </row>
    <row r="23" spans="1:5" ht="15">
      <c r="A23" s="19"/>
      <c r="B23" s="23">
        <v>1.6</v>
      </c>
      <c r="C23" s="23">
        <v>1.12</v>
      </c>
      <c r="D23" s="23">
        <v>-1.24</v>
      </c>
      <c r="E23" s="6" t="s">
        <v>10</v>
      </c>
    </row>
    <row r="24" spans="1:5" s="3" customFormat="1" ht="15">
      <c r="A24" s="6" t="s">
        <v>28</v>
      </c>
      <c r="B24" s="21">
        <v>-754.74</v>
      </c>
      <c r="C24" s="21">
        <v>-262.32</v>
      </c>
      <c r="D24" s="21">
        <v>-1289.53</v>
      </c>
      <c r="E24" s="19" t="s">
        <v>10</v>
      </c>
    </row>
    <row r="25" spans="1:5" ht="15">
      <c r="A25" s="19"/>
      <c r="B25" s="22">
        <v>-1.38</v>
      </c>
      <c r="C25" s="22">
        <v>-0.32</v>
      </c>
      <c r="D25" s="22">
        <v>-0.95</v>
      </c>
      <c r="E25" s="6" t="s">
        <v>10</v>
      </c>
    </row>
    <row r="26" spans="1:5" s="3" customFormat="1" ht="15">
      <c r="A26" s="6" t="s">
        <v>29</v>
      </c>
      <c r="B26" s="21">
        <v>215.85</v>
      </c>
      <c r="C26" s="21">
        <v>-823.66</v>
      </c>
      <c r="D26" s="21">
        <v>-2679.09</v>
      </c>
      <c r="E26" s="19" t="s">
        <v>10</v>
      </c>
    </row>
    <row r="27" spans="1:5" ht="15">
      <c r="A27" s="19"/>
      <c r="B27" s="22">
        <v>0.42</v>
      </c>
      <c r="C27" s="22">
        <v>-1.21</v>
      </c>
      <c r="D27" s="22">
        <v>-1.85</v>
      </c>
      <c r="E27" s="6" t="s">
        <v>10</v>
      </c>
    </row>
    <row r="28" spans="1:5" s="3" customFormat="1" ht="15">
      <c r="A28" s="6" t="s">
        <v>30</v>
      </c>
      <c r="B28" s="21">
        <v>3249.23</v>
      </c>
      <c r="C28" s="21">
        <v>3505.54</v>
      </c>
      <c r="D28" s="21">
        <v>-4734.59</v>
      </c>
      <c r="E28" s="19" t="s">
        <v>10</v>
      </c>
    </row>
    <row r="29" spans="1:5" ht="15">
      <c r="A29" s="19"/>
      <c r="B29" s="22">
        <v>2.86</v>
      </c>
      <c r="C29" s="22">
        <v>2.11</v>
      </c>
      <c r="D29" s="22">
        <v>-1.46</v>
      </c>
      <c r="E29" s="6" t="s">
        <v>10</v>
      </c>
    </row>
    <row r="30" spans="1:5" s="3" customFormat="1" ht="15">
      <c r="A30" s="6" t="s">
        <v>31</v>
      </c>
      <c r="B30" s="21">
        <v>657.19</v>
      </c>
      <c r="C30" s="21">
        <v>-136.17</v>
      </c>
      <c r="D30" s="21">
        <v>-1001.82</v>
      </c>
      <c r="E30" s="19" t="s">
        <v>10</v>
      </c>
    </row>
    <row r="31" spans="1:5" ht="15">
      <c r="A31" s="19"/>
      <c r="B31" s="22">
        <v>1.98</v>
      </c>
      <c r="C31" s="22">
        <v>-0.25</v>
      </c>
      <c r="D31" s="22">
        <v>-0.35</v>
      </c>
      <c r="E31" s="6" t="s">
        <v>10</v>
      </c>
    </row>
    <row r="32" spans="1:5" s="3" customFormat="1" ht="15">
      <c r="A32" s="6" t="s">
        <v>32</v>
      </c>
      <c r="B32" s="21">
        <v>4144.13</v>
      </c>
      <c r="C32" s="21">
        <v>3217.71</v>
      </c>
      <c r="D32" s="21">
        <v>2469.26</v>
      </c>
      <c r="E32" s="19" t="s">
        <v>10</v>
      </c>
    </row>
    <row r="33" spans="1:5" ht="15">
      <c r="A33" s="19"/>
      <c r="B33" s="22">
        <v>29.06</v>
      </c>
      <c r="C33" s="22">
        <v>17.55</v>
      </c>
      <c r="D33" s="22">
        <v>8.69</v>
      </c>
      <c r="E33" s="6" t="s">
        <v>10</v>
      </c>
    </row>
    <row r="34" spans="1:5" s="3" customFormat="1" ht="15">
      <c r="A34" s="6" t="s">
        <v>33</v>
      </c>
      <c r="B34" s="21">
        <v>1103.43</v>
      </c>
      <c r="C34" s="21">
        <v>-197.65</v>
      </c>
      <c r="D34" s="21">
        <v>-603.15</v>
      </c>
      <c r="E34" s="19" t="s">
        <v>10</v>
      </c>
    </row>
    <row r="35" spans="1:5" ht="15">
      <c r="A35" s="19"/>
      <c r="B35" s="22">
        <v>2.01</v>
      </c>
      <c r="C35" s="22">
        <v>-0.39</v>
      </c>
      <c r="D35" s="22">
        <v>-1.29</v>
      </c>
      <c r="E35" s="6" t="s">
        <v>10</v>
      </c>
    </row>
    <row r="36" spans="1:5" s="3" customFormat="1" ht="15">
      <c r="A36" s="6" t="s">
        <v>34</v>
      </c>
      <c r="B36" s="21">
        <v>-1428.2</v>
      </c>
      <c r="C36" s="21">
        <v>-1225.31</v>
      </c>
      <c r="D36" s="21">
        <v>-2122.19</v>
      </c>
      <c r="E36" s="19" t="s">
        <v>10</v>
      </c>
    </row>
    <row r="37" spans="1:5" ht="15">
      <c r="A37" s="19"/>
      <c r="B37" s="22">
        <v>-4.35</v>
      </c>
      <c r="C37" s="22">
        <v>-3.99</v>
      </c>
      <c r="D37" s="22">
        <v>-3.07</v>
      </c>
      <c r="E37" s="6" t="s">
        <v>10</v>
      </c>
    </row>
    <row r="38" spans="1:5" s="3" customFormat="1" ht="15">
      <c r="A38" s="6" t="s">
        <v>35</v>
      </c>
      <c r="B38" s="21">
        <v>3296.47</v>
      </c>
      <c r="C38" s="21">
        <v>3974.52</v>
      </c>
      <c r="D38" s="21">
        <v>3415.95</v>
      </c>
      <c r="E38" s="19" t="s">
        <v>10</v>
      </c>
    </row>
    <row r="39" spans="1:5" ht="15">
      <c r="A39" s="19"/>
      <c r="B39" s="22">
        <v>8.48</v>
      </c>
      <c r="C39" s="22">
        <v>11.25</v>
      </c>
      <c r="D39" s="22">
        <v>4.33</v>
      </c>
      <c r="E39" s="6" t="s">
        <v>10</v>
      </c>
    </row>
    <row r="40" spans="1:5" s="3" customFormat="1" ht="15">
      <c r="A40" s="6" t="s">
        <v>36</v>
      </c>
      <c r="B40" s="21">
        <v>258.74</v>
      </c>
      <c r="C40" s="21">
        <v>198.84</v>
      </c>
      <c r="D40" s="21">
        <v>-753.02</v>
      </c>
      <c r="E40" s="19" t="s">
        <v>10</v>
      </c>
    </row>
    <row r="41" spans="1:5" ht="15">
      <c r="A41" s="19"/>
      <c r="B41" s="23">
        <v>0.55</v>
      </c>
      <c r="C41" s="23">
        <v>0.4</v>
      </c>
      <c r="D41" s="23">
        <v>-0.76</v>
      </c>
      <c r="E41" s="6" t="s">
        <v>10</v>
      </c>
    </row>
    <row r="42" spans="1:5" s="3" customFormat="1" ht="15">
      <c r="A42" s="6" t="s">
        <v>37</v>
      </c>
      <c r="B42" s="21">
        <v>-1352.65</v>
      </c>
      <c r="C42" s="21">
        <v>-336.06</v>
      </c>
      <c r="D42" s="21">
        <v>-25.02</v>
      </c>
      <c r="E42" s="19" t="s">
        <v>10</v>
      </c>
    </row>
    <row r="43" spans="1:5" ht="15">
      <c r="A43" s="19"/>
      <c r="B43" s="22">
        <v>-2.88</v>
      </c>
      <c r="C43" s="22">
        <v>-0.83</v>
      </c>
      <c r="D43" s="22">
        <v>-0.06</v>
      </c>
      <c r="E43" s="6" t="s">
        <v>10</v>
      </c>
    </row>
    <row r="44" spans="1:5" s="3" customFormat="1" ht="15">
      <c r="A44" s="6" t="s">
        <v>38</v>
      </c>
      <c r="B44" s="21">
        <v>1194.76</v>
      </c>
      <c r="C44" s="21">
        <v>1302.06</v>
      </c>
      <c r="D44" s="21">
        <v>2868.59</v>
      </c>
      <c r="E44" s="19" t="s">
        <v>10</v>
      </c>
    </row>
    <row r="45" spans="1:5" ht="15">
      <c r="A45" s="19"/>
      <c r="B45" s="23">
        <v>5.3</v>
      </c>
      <c r="C45" s="23">
        <v>7.54</v>
      </c>
      <c r="D45" s="23">
        <v>8.48</v>
      </c>
      <c r="E45" s="6" t="s">
        <v>10</v>
      </c>
    </row>
    <row r="46" spans="1:5" s="3" customFormat="1" ht="15">
      <c r="A46" s="6" t="s">
        <v>39</v>
      </c>
      <c r="B46" s="21">
        <v>-1014.6</v>
      </c>
      <c r="C46" s="21">
        <v>-183.38</v>
      </c>
      <c r="D46" s="21">
        <v>-701.3</v>
      </c>
      <c r="E46" s="19" t="s">
        <v>10</v>
      </c>
    </row>
    <row r="47" spans="1:5" ht="15">
      <c r="A47" s="19"/>
      <c r="B47" s="23">
        <v>-8.47</v>
      </c>
      <c r="C47" s="23">
        <v>-1.7</v>
      </c>
      <c r="D47" s="23">
        <v>-4.69</v>
      </c>
      <c r="E47" s="6" t="s">
        <v>10</v>
      </c>
    </row>
    <row r="48" spans="1:5" s="3" customFormat="1" ht="15">
      <c r="A48" s="6" t="s">
        <v>40</v>
      </c>
      <c r="B48" s="21">
        <v>-78.15</v>
      </c>
      <c r="C48" s="21">
        <v>296.43</v>
      </c>
      <c r="D48" s="21">
        <v>1099.26</v>
      </c>
      <c r="E48" s="19" t="s">
        <v>10</v>
      </c>
    </row>
    <row r="49" spans="1:5" ht="15">
      <c r="A49" s="19"/>
      <c r="B49" s="22">
        <v>-0.43</v>
      </c>
      <c r="C49" s="22">
        <v>2.09</v>
      </c>
      <c r="D49" s="22">
        <v>4.63</v>
      </c>
      <c r="E49" s="6" t="s">
        <v>10</v>
      </c>
    </row>
    <row r="50" spans="1:5" s="3" customFormat="1" ht="15">
      <c r="A50" s="6" t="s">
        <v>41</v>
      </c>
      <c r="B50" s="21">
        <v>248.56</v>
      </c>
      <c r="C50" s="21">
        <v>-250.06</v>
      </c>
      <c r="D50" s="21">
        <v>62.99</v>
      </c>
      <c r="E50" s="19" t="s">
        <v>10</v>
      </c>
    </row>
    <row r="51" spans="1:5" ht="15">
      <c r="A51" s="19"/>
      <c r="B51" s="23">
        <v>0.5</v>
      </c>
      <c r="C51" s="23">
        <v>-0.69</v>
      </c>
      <c r="D51" s="23">
        <v>0.1</v>
      </c>
      <c r="E51" s="6" t="s">
        <v>10</v>
      </c>
    </row>
    <row r="52" spans="1:5" s="3" customFormat="1" ht="15">
      <c r="A52" s="6" t="s">
        <v>42</v>
      </c>
      <c r="B52" s="21">
        <v>-1369.58</v>
      </c>
      <c r="C52" s="21">
        <v>527.38</v>
      </c>
      <c r="D52" s="21">
        <v>-20.32</v>
      </c>
      <c r="E52" s="19" t="s">
        <v>10</v>
      </c>
    </row>
    <row r="53" spans="1:5" ht="15">
      <c r="A53" s="19"/>
      <c r="B53" s="22">
        <v>-1.85</v>
      </c>
      <c r="C53" s="22">
        <v>0.71</v>
      </c>
      <c r="D53" s="22">
        <v>-0.01</v>
      </c>
      <c r="E53" s="6" t="s">
        <v>10</v>
      </c>
    </row>
    <row r="54" spans="1:5" s="3" customFormat="1" ht="15">
      <c r="A54" s="6" t="s">
        <v>43</v>
      </c>
      <c r="B54" s="21">
        <v>110.31</v>
      </c>
      <c r="C54" s="21">
        <v>-500.24</v>
      </c>
      <c r="D54" s="21">
        <v>536.21</v>
      </c>
      <c r="E54" s="19" t="s">
        <v>10</v>
      </c>
    </row>
    <row r="55" spans="1:5" ht="15">
      <c r="A55" s="19"/>
      <c r="B55" s="22">
        <v>0.27</v>
      </c>
      <c r="C55" s="22">
        <v>-2.32</v>
      </c>
      <c r="D55" s="22">
        <v>0.67</v>
      </c>
      <c r="E55" s="6" t="s">
        <v>10</v>
      </c>
    </row>
    <row r="56" spans="1:5" s="3" customFormat="1" ht="15">
      <c r="A56" s="6" t="s">
        <v>44</v>
      </c>
      <c r="B56" s="21">
        <v>-96.65</v>
      </c>
      <c r="C56" s="21">
        <v>-189.37</v>
      </c>
      <c r="D56" s="21">
        <v>415.32</v>
      </c>
      <c r="E56" s="19" t="s">
        <v>10</v>
      </c>
    </row>
    <row r="57" spans="1:5" ht="15">
      <c r="A57" s="19"/>
      <c r="B57" s="22">
        <v>-0.45</v>
      </c>
      <c r="C57" s="22">
        <v>-1.14</v>
      </c>
      <c r="D57" s="22">
        <v>1.56</v>
      </c>
      <c r="E57" s="6" t="s">
        <v>10</v>
      </c>
    </row>
    <row r="58" spans="1:5" s="3" customFormat="1" ht="15">
      <c r="A58" s="6" t="s">
        <v>45</v>
      </c>
      <c r="B58" s="21">
        <v>1066.97</v>
      </c>
      <c r="C58" s="21">
        <v>391.75</v>
      </c>
      <c r="D58" s="21">
        <v>-560.35</v>
      </c>
      <c r="E58" s="19" t="s">
        <v>10</v>
      </c>
    </row>
    <row r="59" spans="1:5" ht="15">
      <c r="A59" s="19"/>
      <c r="B59" s="22">
        <v>2.58</v>
      </c>
      <c r="C59" s="22">
        <v>1.24</v>
      </c>
      <c r="D59" s="22">
        <v>-0.77</v>
      </c>
      <c r="E59" s="6" t="s">
        <v>10</v>
      </c>
    </row>
    <row r="60" spans="1:5" s="3" customFormat="1" ht="15">
      <c r="A60" s="6" t="s">
        <v>46</v>
      </c>
      <c r="B60" s="21">
        <v>-1659.16</v>
      </c>
      <c r="C60" s="21">
        <v>-1033.01</v>
      </c>
      <c r="D60" s="21">
        <v>-1073.88</v>
      </c>
      <c r="E60" s="19" t="s">
        <v>10</v>
      </c>
    </row>
    <row r="61" spans="1:5" ht="15">
      <c r="A61" s="19"/>
      <c r="B61" s="22">
        <v>-11.24</v>
      </c>
      <c r="C61" s="22">
        <v>-6.41</v>
      </c>
      <c r="D61" s="22">
        <v>-3.05</v>
      </c>
      <c r="E61" s="6" t="s">
        <v>10</v>
      </c>
    </row>
    <row r="62" spans="1:5" s="3" customFormat="1" ht="15">
      <c r="A62" s="6" t="s">
        <v>47</v>
      </c>
      <c r="B62" s="21">
        <v>-370.43</v>
      </c>
      <c r="C62" s="21">
        <v>338.13</v>
      </c>
      <c r="D62" s="21">
        <v>4979.76</v>
      </c>
      <c r="E62" s="19" t="s">
        <v>10</v>
      </c>
    </row>
    <row r="63" spans="1:5" ht="15">
      <c r="A63" s="19"/>
      <c r="B63" s="22">
        <v>-0.39</v>
      </c>
      <c r="C63" s="22">
        <v>0.6</v>
      </c>
      <c r="D63" s="22">
        <v>1.35</v>
      </c>
      <c r="E63" s="6" t="s">
        <v>10</v>
      </c>
    </row>
    <row r="64" spans="1:5" s="3" customFormat="1" ht="15">
      <c r="A64" s="6" t="s">
        <v>48</v>
      </c>
      <c r="B64" s="21">
        <v>-264.66</v>
      </c>
      <c r="C64" s="21">
        <v>775.31</v>
      </c>
      <c r="D64" s="21">
        <v>1354.09</v>
      </c>
      <c r="E64" s="19" t="s">
        <v>10</v>
      </c>
    </row>
    <row r="65" spans="1:5" ht="15">
      <c r="A65" s="19"/>
      <c r="B65" s="22">
        <v>-0.35</v>
      </c>
      <c r="C65" s="22">
        <v>0.99</v>
      </c>
      <c r="D65" s="22">
        <v>0.89</v>
      </c>
      <c r="E65" s="6" t="s">
        <v>10</v>
      </c>
    </row>
    <row r="66" spans="1:5" s="3" customFormat="1" ht="15">
      <c r="A66" s="6" t="s">
        <v>49</v>
      </c>
      <c r="B66" s="21">
        <v>1147.85</v>
      </c>
      <c r="C66" s="21">
        <v>1994.55</v>
      </c>
      <c r="D66" s="21">
        <v>821.79</v>
      </c>
      <c r="E66" s="19" t="s">
        <v>10</v>
      </c>
    </row>
    <row r="67" spans="1:5" ht="15">
      <c r="A67" s="19"/>
      <c r="B67" s="22">
        <v>1.17</v>
      </c>
      <c r="C67" s="22">
        <v>6.97</v>
      </c>
      <c r="D67" s="22">
        <v>0.51</v>
      </c>
      <c r="E67" s="6" t="s">
        <v>10</v>
      </c>
    </row>
    <row r="68" spans="1:5" s="3" customFormat="1" ht="15">
      <c r="A68" s="6" t="s">
        <v>50</v>
      </c>
      <c r="B68" s="21">
        <v>367.2</v>
      </c>
      <c r="C68" s="21">
        <v>2645.74</v>
      </c>
      <c r="D68" s="21">
        <v>653.2</v>
      </c>
      <c r="E68" s="19" t="s">
        <v>10</v>
      </c>
    </row>
    <row r="69" spans="1:5" ht="15">
      <c r="A69" s="19"/>
      <c r="B69" s="22">
        <v>1.46</v>
      </c>
      <c r="C69" s="22">
        <v>12.88</v>
      </c>
      <c r="D69" s="22">
        <v>0.86</v>
      </c>
      <c r="E69" s="6" t="s">
        <v>10</v>
      </c>
    </row>
    <row r="70" spans="1:5" s="3" customFormat="1" ht="15">
      <c r="A70" s="6" t="s">
        <v>51</v>
      </c>
      <c r="B70" s="21">
        <v>427.79</v>
      </c>
      <c r="C70" s="21">
        <v>1055.29</v>
      </c>
      <c r="D70" s="21">
        <v>-1946.01</v>
      </c>
      <c r="E70" s="19" t="s">
        <v>10</v>
      </c>
    </row>
    <row r="71" spans="1:5" ht="15">
      <c r="A71" s="19"/>
      <c r="B71" s="22">
        <v>0.51</v>
      </c>
      <c r="C71" s="22">
        <v>1.45</v>
      </c>
      <c r="D71" s="22">
        <v>-1.5</v>
      </c>
      <c r="E71" s="6" t="s">
        <v>10</v>
      </c>
    </row>
    <row r="72" spans="1:5" s="3" customFormat="1" ht="15">
      <c r="A72" s="6" t="s">
        <v>52</v>
      </c>
      <c r="B72" s="21">
        <v>1764.76</v>
      </c>
      <c r="C72" s="21">
        <v>753.29</v>
      </c>
      <c r="D72" s="21">
        <v>-604.81</v>
      </c>
      <c r="E72" s="19" t="s">
        <v>10</v>
      </c>
    </row>
    <row r="73" spans="1:5" ht="15">
      <c r="A73" s="19"/>
      <c r="B73" s="22">
        <v>2.03</v>
      </c>
      <c r="C73" s="22">
        <v>0.95</v>
      </c>
      <c r="D73" s="22">
        <v>-0.35</v>
      </c>
      <c r="E73" s="6" t="s">
        <v>10</v>
      </c>
    </row>
    <row r="74" spans="1:5" s="3" customFormat="1" ht="15">
      <c r="A74" s="6" t="s">
        <v>53</v>
      </c>
      <c r="B74" s="21">
        <v>1730.4</v>
      </c>
      <c r="C74" s="21">
        <v>567.44</v>
      </c>
      <c r="D74" s="21">
        <v>-5252.43</v>
      </c>
      <c r="E74" s="19" t="s">
        <v>10</v>
      </c>
    </row>
    <row r="75" spans="1:5" ht="15">
      <c r="A75" s="19"/>
      <c r="B75" s="23">
        <v>2.6</v>
      </c>
      <c r="C75" s="23">
        <v>0.6</v>
      </c>
      <c r="D75" s="23">
        <v>-4.71</v>
      </c>
      <c r="E75" s="6" t="s">
        <v>10</v>
      </c>
    </row>
    <row r="76" spans="1:5" s="3" customFormat="1" ht="15">
      <c r="A76" s="6" t="s">
        <v>54</v>
      </c>
      <c r="B76" s="21">
        <v>-122.17</v>
      </c>
      <c r="C76" s="21">
        <v>990.24</v>
      </c>
      <c r="D76" s="21">
        <v>-249.57</v>
      </c>
      <c r="E76" s="19" t="s">
        <v>10</v>
      </c>
    </row>
    <row r="77" spans="1:5" ht="15">
      <c r="A77" s="19"/>
      <c r="B77" s="22">
        <v>-0.35</v>
      </c>
      <c r="C77" s="22">
        <v>1.16</v>
      </c>
      <c r="D77" s="22">
        <v>-1.32</v>
      </c>
      <c r="E77" s="6" t="s">
        <v>10</v>
      </c>
    </row>
    <row r="78" spans="1:5" s="3" customFormat="1" ht="15">
      <c r="A78" s="6" t="s">
        <v>55</v>
      </c>
      <c r="B78" s="21">
        <v>725.39</v>
      </c>
      <c r="C78" s="21">
        <v>481.05</v>
      </c>
      <c r="D78" s="21">
        <v>409.11</v>
      </c>
      <c r="E78" s="19" t="s">
        <v>10</v>
      </c>
    </row>
    <row r="79" spans="1:5" ht="15">
      <c r="A79" s="19"/>
      <c r="B79" s="22">
        <v>3.14</v>
      </c>
      <c r="C79" s="22">
        <v>3.04</v>
      </c>
      <c r="D79" s="22">
        <v>2.21</v>
      </c>
      <c r="E79" s="6" t="s">
        <v>10</v>
      </c>
    </row>
    <row r="80" spans="1:5" s="3" customFormat="1" ht="15">
      <c r="A80" s="6" t="s">
        <v>56</v>
      </c>
      <c r="B80" s="18">
        <v>1740.33</v>
      </c>
      <c r="C80" s="18">
        <v>-23.24</v>
      </c>
      <c r="D80" s="18">
        <v>-2117.32</v>
      </c>
      <c r="E80" s="19" t="s">
        <v>10</v>
      </c>
    </row>
    <row r="81" spans="1:5" ht="15">
      <c r="A81" s="19"/>
      <c r="B81" s="20">
        <v>0.84</v>
      </c>
      <c r="C81" s="20">
        <v>-0.01</v>
      </c>
      <c r="D81" s="20">
        <v>-7.47</v>
      </c>
      <c r="E81" s="6" t="s">
        <v>10</v>
      </c>
    </row>
    <row r="82" spans="1:5" s="3" customFormat="1" ht="15">
      <c r="A82" s="6" t="s">
        <v>57</v>
      </c>
      <c r="B82" s="18">
        <v>-256.56</v>
      </c>
      <c r="C82" s="18">
        <v>-94.86</v>
      </c>
      <c r="D82" s="18">
        <v>-700.34</v>
      </c>
      <c r="E82" s="19" t="s">
        <v>10</v>
      </c>
    </row>
    <row r="83" spans="1:5" ht="15">
      <c r="A83" s="19"/>
      <c r="B83" s="20">
        <v>-0.32</v>
      </c>
      <c r="C83" s="20">
        <v>-0.13</v>
      </c>
      <c r="D83" s="20">
        <v>-0.53</v>
      </c>
      <c r="E83" s="6" t="s">
        <v>10</v>
      </c>
    </row>
    <row r="84" spans="1:5" s="3" customFormat="1" ht="15">
      <c r="A84" s="6" t="s">
        <v>58</v>
      </c>
      <c r="B84" s="18">
        <v>2901.63</v>
      </c>
      <c r="C84" s="18">
        <v>2899.02</v>
      </c>
      <c r="D84" s="18">
        <v>2311.34</v>
      </c>
      <c r="E84" s="19" t="s">
        <v>10</v>
      </c>
    </row>
    <row r="85" spans="1:5" ht="15">
      <c r="A85" s="19"/>
      <c r="B85" s="20">
        <v>2.51</v>
      </c>
      <c r="C85" s="20">
        <v>2.06</v>
      </c>
      <c r="D85" s="20">
        <v>1.01</v>
      </c>
      <c r="E85" s="6" t="s">
        <v>10</v>
      </c>
    </row>
    <row r="86" spans="1:5" s="3" customFormat="1" ht="15">
      <c r="A86" s="6" t="s">
        <v>59</v>
      </c>
      <c r="B86" s="18">
        <v>1594.26</v>
      </c>
      <c r="C86" s="18">
        <v>-385.84</v>
      </c>
      <c r="D86" s="18">
        <v>1716.55</v>
      </c>
      <c r="E86" s="19" t="s">
        <v>10</v>
      </c>
    </row>
    <row r="87" spans="1:5" ht="15">
      <c r="A87" s="19"/>
      <c r="B87" s="23">
        <v>1.6</v>
      </c>
      <c r="C87" s="20">
        <v>-0.53</v>
      </c>
      <c r="D87" s="20">
        <v>1.06</v>
      </c>
      <c r="E87" s="6" t="s">
        <v>10</v>
      </c>
    </row>
    <row r="88" spans="1:5" s="3" customFormat="1" ht="15">
      <c r="A88" s="6" t="s">
        <v>60</v>
      </c>
      <c r="B88" s="18">
        <v>972.68</v>
      </c>
      <c r="C88" s="18">
        <v>1927.96</v>
      </c>
      <c r="D88" s="18">
        <v>-273.1</v>
      </c>
      <c r="E88" s="19" t="s">
        <v>10</v>
      </c>
    </row>
    <row r="89" spans="1:5" ht="15">
      <c r="A89" s="24"/>
      <c r="B89" s="25">
        <v>3</v>
      </c>
      <c r="C89" s="26">
        <v>5.77</v>
      </c>
      <c r="D89" s="26">
        <v>-0.53</v>
      </c>
      <c r="E89" s="6" t="s">
        <v>10</v>
      </c>
    </row>
    <row r="90" spans="1:5" s="3" customFormat="1" ht="15">
      <c r="A90" s="16" t="str">
        <f>"t statistics in parentheses"</f>
        <v>t statistics in parentheses</v>
      </c>
      <c r="B90" s="20"/>
      <c r="C90" s="20"/>
      <c r="D90" s="20"/>
      <c r="E90" s="19" t="s">
        <v>10</v>
      </c>
    </row>
    <row r="91" spans="1:5" ht="15">
      <c r="A91" s="1"/>
      <c r="B91" s="2"/>
      <c r="C91" s="2"/>
      <c r="D91" s="2"/>
      <c r="E91" s="1"/>
    </row>
  </sheetData>
  <sheetProtection/>
  <mergeCells count="1">
    <mergeCell ref="B2:D2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9"/>
  <sheetViews>
    <sheetView zoomScale="115" zoomScaleNormal="115" zoomScalePageLayoutView="0" workbookViewId="0" topLeftCell="A1">
      <selection activeCell="F3" sqref="F3"/>
    </sheetView>
  </sheetViews>
  <sheetFormatPr defaultColWidth="9.140625" defaultRowHeight="15"/>
  <cols>
    <col min="1" max="1" width="53.28125" style="6" bestFit="1" customWidth="1"/>
    <col min="2" max="4" width="12.28125" style="6" customWidth="1"/>
    <col min="5" max="5" width="9.140625" style="6" customWidth="1"/>
    <col min="6" max="6" width="49.8515625" style="6" bestFit="1" customWidth="1"/>
    <col min="7" max="7" width="10.8515625" style="6" bestFit="1" customWidth="1"/>
    <col min="8" max="8" width="12.140625" style="6" bestFit="1" customWidth="1"/>
    <col min="9" max="9" width="9.28125" style="6" bestFit="1" customWidth="1"/>
    <col min="10" max="16384" width="9.140625" style="6" customWidth="1"/>
  </cols>
  <sheetData>
    <row r="2" spans="1:9" ht="12.75">
      <c r="A2" s="5" t="s">
        <v>175</v>
      </c>
      <c r="B2" s="61" t="s">
        <v>2</v>
      </c>
      <c r="C2" s="61"/>
      <c r="D2" s="61"/>
      <c r="F2" s="5" t="s">
        <v>176</v>
      </c>
      <c r="G2" s="61" t="s">
        <v>2</v>
      </c>
      <c r="H2" s="61"/>
      <c r="I2" s="61"/>
    </row>
    <row r="3" spans="1:9" ht="12.75">
      <c r="A3" s="7"/>
      <c r="B3" s="8" t="s">
        <v>6</v>
      </c>
      <c r="C3" s="8" t="s">
        <v>11</v>
      </c>
      <c r="D3" s="8" t="s">
        <v>9</v>
      </c>
      <c r="E3" s="6" t="s">
        <v>10</v>
      </c>
      <c r="F3" s="7"/>
      <c r="G3" s="8" t="s">
        <v>6</v>
      </c>
      <c r="H3" s="8" t="s">
        <v>11</v>
      </c>
      <c r="I3" s="8" t="s">
        <v>9</v>
      </c>
    </row>
    <row r="4" spans="1:6" ht="12.75">
      <c r="A4" s="9" t="s">
        <v>104</v>
      </c>
      <c r="F4" s="10" t="s">
        <v>106</v>
      </c>
    </row>
    <row r="5" spans="1:9" ht="12.75">
      <c r="A5" s="11" t="s">
        <v>82</v>
      </c>
      <c r="B5" s="6">
        <v>-0.0135</v>
      </c>
      <c r="C5" s="6">
        <v>-0.0749</v>
      </c>
      <c r="D5" s="6">
        <v>-0.1813</v>
      </c>
      <c r="F5" s="12" t="s">
        <v>105</v>
      </c>
      <c r="G5" s="6">
        <v>-0.0348</v>
      </c>
      <c r="H5" s="6">
        <v>-0.0325</v>
      </c>
      <c r="I5" s="6">
        <v>-0.2297</v>
      </c>
    </row>
    <row r="6" spans="2:9" s="13" customFormat="1" ht="12.75">
      <c r="B6" s="13">
        <v>-0.3795</v>
      </c>
      <c r="C6" s="13">
        <v>-2.3686</v>
      </c>
      <c r="D6" s="13">
        <v>-4.7929</v>
      </c>
      <c r="E6" s="13" t="s">
        <v>10</v>
      </c>
      <c r="F6" s="14"/>
      <c r="G6" s="13">
        <v>-1.0847</v>
      </c>
      <c r="H6" s="13">
        <v>-1.0606</v>
      </c>
      <c r="I6" s="13">
        <v>-6.9105</v>
      </c>
    </row>
    <row r="7" spans="1:9" ht="12.75">
      <c r="A7" s="11" t="s">
        <v>85</v>
      </c>
      <c r="B7" s="6">
        <v>0.2198</v>
      </c>
      <c r="C7" s="6">
        <v>0.1198</v>
      </c>
      <c r="D7" s="6">
        <v>0.1161</v>
      </c>
      <c r="E7" s="6" t="s">
        <v>10</v>
      </c>
      <c r="F7" s="12">
        <v>1991</v>
      </c>
      <c r="G7" s="6">
        <v>0.2076</v>
      </c>
      <c r="H7" s="6">
        <v>0.198</v>
      </c>
      <c r="I7" s="6">
        <v>-0.0357</v>
      </c>
    </row>
    <row r="8" spans="2:9" s="13" customFormat="1" ht="12.75">
      <c r="B8" s="13">
        <v>7.8913</v>
      </c>
      <c r="C8" s="13">
        <v>5.8859</v>
      </c>
      <c r="D8" s="13">
        <v>4.0247</v>
      </c>
      <c r="E8" s="13" t="s">
        <v>10</v>
      </c>
      <c r="F8" s="14"/>
      <c r="G8" s="13">
        <v>4.465</v>
      </c>
      <c r="H8" s="13">
        <v>4.1289</v>
      </c>
      <c r="I8" s="13">
        <v>-0.563</v>
      </c>
    </row>
    <row r="9" spans="1:9" ht="12.75">
      <c r="A9" s="11" t="s">
        <v>79</v>
      </c>
      <c r="B9" s="6">
        <v>-0.082</v>
      </c>
      <c r="C9" s="6">
        <v>-0.1754</v>
      </c>
      <c r="D9" s="6">
        <v>-0.3059</v>
      </c>
      <c r="E9" s="6" t="s">
        <v>10</v>
      </c>
      <c r="F9" s="12">
        <v>1992</v>
      </c>
      <c r="G9" s="6">
        <v>0.1518</v>
      </c>
      <c r="H9" s="6">
        <v>0.1922</v>
      </c>
      <c r="I9" s="6">
        <v>0.0703</v>
      </c>
    </row>
    <row r="10" spans="2:9" s="13" customFormat="1" ht="12.75">
      <c r="B10" s="13">
        <v>-2.1762</v>
      </c>
      <c r="C10" s="13">
        <v>-5.2628</v>
      </c>
      <c r="D10" s="13">
        <v>-7.9318</v>
      </c>
      <c r="E10" s="13" t="s">
        <v>10</v>
      </c>
      <c r="F10" s="14"/>
      <c r="G10" s="13">
        <v>1.9675</v>
      </c>
      <c r="H10" s="13">
        <v>2.4806</v>
      </c>
      <c r="I10" s="13">
        <v>0.6131</v>
      </c>
    </row>
    <row r="11" spans="1:9" ht="12.75">
      <c r="A11" s="11" t="s">
        <v>86</v>
      </c>
      <c r="B11" s="6">
        <v>0.0552</v>
      </c>
      <c r="C11" s="6">
        <v>0.0083</v>
      </c>
      <c r="D11" s="6">
        <v>0.1651</v>
      </c>
      <c r="E11" s="6" t="s">
        <v>10</v>
      </c>
      <c r="F11" s="12">
        <v>1993</v>
      </c>
      <c r="G11" s="6">
        <v>0.1025</v>
      </c>
      <c r="H11" s="6">
        <v>0.0974</v>
      </c>
      <c r="I11" s="6">
        <v>-0.0168</v>
      </c>
    </row>
    <row r="12" spans="2:9" s="13" customFormat="1" ht="12.75">
      <c r="B12" s="13">
        <v>1.5748</v>
      </c>
      <c r="C12" s="13">
        <v>0.2897</v>
      </c>
      <c r="D12" s="13">
        <v>2.2358</v>
      </c>
      <c r="E12" s="13" t="s">
        <v>10</v>
      </c>
      <c r="F12" s="14"/>
      <c r="G12" s="13">
        <v>1.5589</v>
      </c>
      <c r="H12" s="13">
        <v>1.5164</v>
      </c>
      <c r="I12" s="13">
        <v>-0.1795</v>
      </c>
    </row>
    <row r="13" spans="1:9" ht="12.75">
      <c r="A13" s="11" t="s">
        <v>87</v>
      </c>
      <c r="B13" s="6">
        <v>0.2625</v>
      </c>
      <c r="C13" s="6">
        <v>0.1361</v>
      </c>
      <c r="D13" s="6">
        <v>0.1537</v>
      </c>
      <c r="E13" s="6" t="s">
        <v>10</v>
      </c>
      <c r="F13" s="12">
        <v>1994</v>
      </c>
      <c r="G13" s="6">
        <v>0.1155</v>
      </c>
      <c r="H13" s="6">
        <v>0.0429</v>
      </c>
      <c r="I13" s="6">
        <v>-0.0419</v>
      </c>
    </row>
    <row r="14" spans="2:9" s="13" customFormat="1" ht="12.75">
      <c r="B14" s="13">
        <v>15.1746</v>
      </c>
      <c r="C14" s="13">
        <v>9.5721</v>
      </c>
      <c r="D14" s="13">
        <v>6.1847</v>
      </c>
      <c r="E14" s="13" t="s">
        <v>10</v>
      </c>
      <c r="F14" s="14"/>
      <c r="G14" s="13">
        <v>1.8083</v>
      </c>
      <c r="H14" s="13">
        <v>0.6517</v>
      </c>
      <c r="I14" s="13">
        <v>-0.4155</v>
      </c>
    </row>
    <row r="15" spans="1:9" ht="12.75">
      <c r="A15" s="11" t="s">
        <v>88</v>
      </c>
      <c r="B15" s="6">
        <v>0.2978</v>
      </c>
      <c r="C15" s="6">
        <v>0.1546</v>
      </c>
      <c r="D15" s="6">
        <v>0.0504</v>
      </c>
      <c r="E15" s="6" t="s">
        <v>10</v>
      </c>
      <c r="F15" s="12">
        <v>1995</v>
      </c>
      <c r="G15" s="6">
        <v>0.1343</v>
      </c>
      <c r="H15" s="6">
        <v>0.1115</v>
      </c>
      <c r="I15" s="6">
        <v>-0.1835</v>
      </c>
    </row>
    <row r="16" spans="2:9" s="13" customFormat="1" ht="12.75">
      <c r="B16" s="13">
        <v>3.9513</v>
      </c>
      <c r="C16" s="13">
        <v>3.8719</v>
      </c>
      <c r="D16" s="13">
        <v>2.8043</v>
      </c>
      <c r="E16" s="13" t="s">
        <v>10</v>
      </c>
      <c r="F16" s="14"/>
      <c r="G16" s="13">
        <v>2.1503</v>
      </c>
      <c r="H16" s="13">
        <v>1.8379</v>
      </c>
      <c r="I16" s="13">
        <v>-1.711</v>
      </c>
    </row>
    <row r="17" spans="5:9" ht="12.75">
      <c r="E17" s="6" t="s">
        <v>10</v>
      </c>
      <c r="F17" s="12">
        <v>1996</v>
      </c>
      <c r="G17" s="6">
        <v>0.174</v>
      </c>
      <c r="H17" s="6">
        <v>0.1311</v>
      </c>
      <c r="I17" s="6">
        <v>-0.1445</v>
      </c>
    </row>
    <row r="18" spans="1:9" ht="12.75">
      <c r="A18" s="10" t="s">
        <v>103</v>
      </c>
      <c r="E18" s="6" t="s">
        <v>10</v>
      </c>
      <c r="F18" s="14"/>
      <c r="G18" s="13">
        <v>3.2057</v>
      </c>
      <c r="H18" s="13">
        <v>2.5663</v>
      </c>
      <c r="I18" s="13">
        <v>-1.6058</v>
      </c>
    </row>
    <row r="19" spans="1:9" ht="12.75">
      <c r="A19" s="11" t="s">
        <v>83</v>
      </c>
      <c r="B19" s="6">
        <v>0.4292</v>
      </c>
      <c r="C19" s="6">
        <v>0.3802</v>
      </c>
      <c r="D19" s="6">
        <v>0.3973</v>
      </c>
      <c r="E19" s="6" t="s">
        <v>10</v>
      </c>
      <c r="F19" s="12">
        <v>1997</v>
      </c>
      <c r="G19" s="6">
        <v>0.1282</v>
      </c>
      <c r="H19" s="6">
        <v>-0.0004</v>
      </c>
      <c r="I19" s="6">
        <v>-0.1627</v>
      </c>
    </row>
    <row r="20" spans="2:9" s="13" customFormat="1" ht="12.75">
      <c r="B20" s="13">
        <v>20.0618</v>
      </c>
      <c r="C20" s="13">
        <v>13.7945</v>
      </c>
      <c r="D20" s="13">
        <v>10.6224</v>
      </c>
      <c r="E20" s="13" t="s">
        <v>10</v>
      </c>
      <c r="F20" s="14"/>
      <c r="G20" s="13">
        <v>2.2711</v>
      </c>
      <c r="H20" s="13">
        <v>-0.007</v>
      </c>
      <c r="I20" s="13">
        <v>-1.7365</v>
      </c>
    </row>
    <row r="21" spans="1:9" ht="12.75">
      <c r="A21" s="11" t="s">
        <v>84</v>
      </c>
      <c r="B21" s="6">
        <v>0.1247</v>
      </c>
      <c r="C21" s="6">
        <v>-0.0169</v>
      </c>
      <c r="D21" s="6">
        <v>-0.0589</v>
      </c>
      <c r="E21" s="6" t="s">
        <v>10</v>
      </c>
      <c r="F21" s="12">
        <v>1998</v>
      </c>
      <c r="G21" s="6">
        <v>0.0094</v>
      </c>
      <c r="H21" s="6">
        <v>0.0797</v>
      </c>
      <c r="I21" s="6">
        <v>-0.1611</v>
      </c>
    </row>
    <row r="22" spans="2:9" s="13" customFormat="1" ht="12.75">
      <c r="B22" s="13">
        <v>1.3246</v>
      </c>
      <c r="C22" s="13">
        <v>-0.1937</v>
      </c>
      <c r="D22" s="13">
        <v>-0.3893</v>
      </c>
      <c r="E22" s="13" t="s">
        <v>10</v>
      </c>
      <c r="F22" s="14"/>
      <c r="G22" s="13">
        <v>0.181</v>
      </c>
      <c r="H22" s="13">
        <v>1.5692</v>
      </c>
      <c r="I22" s="13">
        <v>-1.9222</v>
      </c>
    </row>
    <row r="23" spans="1:9" ht="12.75">
      <c r="A23" s="11" t="s">
        <v>80</v>
      </c>
      <c r="B23" s="6">
        <v>0.5741</v>
      </c>
      <c r="C23" s="6">
        <v>0.333</v>
      </c>
      <c r="D23" s="6">
        <v>0.0948</v>
      </c>
      <c r="E23" s="6" t="s">
        <v>10</v>
      </c>
      <c r="F23" s="12">
        <v>1999</v>
      </c>
      <c r="G23" s="6">
        <v>0.0721</v>
      </c>
      <c r="H23" s="6">
        <v>-0.026</v>
      </c>
      <c r="I23" s="6">
        <v>-0.0356</v>
      </c>
    </row>
    <row r="24" spans="2:9" s="13" customFormat="1" ht="12.75">
      <c r="B24" s="13">
        <v>8.8664</v>
      </c>
      <c r="C24" s="13">
        <v>4.4982</v>
      </c>
      <c r="D24" s="13">
        <v>2.2428</v>
      </c>
      <c r="E24" s="13" t="s">
        <v>10</v>
      </c>
      <c r="F24" s="14"/>
      <c r="G24" s="13">
        <v>1.4463</v>
      </c>
      <c r="H24" s="13">
        <v>-0.5556</v>
      </c>
      <c r="I24" s="13">
        <v>-0.4411</v>
      </c>
    </row>
    <row r="25" spans="1:9" ht="12.75">
      <c r="A25" s="11" t="s">
        <v>81</v>
      </c>
      <c r="B25" s="6">
        <v>0.0282</v>
      </c>
      <c r="C25" s="6">
        <v>-0.0024</v>
      </c>
      <c r="D25" s="6">
        <v>-0.1576</v>
      </c>
      <c r="E25" s="6" t="s">
        <v>10</v>
      </c>
      <c r="F25" s="12">
        <v>2000</v>
      </c>
      <c r="G25" s="6">
        <v>0.0762</v>
      </c>
      <c r="H25" s="6">
        <v>0.0425</v>
      </c>
      <c r="I25" s="6">
        <v>0.0406</v>
      </c>
    </row>
    <row r="26" spans="2:9" s="13" customFormat="1" ht="12.75">
      <c r="B26" s="13">
        <v>0.7757</v>
      </c>
      <c r="C26" s="13">
        <v>-0.072</v>
      </c>
      <c r="D26" s="13">
        <v>-4.2636</v>
      </c>
      <c r="E26" s="13" t="s">
        <v>10</v>
      </c>
      <c r="F26" s="14"/>
      <c r="G26" s="13">
        <v>1.7335</v>
      </c>
      <c r="H26" s="13">
        <v>0.9921</v>
      </c>
      <c r="I26" s="13">
        <v>0.6282</v>
      </c>
    </row>
    <row r="27" spans="1:9" ht="12.75">
      <c r="A27" s="11" t="s">
        <v>82</v>
      </c>
      <c r="B27" s="6">
        <v>0.1335</v>
      </c>
      <c r="C27" s="6">
        <v>-0.1367</v>
      </c>
      <c r="D27" s="6">
        <v>-0.0999</v>
      </c>
      <c r="E27" s="6" t="s">
        <v>10</v>
      </c>
      <c r="F27" s="12">
        <v>2001</v>
      </c>
      <c r="G27" s="6">
        <v>-0.0351</v>
      </c>
      <c r="H27" s="6">
        <v>-0.0106</v>
      </c>
      <c r="I27" s="6">
        <v>-0.1312</v>
      </c>
    </row>
    <row r="28" spans="2:9" s="13" customFormat="1" ht="12.75">
      <c r="B28" s="13">
        <v>2.5206</v>
      </c>
      <c r="C28" s="13">
        <v>-3.1622</v>
      </c>
      <c r="D28" s="13">
        <v>-1.7095</v>
      </c>
      <c r="E28" s="13" t="s">
        <v>10</v>
      </c>
      <c r="F28" s="14"/>
      <c r="G28" s="13">
        <v>-0.8368</v>
      </c>
      <c r="H28" s="13">
        <v>-0.2597</v>
      </c>
      <c r="I28" s="13">
        <v>-2.093</v>
      </c>
    </row>
    <row r="29" spans="5:9" ht="12.75">
      <c r="E29" s="6" t="s">
        <v>10</v>
      </c>
      <c r="F29" s="12">
        <v>2002</v>
      </c>
      <c r="G29" s="6">
        <v>-0.0041</v>
      </c>
      <c r="H29" s="6">
        <v>-0.002</v>
      </c>
      <c r="I29" s="6">
        <v>-0.1801</v>
      </c>
    </row>
    <row r="30" spans="1:9" ht="12.75">
      <c r="A30" s="9" t="s">
        <v>101</v>
      </c>
      <c r="E30" s="6" t="s">
        <v>10</v>
      </c>
      <c r="F30" s="14"/>
      <c r="G30" s="13">
        <v>-0.0979</v>
      </c>
      <c r="H30" s="13">
        <v>-0.0492</v>
      </c>
      <c r="I30" s="13">
        <v>-2.8219</v>
      </c>
    </row>
    <row r="31" spans="1:9" ht="12.75">
      <c r="A31" s="6" t="s">
        <v>77</v>
      </c>
      <c r="B31" s="6">
        <v>0.3303</v>
      </c>
      <c r="C31" s="6">
        <v>0.2046</v>
      </c>
      <c r="D31" s="6">
        <v>0.2218</v>
      </c>
      <c r="E31" s="6" t="s">
        <v>10</v>
      </c>
      <c r="F31" s="12">
        <v>2003</v>
      </c>
      <c r="G31" s="6">
        <v>0.0522</v>
      </c>
      <c r="H31" s="6">
        <v>-0.0241</v>
      </c>
      <c r="I31" s="6">
        <v>-0.1517</v>
      </c>
    </row>
    <row r="32" spans="2:9" s="13" customFormat="1" ht="12.75">
      <c r="B32" s="13">
        <v>14.5908</v>
      </c>
      <c r="C32" s="13">
        <v>10.4019</v>
      </c>
      <c r="D32" s="13">
        <v>1.8644</v>
      </c>
      <c r="E32" s="13" t="s">
        <v>10</v>
      </c>
      <c r="F32" s="14"/>
      <c r="G32" s="13">
        <v>1.3652</v>
      </c>
      <c r="H32" s="13">
        <v>-0.6431</v>
      </c>
      <c r="I32" s="13">
        <v>-2.6779</v>
      </c>
    </row>
    <row r="33" spans="1:9" ht="12.75">
      <c r="A33" s="6" t="s">
        <v>78</v>
      </c>
      <c r="B33" s="6">
        <v>0.2567</v>
      </c>
      <c r="C33" s="6">
        <v>0.1665</v>
      </c>
      <c r="D33" s="6">
        <v>0.2892</v>
      </c>
      <c r="E33" s="6" t="s">
        <v>10</v>
      </c>
      <c r="F33" s="12">
        <v>2004</v>
      </c>
      <c r="G33" s="6">
        <v>0.0011</v>
      </c>
      <c r="H33" s="6">
        <v>0.0017</v>
      </c>
      <c r="I33" s="6">
        <v>-0.1144</v>
      </c>
    </row>
    <row r="34" spans="2:9" s="13" customFormat="1" ht="12.75">
      <c r="B34" s="13">
        <v>8.6981</v>
      </c>
      <c r="C34" s="13">
        <v>6.2905</v>
      </c>
      <c r="D34" s="13">
        <v>2.4891</v>
      </c>
      <c r="E34" s="13" t="s">
        <v>10</v>
      </c>
      <c r="F34" s="14"/>
      <c r="G34" s="13">
        <v>0.0279</v>
      </c>
      <c r="H34" s="13">
        <v>0.0462</v>
      </c>
      <c r="I34" s="13">
        <v>-2.1222</v>
      </c>
    </row>
    <row r="35" spans="1:9" ht="12.75">
      <c r="A35" s="6" t="s">
        <v>79</v>
      </c>
      <c r="B35" s="6">
        <v>-0.0018</v>
      </c>
      <c r="C35" s="6">
        <v>-0.0911</v>
      </c>
      <c r="D35" s="6">
        <v>0.1973</v>
      </c>
      <c r="E35" s="6" t="s">
        <v>10</v>
      </c>
      <c r="F35" s="12">
        <v>2005</v>
      </c>
      <c r="G35" s="6">
        <v>-0.0818</v>
      </c>
      <c r="H35" s="6">
        <v>-0.0261</v>
      </c>
      <c r="I35" s="6">
        <v>-0.1936</v>
      </c>
    </row>
    <row r="36" spans="2:9" s="13" customFormat="1" ht="12.75">
      <c r="B36" s="13">
        <v>-0.0194</v>
      </c>
      <c r="C36" s="13">
        <v>-1.1572</v>
      </c>
      <c r="D36" s="13">
        <v>1.056</v>
      </c>
      <c r="E36" s="13" t="s">
        <v>10</v>
      </c>
      <c r="F36" s="14"/>
      <c r="G36" s="13">
        <v>-2.0944</v>
      </c>
      <c r="H36" s="13">
        <v>-0.7263</v>
      </c>
      <c r="I36" s="13">
        <v>-3.7482</v>
      </c>
    </row>
    <row r="37" spans="1:9" ht="12.75">
      <c r="A37" s="6" t="s">
        <v>80</v>
      </c>
      <c r="B37" s="6">
        <v>0.1703</v>
      </c>
      <c r="C37" s="6">
        <v>0.1616</v>
      </c>
      <c r="D37" s="6">
        <v>0.1998</v>
      </c>
      <c r="E37" s="6" t="s">
        <v>10</v>
      </c>
      <c r="F37" s="12">
        <v>2006</v>
      </c>
      <c r="G37" s="6">
        <v>0.0074</v>
      </c>
      <c r="H37" s="6">
        <v>-0.0225</v>
      </c>
      <c r="I37" s="6">
        <v>-0.2203</v>
      </c>
    </row>
    <row r="38" spans="2:9" s="13" customFormat="1" ht="12.75">
      <c r="B38" s="13">
        <v>3.155</v>
      </c>
      <c r="C38" s="13">
        <v>3.7139</v>
      </c>
      <c r="D38" s="13">
        <v>1.7394</v>
      </c>
      <c r="E38" s="13" t="s">
        <v>10</v>
      </c>
      <c r="F38" s="14"/>
      <c r="G38" s="13">
        <v>0.1899</v>
      </c>
      <c r="H38" s="13">
        <v>-0.6399</v>
      </c>
      <c r="I38" s="13">
        <v>-4.8514</v>
      </c>
    </row>
    <row r="39" spans="1:9" ht="12.75">
      <c r="A39" s="6" t="s">
        <v>81</v>
      </c>
      <c r="B39" s="6">
        <v>-0.0926</v>
      </c>
      <c r="C39" s="6">
        <v>-0.2271</v>
      </c>
      <c r="D39" s="6">
        <v>0.0598</v>
      </c>
      <c r="E39" s="6" t="s">
        <v>10</v>
      </c>
      <c r="F39" s="12">
        <v>2007</v>
      </c>
      <c r="G39" s="6">
        <v>-0.0657</v>
      </c>
      <c r="H39" s="6">
        <v>-0.0139</v>
      </c>
      <c r="I39" s="6">
        <v>-0.2653</v>
      </c>
    </row>
    <row r="40" spans="2:9" s="13" customFormat="1" ht="12.75">
      <c r="B40" s="13">
        <v>-2.2667</v>
      </c>
      <c r="C40" s="13">
        <v>-6.2588</v>
      </c>
      <c r="D40" s="13">
        <v>0.4944</v>
      </c>
      <c r="E40" s="13" t="s">
        <v>10</v>
      </c>
      <c r="F40" s="14"/>
      <c r="G40" s="13">
        <v>-1.7959</v>
      </c>
      <c r="H40" s="13">
        <v>-0.418</v>
      </c>
      <c r="I40" s="13">
        <v>-6.8742</v>
      </c>
    </row>
    <row r="41" spans="1:9" ht="12.75">
      <c r="A41" s="6" t="s">
        <v>82</v>
      </c>
      <c r="B41" s="6">
        <v>-0.3818</v>
      </c>
      <c r="C41" s="6">
        <v>-0.3897</v>
      </c>
      <c r="D41" s="6">
        <v>-0.2683</v>
      </c>
      <c r="E41" s="6" t="s">
        <v>10</v>
      </c>
      <c r="F41" s="12">
        <v>2008</v>
      </c>
      <c r="G41" s="6">
        <v>-0.1625</v>
      </c>
      <c r="H41" s="6">
        <v>-0.0933</v>
      </c>
      <c r="I41" s="6">
        <v>-0.3035</v>
      </c>
    </row>
    <row r="42" spans="2:9" s="13" customFormat="1" ht="12.75">
      <c r="B42" s="13">
        <v>-6.8881</v>
      </c>
      <c r="C42" s="13">
        <v>-8.6491</v>
      </c>
      <c r="D42" s="13">
        <v>-2.1104</v>
      </c>
      <c r="E42" s="13" t="s">
        <v>10</v>
      </c>
      <c r="F42" s="14"/>
      <c r="G42" s="13">
        <v>-4.4839</v>
      </c>
      <c r="H42" s="13">
        <v>-2.8994</v>
      </c>
      <c r="I42" s="13">
        <v>-8.7389</v>
      </c>
    </row>
    <row r="43" spans="5:9" ht="12.75">
      <c r="E43" s="6" t="s">
        <v>10</v>
      </c>
      <c r="F43" s="12">
        <v>2009</v>
      </c>
      <c r="G43" s="6">
        <v>-0.105</v>
      </c>
      <c r="H43" s="6">
        <v>-0.0028</v>
      </c>
      <c r="I43" s="6">
        <v>-0.2593</v>
      </c>
    </row>
    <row r="44" spans="1:9" ht="12.75">
      <c r="A44" s="9" t="s">
        <v>102</v>
      </c>
      <c r="E44" s="6" t="s">
        <v>10</v>
      </c>
      <c r="F44" s="15"/>
      <c r="G44" s="15">
        <v>-3.3207</v>
      </c>
      <c r="H44" s="15">
        <v>-0.1022</v>
      </c>
      <c r="I44" s="15">
        <v>-8.9367</v>
      </c>
    </row>
    <row r="45" spans="1:6" ht="12.75">
      <c r="A45" s="11" t="s">
        <v>61</v>
      </c>
      <c r="B45" s="6">
        <v>-0.0193</v>
      </c>
      <c r="C45" s="6">
        <v>-0.0136</v>
      </c>
      <c r="D45" s="6">
        <v>0.0163</v>
      </c>
      <c r="E45" s="6" t="s">
        <v>10</v>
      </c>
      <c r="F45" s="16" t="str">
        <f>"t statistics in parentheses"</f>
        <v>t statistics in parentheses</v>
      </c>
    </row>
    <row r="46" spans="2:4" s="13" customFormat="1" ht="12.75">
      <c r="B46" s="13">
        <v>-0.3346</v>
      </c>
      <c r="C46" s="13">
        <v>-0.2426</v>
      </c>
      <c r="D46" s="13">
        <v>0.2922</v>
      </c>
    </row>
    <row r="47" spans="1:4" ht="12.75">
      <c r="A47" s="11" t="s">
        <v>62</v>
      </c>
      <c r="B47" s="6">
        <v>0.0702</v>
      </c>
      <c r="C47" s="6">
        <v>-0.0317</v>
      </c>
      <c r="D47" s="6">
        <v>0.1573</v>
      </c>
    </row>
    <row r="48" spans="2:5" s="13" customFormat="1" ht="12.75">
      <c r="B48" s="13">
        <v>2.2946</v>
      </c>
      <c r="C48" s="13">
        <v>-1.113</v>
      </c>
      <c r="D48" s="13">
        <v>4.2296</v>
      </c>
      <c r="E48" s="13" t="s">
        <v>10</v>
      </c>
    </row>
    <row r="49" spans="1:5" ht="12.75">
      <c r="A49" s="11" t="s">
        <v>63</v>
      </c>
      <c r="B49" s="6">
        <v>0.0074</v>
      </c>
      <c r="C49" s="6">
        <v>0.0785</v>
      </c>
      <c r="D49" s="6">
        <v>-0.3159</v>
      </c>
      <c r="E49" s="6" t="s">
        <v>10</v>
      </c>
    </row>
    <row r="50" spans="2:5" s="13" customFormat="1" ht="12.75">
      <c r="B50" s="13">
        <v>0.1086</v>
      </c>
      <c r="C50" s="13">
        <v>1.1292</v>
      </c>
      <c r="D50" s="13">
        <v>-1.5257</v>
      </c>
      <c r="E50" s="13" t="s">
        <v>10</v>
      </c>
    </row>
    <row r="51" spans="1:5" ht="12.75">
      <c r="A51" s="11" t="s">
        <v>64</v>
      </c>
      <c r="B51" s="6">
        <v>0.17</v>
      </c>
      <c r="C51" s="6">
        <v>0.1993</v>
      </c>
      <c r="D51" s="6">
        <v>0.1664</v>
      </c>
      <c r="E51" s="6" t="s">
        <v>10</v>
      </c>
    </row>
    <row r="52" spans="2:5" s="13" customFormat="1" ht="12.75">
      <c r="B52" s="13">
        <v>1.5586</v>
      </c>
      <c r="C52" s="13">
        <v>1.4972</v>
      </c>
      <c r="D52" s="13">
        <v>0.426</v>
      </c>
      <c r="E52" s="13" t="s">
        <v>10</v>
      </c>
    </row>
    <row r="53" spans="1:5" ht="12.75">
      <c r="A53" s="11" t="s">
        <v>65</v>
      </c>
      <c r="B53" s="6">
        <v>0.1594</v>
      </c>
      <c r="C53" s="6">
        <v>0.1406</v>
      </c>
      <c r="D53" s="6">
        <v>0.0129</v>
      </c>
      <c r="E53" s="6" t="s">
        <v>10</v>
      </c>
    </row>
    <row r="54" spans="2:5" s="13" customFormat="1" ht="12.75">
      <c r="B54" s="13">
        <v>1.5716</v>
      </c>
      <c r="C54" s="13">
        <v>1.2878</v>
      </c>
      <c r="D54" s="13">
        <v>0.044</v>
      </c>
      <c r="E54" s="13" t="s">
        <v>10</v>
      </c>
    </row>
    <row r="55" spans="1:5" ht="12.75">
      <c r="A55" s="11" t="s">
        <v>66</v>
      </c>
      <c r="B55" s="6">
        <v>0.0531</v>
      </c>
      <c r="C55" s="6">
        <v>0.0672</v>
      </c>
      <c r="D55" s="6">
        <v>0.1672</v>
      </c>
      <c r="E55" s="6" t="s">
        <v>10</v>
      </c>
    </row>
    <row r="56" spans="2:5" s="13" customFormat="1" ht="12.75">
      <c r="B56" s="13">
        <v>0.7189</v>
      </c>
      <c r="C56" s="13">
        <v>0.9026</v>
      </c>
      <c r="D56" s="13">
        <v>0.8975</v>
      </c>
      <c r="E56" s="13" t="s">
        <v>10</v>
      </c>
    </row>
    <row r="57" spans="1:5" ht="12.75">
      <c r="A57" s="11" t="s">
        <v>67</v>
      </c>
      <c r="B57" s="6">
        <v>0.0733</v>
      </c>
      <c r="C57" s="6">
        <v>0.0288</v>
      </c>
      <c r="D57" s="6">
        <v>-0.2855</v>
      </c>
      <c r="E57" s="6" t="s">
        <v>10</v>
      </c>
    </row>
    <row r="58" spans="2:5" s="13" customFormat="1" ht="12.75">
      <c r="B58" s="13">
        <v>1.6207</v>
      </c>
      <c r="C58" s="13">
        <v>0.6349</v>
      </c>
      <c r="D58" s="13">
        <v>-3.6736</v>
      </c>
      <c r="E58" s="13" t="s">
        <v>10</v>
      </c>
    </row>
    <row r="59" spans="1:5" ht="12.75">
      <c r="A59" s="11" t="s">
        <v>68</v>
      </c>
      <c r="B59" s="6">
        <v>0.0463</v>
      </c>
      <c r="C59" s="6">
        <v>-0.0683</v>
      </c>
      <c r="D59" s="6">
        <v>-0.2119</v>
      </c>
      <c r="E59" s="6" t="s">
        <v>10</v>
      </c>
    </row>
    <row r="60" spans="2:4" s="13" customFormat="1" ht="12.75">
      <c r="B60" s="13">
        <v>1.0158</v>
      </c>
      <c r="C60" s="13">
        <v>-1.3943</v>
      </c>
      <c r="D60" s="13">
        <v>-2.1648</v>
      </c>
    </row>
    <row r="61" spans="1:4" ht="12.75">
      <c r="A61" s="11" t="s">
        <v>69</v>
      </c>
      <c r="B61" s="6">
        <v>0.1068</v>
      </c>
      <c r="C61" s="6">
        <v>-0.1366</v>
      </c>
      <c r="D61" s="6">
        <v>-0.2027</v>
      </c>
    </row>
    <row r="62" spans="2:5" s="13" customFormat="1" ht="12.75">
      <c r="B62" s="13">
        <v>1.6255</v>
      </c>
      <c r="C62" s="13">
        <v>-1.8538</v>
      </c>
      <c r="D62" s="13">
        <v>-0.8746</v>
      </c>
      <c r="E62" s="13" t="s">
        <v>10</v>
      </c>
    </row>
    <row r="63" spans="1:5" ht="12.75">
      <c r="A63" s="11" t="s">
        <v>70</v>
      </c>
      <c r="B63" s="6">
        <v>0.0632</v>
      </c>
      <c r="C63" s="6">
        <v>-0.0126</v>
      </c>
      <c r="D63" s="6">
        <v>-0.0443</v>
      </c>
      <c r="E63" s="6" t="s">
        <v>10</v>
      </c>
    </row>
    <row r="64" spans="2:5" s="13" customFormat="1" ht="12.75">
      <c r="B64" s="13">
        <v>1.2556</v>
      </c>
      <c r="C64" s="13">
        <v>-0.2509</v>
      </c>
      <c r="D64" s="13">
        <v>-0.4131</v>
      </c>
      <c r="E64" s="13" t="s">
        <v>10</v>
      </c>
    </row>
    <row r="65" spans="1:5" ht="12.75">
      <c r="A65" s="11" t="s">
        <v>71</v>
      </c>
      <c r="B65" s="6">
        <v>0.0933</v>
      </c>
      <c r="C65" s="6">
        <v>0.1036</v>
      </c>
      <c r="D65" s="6">
        <v>0.1356</v>
      </c>
      <c r="E65" s="6" t="s">
        <v>10</v>
      </c>
    </row>
    <row r="66" spans="2:5" s="13" customFormat="1" ht="12.75">
      <c r="B66" s="13">
        <v>2.4722</v>
      </c>
      <c r="C66" s="13">
        <v>2.6046</v>
      </c>
      <c r="D66" s="13">
        <v>2.2327</v>
      </c>
      <c r="E66" s="13" t="s">
        <v>10</v>
      </c>
    </row>
    <row r="67" spans="1:5" ht="12.75">
      <c r="A67" s="11" t="s">
        <v>72</v>
      </c>
      <c r="B67" s="6">
        <v>0.1607</v>
      </c>
      <c r="C67" s="6">
        <v>-0.0087</v>
      </c>
      <c r="D67" s="6">
        <v>0.0387</v>
      </c>
      <c r="E67" s="6" t="s">
        <v>10</v>
      </c>
    </row>
    <row r="68" spans="2:5" s="13" customFormat="1" ht="12.75">
      <c r="B68" s="13">
        <v>3.7833</v>
      </c>
      <c r="C68" s="13">
        <v>-0.2006</v>
      </c>
      <c r="D68" s="13">
        <v>0.2602</v>
      </c>
      <c r="E68" s="13" t="s">
        <v>10</v>
      </c>
    </row>
    <row r="69" spans="1:5" ht="12.75">
      <c r="A69" s="11" t="s">
        <v>73</v>
      </c>
      <c r="B69" s="6">
        <v>0.0584</v>
      </c>
      <c r="C69" s="6">
        <v>0.0138</v>
      </c>
      <c r="D69" s="6">
        <v>0.018</v>
      </c>
      <c r="E69" s="6" t="s">
        <v>10</v>
      </c>
    </row>
    <row r="70" spans="2:5" s="13" customFormat="1" ht="12.75">
      <c r="B70" s="13">
        <v>1.361</v>
      </c>
      <c r="C70" s="13">
        <v>0.3107</v>
      </c>
      <c r="D70" s="13">
        <v>0.1127</v>
      </c>
      <c r="E70" s="13" t="s">
        <v>10</v>
      </c>
    </row>
    <row r="71" spans="1:5" ht="12.75">
      <c r="A71" s="11" t="s">
        <v>74</v>
      </c>
      <c r="B71" s="6">
        <v>0.0769</v>
      </c>
      <c r="C71" s="6">
        <v>-0.0511</v>
      </c>
      <c r="D71" s="6">
        <v>-0.0598</v>
      </c>
      <c r="E71" s="6" t="s">
        <v>10</v>
      </c>
    </row>
    <row r="72" spans="2:4" s="13" customFormat="1" ht="12.75">
      <c r="B72" s="13">
        <v>0.6525</v>
      </c>
      <c r="C72" s="13">
        <v>-0.553</v>
      </c>
      <c r="D72" s="13">
        <v>-0.319</v>
      </c>
    </row>
    <row r="73" spans="1:4" ht="12.75">
      <c r="A73" s="11" t="s">
        <v>75</v>
      </c>
      <c r="B73" s="6">
        <v>-0.0514</v>
      </c>
      <c r="C73" s="6">
        <v>-0.1526</v>
      </c>
      <c r="D73" s="6">
        <v>-0.0129</v>
      </c>
    </row>
    <row r="74" spans="2:4" s="13" customFormat="1" ht="12.75">
      <c r="B74" s="13">
        <v>-1.1233</v>
      </c>
      <c r="C74" s="13">
        <v>-3.3134</v>
      </c>
      <c r="D74" s="13">
        <v>-0.1279</v>
      </c>
    </row>
    <row r="75" spans="1:4" ht="12.75">
      <c r="A75" s="11" t="s">
        <v>76</v>
      </c>
      <c r="B75" s="6">
        <v>-0.421</v>
      </c>
      <c r="C75" s="6">
        <v>-0.4372</v>
      </c>
      <c r="D75" s="6">
        <v>-0.4884</v>
      </c>
    </row>
    <row r="76" spans="1:4" s="13" customFormat="1" ht="12.75">
      <c r="A76" s="15"/>
      <c r="B76" s="15">
        <v>-12.2354</v>
      </c>
      <c r="C76" s="15">
        <v>-16.4934</v>
      </c>
      <c r="D76" s="15">
        <v>-14.3247</v>
      </c>
    </row>
    <row r="77" spans="1:4" ht="12.75">
      <c r="A77" s="16" t="str">
        <f>"t statistics in parentheses"</f>
        <v>t statistics in parentheses</v>
      </c>
      <c r="B77" s="11"/>
      <c r="C77" s="11"/>
      <c r="D77" s="11"/>
    </row>
    <row r="80" s="13" customFormat="1" ht="12.75"/>
    <row r="81" ht="12.75">
      <c r="E81" s="6" t="s">
        <v>10</v>
      </c>
    </row>
    <row r="82" s="13" customFormat="1" ht="12.75">
      <c r="E82" s="13" t="s">
        <v>10</v>
      </c>
    </row>
    <row r="83" ht="12.75">
      <c r="E83" s="6" t="s">
        <v>10</v>
      </c>
    </row>
    <row r="84" s="13" customFormat="1" ht="12.75">
      <c r="E84" s="13" t="s">
        <v>10</v>
      </c>
    </row>
    <row r="85" ht="12.75">
      <c r="E85" s="6" t="s">
        <v>10</v>
      </c>
    </row>
    <row r="86" s="13" customFormat="1" ht="12.75"/>
    <row r="88" s="13" customFormat="1" ht="12.75"/>
    <row r="90" s="13" customFormat="1" ht="12.75"/>
    <row r="92" s="13" customFormat="1" ht="12.75"/>
    <row r="94" s="13" customFormat="1" ht="12.75"/>
    <row r="96" s="13" customFormat="1" ht="12.75"/>
    <row r="98" s="13" customFormat="1" ht="12.75"/>
    <row r="100" s="13" customFormat="1" ht="12.75"/>
    <row r="102" s="13" customFormat="1" ht="12.75"/>
    <row r="104" s="13" customFormat="1" ht="12.75"/>
    <row r="105" ht="12.75">
      <c r="E105" s="6" t="s">
        <v>10</v>
      </c>
    </row>
    <row r="106" s="13" customFormat="1" ht="12.75">
      <c r="E106" s="13" t="s">
        <v>10</v>
      </c>
    </row>
    <row r="107" ht="12.75">
      <c r="E107" s="6" t="s">
        <v>10</v>
      </c>
    </row>
    <row r="108" s="13" customFormat="1" ht="12.75">
      <c r="E108" s="13" t="s">
        <v>10</v>
      </c>
    </row>
    <row r="109" ht="12.75">
      <c r="E109" s="6" t="s">
        <v>10</v>
      </c>
    </row>
    <row r="110" s="13" customFormat="1" ht="12.75">
      <c r="E110" s="13" t="s">
        <v>10</v>
      </c>
    </row>
    <row r="111" ht="12.75">
      <c r="E111" s="6" t="s">
        <v>10</v>
      </c>
    </row>
    <row r="112" s="13" customFormat="1" ht="12.75">
      <c r="E112" s="13" t="s">
        <v>10</v>
      </c>
    </row>
    <row r="113" ht="12.75">
      <c r="E113" s="6" t="s">
        <v>10</v>
      </c>
    </row>
    <row r="114" s="13" customFormat="1" ht="12.75">
      <c r="E114" s="13" t="s">
        <v>10</v>
      </c>
    </row>
    <row r="115" ht="12.75">
      <c r="E115" s="6" t="s">
        <v>10</v>
      </c>
    </row>
    <row r="116" s="13" customFormat="1" ht="12.75">
      <c r="E116" s="13" t="s">
        <v>10</v>
      </c>
    </row>
    <row r="117" ht="12.75">
      <c r="E117" s="6" t="s">
        <v>10</v>
      </c>
    </row>
    <row r="118" s="13" customFormat="1" ht="12.75">
      <c r="E118" s="13" t="s">
        <v>10</v>
      </c>
    </row>
    <row r="119" spans="1:5" ht="12.75">
      <c r="A119" s="16" t="str">
        <f>"t statistics in parentheses"</f>
        <v>t statistics in parentheses</v>
      </c>
      <c r="E119" s="6" t="s">
        <v>10</v>
      </c>
    </row>
  </sheetData>
  <sheetProtection/>
  <mergeCells count="2">
    <mergeCell ref="B2:D2"/>
    <mergeCell ref="G2:I2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6"/>
  <sheetViews>
    <sheetView zoomScalePageLayoutView="0" workbookViewId="0" topLeftCell="A1">
      <selection activeCell="A20" sqref="A20"/>
    </sheetView>
  </sheetViews>
  <sheetFormatPr defaultColWidth="9.140625" defaultRowHeight="15"/>
  <cols>
    <col min="1" max="4" width="9.28125" style="6" bestFit="1" customWidth="1"/>
    <col min="5" max="5" width="10.57421875" style="6" bestFit="1" customWidth="1"/>
    <col min="6" max="21" width="8.28125" style="6" bestFit="1" customWidth="1"/>
    <col min="22" max="16384" width="9.140625" style="6" customWidth="1"/>
  </cols>
  <sheetData>
    <row r="2" spans="1:21" ht="12.75">
      <c r="A2" s="5" t="s">
        <v>177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46" t="s">
        <v>169</v>
      </c>
      <c r="B3" s="46"/>
      <c r="C3" s="46"/>
      <c r="D3" s="46"/>
      <c r="E3" s="46"/>
      <c r="F3" s="62" t="s">
        <v>89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2.75">
      <c r="A4" s="35" t="s">
        <v>90</v>
      </c>
      <c r="B4" s="35" t="s">
        <v>91</v>
      </c>
      <c r="C4" s="35" t="s">
        <v>92</v>
      </c>
      <c r="D4" s="35" t="s">
        <v>93</v>
      </c>
      <c r="E4" s="35" t="s">
        <v>94</v>
      </c>
      <c r="F4" s="36">
        <v>1</v>
      </c>
      <c r="G4" s="36">
        <v>2</v>
      </c>
      <c r="H4" s="36">
        <v>3</v>
      </c>
      <c r="I4" s="36">
        <v>4</v>
      </c>
      <c r="J4" s="36">
        <v>6</v>
      </c>
      <c r="K4" s="36">
        <v>7</v>
      </c>
      <c r="L4" s="36">
        <v>8</v>
      </c>
      <c r="M4" s="36">
        <v>9</v>
      </c>
      <c r="N4" s="36">
        <v>10</v>
      </c>
      <c r="O4" s="36">
        <v>11</v>
      </c>
      <c r="P4" s="36">
        <v>12</v>
      </c>
      <c r="Q4" s="36">
        <v>13</v>
      </c>
      <c r="R4" s="36">
        <v>14</v>
      </c>
      <c r="S4" s="36">
        <v>15</v>
      </c>
      <c r="T4" s="36">
        <v>16</v>
      </c>
      <c r="U4" s="36">
        <v>17</v>
      </c>
    </row>
    <row r="5" spans="1:21" ht="12.75">
      <c r="A5" s="37">
        <v>0</v>
      </c>
      <c r="B5" s="38">
        <v>0</v>
      </c>
      <c r="C5" s="38">
        <v>0</v>
      </c>
      <c r="D5" s="38">
        <v>0</v>
      </c>
      <c r="E5" s="38">
        <v>20561968</v>
      </c>
      <c r="F5" s="38">
        <v>87.3</v>
      </c>
      <c r="G5" s="38">
        <v>86.9</v>
      </c>
      <c r="H5" s="38">
        <v>86.7</v>
      </c>
      <c r="I5" s="38">
        <v>85.9</v>
      </c>
      <c r="J5" s="38">
        <v>85.8</v>
      </c>
      <c r="K5" s="38">
        <v>86.1</v>
      </c>
      <c r="L5" s="38">
        <v>86</v>
      </c>
      <c r="M5" s="38">
        <v>85.8</v>
      </c>
      <c r="N5" s="38">
        <v>44</v>
      </c>
      <c r="O5" s="38">
        <v>44</v>
      </c>
      <c r="P5" s="38">
        <v>41.8</v>
      </c>
      <c r="Q5" s="38">
        <v>44.5</v>
      </c>
      <c r="R5" s="38">
        <v>46.4</v>
      </c>
      <c r="S5" s="38">
        <v>46.2</v>
      </c>
      <c r="T5" s="38">
        <v>42.8</v>
      </c>
      <c r="U5" s="38">
        <v>42.8</v>
      </c>
    </row>
    <row r="6" spans="1:21" ht="12.75">
      <c r="A6" s="39">
        <v>1</v>
      </c>
      <c r="B6" s="38">
        <v>119.8</v>
      </c>
      <c r="C6" s="38">
        <v>170.2</v>
      </c>
      <c r="D6" s="38">
        <v>155.3</v>
      </c>
      <c r="E6" s="38">
        <v>57723</v>
      </c>
      <c r="F6" s="38">
        <v>103.8</v>
      </c>
      <c r="G6" s="38">
        <v>107.5</v>
      </c>
      <c r="H6" s="38">
        <v>109.2</v>
      </c>
      <c r="I6" s="38">
        <v>110</v>
      </c>
      <c r="J6" s="38">
        <v>109.9</v>
      </c>
      <c r="K6" s="38">
        <v>110</v>
      </c>
      <c r="L6" s="38">
        <v>110.4</v>
      </c>
      <c r="M6" s="38">
        <v>110.1</v>
      </c>
      <c r="N6" s="38">
        <v>525.4</v>
      </c>
      <c r="O6" s="38">
        <v>525.4</v>
      </c>
      <c r="P6" s="38">
        <v>607.8</v>
      </c>
      <c r="Q6" s="38">
        <v>521.7</v>
      </c>
      <c r="R6" s="38">
        <v>466.5</v>
      </c>
      <c r="S6" s="38">
        <v>452.3</v>
      </c>
      <c r="T6" s="38">
        <v>487.4</v>
      </c>
      <c r="U6" s="38">
        <v>454.5</v>
      </c>
    </row>
    <row r="7" spans="1:21" ht="12.75">
      <c r="A7" s="39">
        <v>2</v>
      </c>
      <c r="B7" s="38">
        <v>231.9</v>
      </c>
      <c r="C7" s="38">
        <v>262.9</v>
      </c>
      <c r="D7" s="38">
        <v>257.2</v>
      </c>
      <c r="E7" s="38">
        <v>41081</v>
      </c>
      <c r="F7" s="38">
        <v>99.3</v>
      </c>
      <c r="G7" s="38">
        <v>103.6</v>
      </c>
      <c r="H7" s="38">
        <v>104.7</v>
      </c>
      <c r="I7" s="38">
        <v>105.7</v>
      </c>
      <c r="J7" s="38">
        <v>105.7</v>
      </c>
      <c r="K7" s="38">
        <v>105.7</v>
      </c>
      <c r="L7" s="38">
        <v>105.9</v>
      </c>
      <c r="M7" s="38">
        <v>105.8</v>
      </c>
      <c r="N7" s="38">
        <v>1019.3</v>
      </c>
      <c r="O7" s="38">
        <v>1019.3</v>
      </c>
      <c r="P7" s="38">
        <v>1129.1</v>
      </c>
      <c r="Q7" s="38">
        <v>1021.3</v>
      </c>
      <c r="R7" s="38">
        <v>921.5</v>
      </c>
      <c r="S7" s="38">
        <v>930</v>
      </c>
      <c r="T7" s="38">
        <v>903.3</v>
      </c>
      <c r="U7" s="38">
        <v>828.3</v>
      </c>
    </row>
    <row r="8" spans="1:21" ht="12.75">
      <c r="A8" s="39">
        <v>3</v>
      </c>
      <c r="B8" s="38">
        <v>283.6</v>
      </c>
      <c r="C8" s="38">
        <v>421.9</v>
      </c>
      <c r="D8" s="38">
        <v>380</v>
      </c>
      <c r="E8" s="38">
        <v>47422</v>
      </c>
      <c r="F8" s="38">
        <v>120.5</v>
      </c>
      <c r="G8" s="38">
        <v>125</v>
      </c>
      <c r="H8" s="38">
        <v>128.3</v>
      </c>
      <c r="I8" s="38">
        <v>129</v>
      </c>
      <c r="J8" s="38">
        <v>128.9</v>
      </c>
      <c r="K8" s="38">
        <v>129.4</v>
      </c>
      <c r="L8" s="38">
        <v>129.2</v>
      </c>
      <c r="M8" s="38">
        <v>129.1</v>
      </c>
      <c r="N8" s="38">
        <v>704.5</v>
      </c>
      <c r="O8" s="38">
        <v>704.5</v>
      </c>
      <c r="P8" s="38">
        <v>828.6</v>
      </c>
      <c r="Q8" s="38">
        <v>702.3</v>
      </c>
      <c r="R8" s="38">
        <v>631.5</v>
      </c>
      <c r="S8" s="38">
        <v>639.8</v>
      </c>
      <c r="T8" s="38">
        <v>660.5</v>
      </c>
      <c r="U8" s="38">
        <v>613</v>
      </c>
    </row>
    <row r="9" spans="1:21" ht="12.75">
      <c r="A9" s="39">
        <v>4</v>
      </c>
      <c r="B9" s="38">
        <v>427.1</v>
      </c>
      <c r="C9" s="38">
        <v>620.7</v>
      </c>
      <c r="D9" s="38">
        <v>518.8</v>
      </c>
      <c r="E9" s="38">
        <v>48422</v>
      </c>
      <c r="F9" s="38">
        <v>93</v>
      </c>
      <c r="G9" s="38">
        <v>98.3</v>
      </c>
      <c r="H9" s="38">
        <v>101.3</v>
      </c>
      <c r="I9" s="38">
        <v>102.2</v>
      </c>
      <c r="J9" s="38">
        <v>102.1</v>
      </c>
      <c r="K9" s="38">
        <v>102.3</v>
      </c>
      <c r="L9" s="38">
        <v>102.4</v>
      </c>
      <c r="M9" s="38">
        <v>102.3</v>
      </c>
      <c r="N9" s="38">
        <v>1178</v>
      </c>
      <c r="O9" s="38">
        <v>1178</v>
      </c>
      <c r="P9" s="38">
        <v>1278.6</v>
      </c>
      <c r="Q9" s="38">
        <v>1176.7</v>
      </c>
      <c r="R9" s="38">
        <v>1080.1</v>
      </c>
      <c r="S9" s="38">
        <v>1095.2</v>
      </c>
      <c r="T9" s="38">
        <v>1077.2</v>
      </c>
      <c r="U9" s="38">
        <v>1005.6</v>
      </c>
    </row>
    <row r="10" spans="1:21" ht="12.75">
      <c r="A10" s="39">
        <v>5</v>
      </c>
      <c r="B10" s="38">
        <v>621.4</v>
      </c>
      <c r="C10" s="38">
        <v>851</v>
      </c>
      <c r="D10" s="38">
        <v>768</v>
      </c>
      <c r="E10" s="38">
        <v>50731</v>
      </c>
      <c r="F10" s="38">
        <v>112.3</v>
      </c>
      <c r="G10" s="38">
        <v>118.1</v>
      </c>
      <c r="H10" s="38">
        <v>123.5</v>
      </c>
      <c r="I10" s="38">
        <v>124.3</v>
      </c>
      <c r="J10" s="38">
        <v>124.2</v>
      </c>
      <c r="K10" s="38">
        <v>123.9</v>
      </c>
      <c r="L10" s="38">
        <v>124.4</v>
      </c>
      <c r="M10" s="38">
        <v>124.4</v>
      </c>
      <c r="N10" s="38">
        <v>1214</v>
      </c>
      <c r="O10" s="38">
        <v>1214</v>
      </c>
      <c r="P10" s="38">
        <v>1345.4</v>
      </c>
      <c r="Q10" s="38">
        <v>1212</v>
      </c>
      <c r="R10" s="38">
        <v>1112.7</v>
      </c>
      <c r="S10" s="38">
        <v>1140.2</v>
      </c>
      <c r="T10" s="38">
        <v>1143.7</v>
      </c>
      <c r="U10" s="38">
        <v>1079.4</v>
      </c>
    </row>
    <row r="11" spans="1:21" ht="12.75">
      <c r="A11" s="39">
        <v>6</v>
      </c>
      <c r="B11" s="38">
        <v>851.3</v>
      </c>
      <c r="C11" s="38">
        <v>1265.8</v>
      </c>
      <c r="D11" s="38">
        <v>1071</v>
      </c>
      <c r="E11" s="38">
        <v>47287</v>
      </c>
      <c r="F11" s="38">
        <v>106.8</v>
      </c>
      <c r="G11" s="38">
        <v>112.8</v>
      </c>
      <c r="H11" s="38">
        <v>118.7</v>
      </c>
      <c r="I11" s="38">
        <v>119.7</v>
      </c>
      <c r="J11" s="38">
        <v>119.6</v>
      </c>
      <c r="K11" s="38">
        <v>119</v>
      </c>
      <c r="L11" s="38">
        <v>119.8</v>
      </c>
      <c r="M11" s="38">
        <v>119.7</v>
      </c>
      <c r="N11" s="38">
        <v>1426.5</v>
      </c>
      <c r="O11" s="38">
        <v>1426.5</v>
      </c>
      <c r="P11" s="38">
        <v>1538.4</v>
      </c>
      <c r="Q11" s="38">
        <v>1418.6</v>
      </c>
      <c r="R11" s="38">
        <v>1327.4</v>
      </c>
      <c r="S11" s="38">
        <v>1362.9</v>
      </c>
      <c r="T11" s="38">
        <v>1388.8</v>
      </c>
      <c r="U11" s="38">
        <v>1325.6</v>
      </c>
    </row>
    <row r="12" spans="1:21" ht="12.75">
      <c r="A12" s="39">
        <v>7</v>
      </c>
      <c r="B12" s="38">
        <v>1265.8</v>
      </c>
      <c r="C12" s="38">
        <v>1968.6</v>
      </c>
      <c r="D12" s="38">
        <v>1578.6</v>
      </c>
      <c r="E12" s="38">
        <v>48041</v>
      </c>
      <c r="F12" s="38">
        <v>102.2</v>
      </c>
      <c r="G12" s="38">
        <v>109.2</v>
      </c>
      <c r="H12" s="38">
        <v>116.6</v>
      </c>
      <c r="I12" s="38">
        <v>117.3</v>
      </c>
      <c r="J12" s="38">
        <v>117.2</v>
      </c>
      <c r="K12" s="38">
        <v>117.4</v>
      </c>
      <c r="L12" s="38">
        <v>117.4</v>
      </c>
      <c r="M12" s="38">
        <v>117.3</v>
      </c>
      <c r="N12" s="38">
        <v>1786</v>
      </c>
      <c r="O12" s="38">
        <v>1786</v>
      </c>
      <c r="P12" s="38">
        <v>1885.6</v>
      </c>
      <c r="Q12" s="38">
        <v>1766.1</v>
      </c>
      <c r="R12" s="38">
        <v>1672</v>
      </c>
      <c r="S12" s="38">
        <v>1714.4</v>
      </c>
      <c r="T12" s="38">
        <v>1751.1</v>
      </c>
      <c r="U12" s="38">
        <v>1708</v>
      </c>
    </row>
    <row r="13" spans="1:21" ht="12.75">
      <c r="A13" s="39">
        <v>8</v>
      </c>
      <c r="B13" s="38">
        <v>1968.7</v>
      </c>
      <c r="C13" s="38">
        <v>3413.7</v>
      </c>
      <c r="D13" s="38">
        <v>2609.2</v>
      </c>
      <c r="E13" s="38">
        <v>48580</v>
      </c>
      <c r="F13" s="38">
        <v>97</v>
      </c>
      <c r="G13" s="38">
        <v>104.4</v>
      </c>
      <c r="H13" s="38">
        <v>111.1</v>
      </c>
      <c r="I13" s="38">
        <v>112</v>
      </c>
      <c r="J13" s="38">
        <v>112</v>
      </c>
      <c r="K13" s="38">
        <v>112</v>
      </c>
      <c r="L13" s="38">
        <v>112.2</v>
      </c>
      <c r="M13" s="38">
        <v>112.1</v>
      </c>
      <c r="N13" s="38">
        <v>2474.2</v>
      </c>
      <c r="O13" s="38">
        <v>2474.2</v>
      </c>
      <c r="P13" s="38">
        <v>2547.1</v>
      </c>
      <c r="Q13" s="38">
        <v>2417.8</v>
      </c>
      <c r="R13" s="38">
        <v>2317.7</v>
      </c>
      <c r="S13" s="38">
        <v>2366.1</v>
      </c>
      <c r="T13" s="38">
        <v>2500.1</v>
      </c>
      <c r="U13" s="38">
        <v>2496.1</v>
      </c>
    </row>
    <row r="14" spans="1:21" ht="12.75">
      <c r="A14" s="39">
        <v>9</v>
      </c>
      <c r="B14" s="38">
        <v>3413.8</v>
      </c>
      <c r="C14" s="38">
        <v>7588.2</v>
      </c>
      <c r="D14" s="38">
        <v>5034.5</v>
      </c>
      <c r="E14" s="38">
        <v>48640</v>
      </c>
      <c r="F14" s="38">
        <v>90</v>
      </c>
      <c r="G14" s="38">
        <v>98.4</v>
      </c>
      <c r="H14" s="38">
        <v>105.4</v>
      </c>
      <c r="I14" s="38">
        <v>106.8</v>
      </c>
      <c r="J14" s="38">
        <v>106.8</v>
      </c>
      <c r="K14" s="38">
        <v>106.5</v>
      </c>
      <c r="L14" s="38">
        <v>107</v>
      </c>
      <c r="M14" s="38">
        <v>106.9</v>
      </c>
      <c r="N14" s="38">
        <v>3607.7</v>
      </c>
      <c r="O14" s="38">
        <v>3607.7</v>
      </c>
      <c r="P14" s="38">
        <v>3649.9</v>
      </c>
      <c r="Q14" s="38">
        <v>3522.1</v>
      </c>
      <c r="R14" s="38">
        <v>3424.1</v>
      </c>
      <c r="S14" s="38">
        <v>3492.4</v>
      </c>
      <c r="T14" s="38">
        <v>3801.9</v>
      </c>
      <c r="U14" s="38">
        <v>3880.8</v>
      </c>
    </row>
    <row r="15" spans="1:21" ht="12.75">
      <c r="A15" s="40">
        <v>10</v>
      </c>
      <c r="B15" s="41">
        <v>7588.3</v>
      </c>
      <c r="C15" s="41">
        <v>100000</v>
      </c>
      <c r="D15" s="41">
        <v>26059.9</v>
      </c>
      <c r="E15" s="41">
        <v>48655</v>
      </c>
      <c r="F15" s="41">
        <v>95</v>
      </c>
      <c r="G15" s="41">
        <v>104.6</v>
      </c>
      <c r="H15" s="41">
        <v>112.8</v>
      </c>
      <c r="I15" s="41">
        <v>115</v>
      </c>
      <c r="J15" s="41">
        <v>114.9</v>
      </c>
      <c r="K15" s="41">
        <v>115.2</v>
      </c>
      <c r="L15" s="41">
        <v>115.3</v>
      </c>
      <c r="M15" s="41">
        <v>115.1</v>
      </c>
      <c r="N15" s="41">
        <v>5469.3</v>
      </c>
      <c r="O15" s="41">
        <v>5469.3</v>
      </c>
      <c r="P15" s="41">
        <v>5500.2</v>
      </c>
      <c r="Q15" s="41">
        <v>5438.9</v>
      </c>
      <c r="R15" s="41">
        <v>5379.9</v>
      </c>
      <c r="S15" s="41">
        <v>5198.7</v>
      </c>
      <c r="T15" s="41">
        <v>6015.3</v>
      </c>
      <c r="U15" s="41">
        <v>6327.2</v>
      </c>
    </row>
    <row r="16" spans="1:21" ht="12.75">
      <c r="A16" s="42" t="s">
        <v>95</v>
      </c>
      <c r="B16" s="42"/>
      <c r="C16" s="42"/>
      <c r="D16" s="42"/>
      <c r="E16" s="42"/>
      <c r="F16" s="43">
        <v>0.0003137</v>
      </c>
      <c r="G16" s="43">
        <v>0.0006294</v>
      </c>
      <c r="H16" s="43">
        <v>0.0008516</v>
      </c>
      <c r="I16" s="43">
        <v>0.0009886</v>
      </c>
      <c r="J16" s="43">
        <v>0.000991</v>
      </c>
      <c r="K16" s="43">
        <v>0.0010125</v>
      </c>
      <c r="L16" s="43">
        <v>0.0009955</v>
      </c>
      <c r="M16" s="43">
        <v>0.0009914</v>
      </c>
      <c r="N16" s="43">
        <v>0.1624587</v>
      </c>
      <c r="O16" s="43">
        <v>0.1624587</v>
      </c>
      <c r="P16" s="43">
        <v>0.1637659</v>
      </c>
      <c r="Q16" s="43">
        <v>0.1616262</v>
      </c>
      <c r="R16" s="43">
        <v>0.159615</v>
      </c>
      <c r="S16" s="43">
        <v>0.1510274</v>
      </c>
      <c r="T16" s="43">
        <v>0.1704823</v>
      </c>
      <c r="U16" s="43">
        <v>0.1818707</v>
      </c>
    </row>
    <row r="19" spans="1:256" ht="12.75">
      <c r="A19" s="5" t="s">
        <v>178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1" ht="12.75">
      <c r="A20" s="46" t="s">
        <v>169</v>
      </c>
      <c r="B20" s="46"/>
      <c r="C20" s="46"/>
      <c r="D20" s="46"/>
      <c r="E20" s="46"/>
      <c r="F20" s="62" t="s">
        <v>89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2.75">
      <c r="A21" s="35" t="s">
        <v>90</v>
      </c>
      <c r="B21" s="35" t="s">
        <v>91</v>
      </c>
      <c r="C21" s="35" t="s">
        <v>92</v>
      </c>
      <c r="D21" s="35" t="s">
        <v>93</v>
      </c>
      <c r="E21" s="35" t="s">
        <v>94</v>
      </c>
      <c r="F21" s="36">
        <v>1</v>
      </c>
      <c r="G21" s="36">
        <v>2</v>
      </c>
      <c r="H21" s="36">
        <v>3</v>
      </c>
      <c r="I21" s="36">
        <v>4</v>
      </c>
      <c r="J21" s="36">
        <v>6</v>
      </c>
      <c r="K21" s="36">
        <v>7</v>
      </c>
      <c r="L21" s="36">
        <v>8</v>
      </c>
      <c r="M21" s="36">
        <v>9</v>
      </c>
      <c r="N21" s="36">
        <v>10</v>
      </c>
      <c r="O21" s="36">
        <v>11</v>
      </c>
      <c r="P21" s="36">
        <v>12</v>
      </c>
      <c r="Q21" s="36">
        <v>13</v>
      </c>
      <c r="R21" s="36">
        <v>14</v>
      </c>
      <c r="S21" s="36">
        <v>15</v>
      </c>
      <c r="T21" s="36">
        <v>16</v>
      </c>
      <c r="U21" s="36">
        <v>17</v>
      </c>
    </row>
    <row r="22" spans="1:21" ht="12.75">
      <c r="A22" s="39">
        <v>1</v>
      </c>
      <c r="B22" s="38">
        <v>0.1</v>
      </c>
      <c r="C22" s="38">
        <v>34.8</v>
      </c>
      <c r="D22" s="38">
        <v>22.2</v>
      </c>
      <c r="E22" s="38">
        <v>2105962</v>
      </c>
      <c r="F22" s="38">
        <v>89.7</v>
      </c>
      <c r="G22" s="38">
        <v>68</v>
      </c>
      <c r="H22" s="38">
        <v>51.2</v>
      </c>
      <c r="I22" s="38">
        <v>41.1</v>
      </c>
      <c r="J22" s="38">
        <v>41.3</v>
      </c>
      <c r="K22" s="38">
        <v>44.6</v>
      </c>
      <c r="L22" s="38">
        <v>41</v>
      </c>
      <c r="M22" s="38">
        <v>41.2</v>
      </c>
      <c r="N22" s="38">
        <v>30.7</v>
      </c>
      <c r="O22" s="38">
        <v>30.7</v>
      </c>
      <c r="P22" s="38">
        <v>30.7</v>
      </c>
      <c r="Q22" s="38">
        <v>30.6</v>
      </c>
      <c r="R22" s="38">
        <v>30.9</v>
      </c>
      <c r="S22" s="38">
        <v>32.2</v>
      </c>
      <c r="T22" s="38">
        <v>33.7</v>
      </c>
      <c r="U22" s="38">
        <v>33.6</v>
      </c>
    </row>
    <row r="23" spans="1:21" ht="12.75">
      <c r="A23" s="39">
        <v>2</v>
      </c>
      <c r="B23" s="38">
        <v>34.8</v>
      </c>
      <c r="C23" s="38">
        <v>46.4</v>
      </c>
      <c r="D23" s="38">
        <v>40.8</v>
      </c>
      <c r="E23" s="38">
        <v>2103603</v>
      </c>
      <c r="F23" s="38">
        <v>88.2</v>
      </c>
      <c r="G23" s="38">
        <v>72</v>
      </c>
      <c r="H23" s="38">
        <v>62.6</v>
      </c>
      <c r="I23" s="38">
        <v>58.4</v>
      </c>
      <c r="J23" s="38">
        <v>58.1</v>
      </c>
      <c r="K23" s="38">
        <v>60.6</v>
      </c>
      <c r="L23" s="38">
        <v>58.6</v>
      </c>
      <c r="M23" s="38">
        <v>58.2</v>
      </c>
      <c r="N23" s="38">
        <v>51.1</v>
      </c>
      <c r="O23" s="38">
        <v>51.1</v>
      </c>
      <c r="P23" s="38">
        <v>51.3</v>
      </c>
      <c r="Q23" s="38">
        <v>51.1</v>
      </c>
      <c r="R23" s="38">
        <v>51.2</v>
      </c>
      <c r="S23" s="38">
        <v>51.8</v>
      </c>
      <c r="T23" s="38">
        <v>51.8</v>
      </c>
      <c r="U23" s="38">
        <v>51.8</v>
      </c>
    </row>
    <row r="24" spans="1:21" ht="12.75">
      <c r="A24" s="39">
        <v>3</v>
      </c>
      <c r="B24" s="38">
        <v>46.4</v>
      </c>
      <c r="C24" s="38">
        <v>57.2</v>
      </c>
      <c r="D24" s="38">
        <v>52.4</v>
      </c>
      <c r="E24" s="38">
        <v>2106844</v>
      </c>
      <c r="F24" s="38">
        <v>88.2</v>
      </c>
      <c r="G24" s="38">
        <v>77.4</v>
      </c>
      <c r="H24" s="38">
        <v>70.9</v>
      </c>
      <c r="I24" s="38">
        <v>67.1</v>
      </c>
      <c r="J24" s="38">
        <v>66.8</v>
      </c>
      <c r="K24" s="38">
        <v>68.7</v>
      </c>
      <c r="L24" s="38">
        <v>67.2</v>
      </c>
      <c r="M24" s="38">
        <v>66.9</v>
      </c>
      <c r="N24" s="38">
        <v>61.5</v>
      </c>
      <c r="O24" s="38">
        <v>61.5</v>
      </c>
      <c r="P24" s="38">
        <v>61.6</v>
      </c>
      <c r="Q24" s="38">
        <v>61.6</v>
      </c>
      <c r="R24" s="38">
        <v>61.6</v>
      </c>
      <c r="S24" s="38">
        <v>62.4</v>
      </c>
      <c r="T24" s="38">
        <v>61.9</v>
      </c>
      <c r="U24" s="38">
        <v>61.7</v>
      </c>
    </row>
    <row r="25" spans="1:21" ht="12.75">
      <c r="A25" s="39">
        <v>4</v>
      </c>
      <c r="B25" s="38">
        <v>57.2</v>
      </c>
      <c r="C25" s="38">
        <v>67.8</v>
      </c>
      <c r="D25" s="38">
        <v>62.5</v>
      </c>
      <c r="E25" s="38">
        <v>2102269</v>
      </c>
      <c r="F25" s="38">
        <v>88.3</v>
      </c>
      <c r="G25" s="38">
        <v>81.4</v>
      </c>
      <c r="H25" s="38">
        <v>79.4</v>
      </c>
      <c r="I25" s="38">
        <v>76.9</v>
      </c>
      <c r="J25" s="38">
        <v>76.7</v>
      </c>
      <c r="K25" s="38">
        <v>77.9</v>
      </c>
      <c r="L25" s="38">
        <v>76.9</v>
      </c>
      <c r="M25" s="38">
        <v>76.8</v>
      </c>
      <c r="N25" s="38">
        <v>71.5</v>
      </c>
      <c r="O25" s="38">
        <v>71.5</v>
      </c>
      <c r="P25" s="38">
        <v>71.5</v>
      </c>
      <c r="Q25" s="38">
        <v>71.6</v>
      </c>
      <c r="R25" s="38">
        <v>71.6</v>
      </c>
      <c r="S25" s="38">
        <v>71.8</v>
      </c>
      <c r="T25" s="38">
        <v>70.8</v>
      </c>
      <c r="U25" s="38">
        <v>70.8</v>
      </c>
    </row>
    <row r="26" spans="1:21" ht="12.75">
      <c r="A26" s="39">
        <v>5</v>
      </c>
      <c r="B26" s="38">
        <v>67.8</v>
      </c>
      <c r="C26" s="38">
        <v>77.2</v>
      </c>
      <c r="D26" s="38">
        <v>72.7</v>
      </c>
      <c r="E26" s="38">
        <v>2104653</v>
      </c>
      <c r="F26" s="38">
        <v>88.4</v>
      </c>
      <c r="G26" s="38">
        <v>84.8</v>
      </c>
      <c r="H26" s="38">
        <v>83.5</v>
      </c>
      <c r="I26" s="38">
        <v>81.3</v>
      </c>
      <c r="J26" s="38">
        <v>81.3</v>
      </c>
      <c r="K26" s="38">
        <v>81.7</v>
      </c>
      <c r="L26" s="38">
        <v>81.1</v>
      </c>
      <c r="M26" s="38">
        <v>81.3</v>
      </c>
      <c r="N26" s="38">
        <v>78</v>
      </c>
      <c r="O26" s="38">
        <v>78</v>
      </c>
      <c r="P26" s="38">
        <v>78</v>
      </c>
      <c r="Q26" s="38">
        <v>78.1</v>
      </c>
      <c r="R26" s="38">
        <v>77.7</v>
      </c>
      <c r="S26" s="38">
        <v>78</v>
      </c>
      <c r="T26" s="38">
        <v>77.5</v>
      </c>
      <c r="U26" s="38">
        <v>77.5</v>
      </c>
    </row>
    <row r="27" spans="1:21" ht="12.75">
      <c r="A27" s="39">
        <v>6</v>
      </c>
      <c r="B27" s="38">
        <v>77.2</v>
      </c>
      <c r="C27" s="38">
        <v>88.6</v>
      </c>
      <c r="D27" s="38">
        <v>82.6</v>
      </c>
      <c r="E27" s="38">
        <v>2109319</v>
      </c>
      <c r="F27" s="38">
        <v>88.5</v>
      </c>
      <c r="G27" s="38">
        <v>89</v>
      </c>
      <c r="H27" s="38">
        <v>90.8</v>
      </c>
      <c r="I27" s="38">
        <v>90.6</v>
      </c>
      <c r="J27" s="38">
        <v>90.7</v>
      </c>
      <c r="K27" s="38">
        <v>90.3</v>
      </c>
      <c r="L27" s="38">
        <v>90.5</v>
      </c>
      <c r="M27" s="38">
        <v>90.7</v>
      </c>
      <c r="N27" s="38">
        <v>88.3</v>
      </c>
      <c r="O27" s="38">
        <v>88.3</v>
      </c>
      <c r="P27" s="38">
        <v>88.1</v>
      </c>
      <c r="Q27" s="38">
        <v>88.3</v>
      </c>
      <c r="R27" s="38">
        <v>88.2</v>
      </c>
      <c r="S27" s="38">
        <v>87.9</v>
      </c>
      <c r="T27" s="38">
        <v>87</v>
      </c>
      <c r="U27" s="38">
        <v>86.7</v>
      </c>
    </row>
    <row r="28" spans="1:21" ht="12.75">
      <c r="A28" s="39">
        <v>7</v>
      </c>
      <c r="B28" s="38">
        <v>88.6</v>
      </c>
      <c r="C28" s="38">
        <v>102.3</v>
      </c>
      <c r="D28" s="38">
        <v>95.6</v>
      </c>
      <c r="E28" s="38">
        <v>2107567</v>
      </c>
      <c r="F28" s="38">
        <v>88.6</v>
      </c>
      <c r="G28" s="38">
        <v>93.8</v>
      </c>
      <c r="H28" s="38">
        <v>97.4</v>
      </c>
      <c r="I28" s="38">
        <v>98.2</v>
      </c>
      <c r="J28" s="38">
        <v>98.4</v>
      </c>
      <c r="K28" s="38">
        <v>97.5</v>
      </c>
      <c r="L28" s="38">
        <v>98.2</v>
      </c>
      <c r="M28" s="38">
        <v>98.3</v>
      </c>
      <c r="N28" s="38">
        <v>98.6</v>
      </c>
      <c r="O28" s="38">
        <v>98.6</v>
      </c>
      <c r="P28" s="38">
        <v>98.6</v>
      </c>
      <c r="Q28" s="38">
        <v>98.6</v>
      </c>
      <c r="R28" s="38">
        <v>98.4</v>
      </c>
      <c r="S28" s="38">
        <v>98.2</v>
      </c>
      <c r="T28" s="38">
        <v>98.3</v>
      </c>
      <c r="U28" s="38">
        <v>98.2</v>
      </c>
    </row>
    <row r="29" spans="1:21" ht="12.75">
      <c r="A29" s="39">
        <v>8</v>
      </c>
      <c r="B29" s="38">
        <v>102.4</v>
      </c>
      <c r="C29" s="38">
        <v>121.8</v>
      </c>
      <c r="D29" s="38">
        <v>111.3</v>
      </c>
      <c r="E29" s="38">
        <v>2101600</v>
      </c>
      <c r="F29" s="38">
        <v>89.1</v>
      </c>
      <c r="G29" s="38">
        <v>100</v>
      </c>
      <c r="H29" s="38">
        <v>107.7</v>
      </c>
      <c r="I29" s="38">
        <v>108.7</v>
      </c>
      <c r="J29" s="38">
        <v>108.4</v>
      </c>
      <c r="K29" s="38">
        <v>107.3</v>
      </c>
      <c r="L29" s="38">
        <v>108.7</v>
      </c>
      <c r="M29" s="38">
        <v>108.4</v>
      </c>
      <c r="N29" s="38">
        <v>110.4</v>
      </c>
      <c r="O29" s="38">
        <v>110.4</v>
      </c>
      <c r="P29" s="38">
        <v>110.4</v>
      </c>
      <c r="Q29" s="38">
        <v>110.4</v>
      </c>
      <c r="R29" s="38">
        <v>110.3</v>
      </c>
      <c r="S29" s="38">
        <v>110</v>
      </c>
      <c r="T29" s="38">
        <v>107.3</v>
      </c>
      <c r="U29" s="38">
        <v>107.2</v>
      </c>
    </row>
    <row r="30" spans="1:21" ht="12.75">
      <c r="A30" s="39">
        <v>9</v>
      </c>
      <c r="B30" s="38">
        <v>121.9</v>
      </c>
      <c r="C30" s="38">
        <v>150.4</v>
      </c>
      <c r="D30" s="38">
        <v>134.9</v>
      </c>
      <c r="E30" s="38">
        <v>2097854</v>
      </c>
      <c r="F30" s="38">
        <v>88.8</v>
      </c>
      <c r="G30" s="38">
        <v>103.2</v>
      </c>
      <c r="H30" s="38">
        <v>114.2</v>
      </c>
      <c r="I30" s="38">
        <v>120</v>
      </c>
      <c r="J30" s="38">
        <v>120.6</v>
      </c>
      <c r="K30" s="38">
        <v>118.1</v>
      </c>
      <c r="L30" s="38">
        <v>120</v>
      </c>
      <c r="M30" s="38">
        <v>120.6</v>
      </c>
      <c r="N30" s="38">
        <v>127.6</v>
      </c>
      <c r="O30" s="38">
        <v>127.6</v>
      </c>
      <c r="P30" s="38">
        <v>127.7</v>
      </c>
      <c r="Q30" s="38">
        <v>127.5</v>
      </c>
      <c r="R30" s="38">
        <v>127.7</v>
      </c>
      <c r="S30" s="38">
        <v>127.3</v>
      </c>
      <c r="T30" s="38">
        <v>125.7</v>
      </c>
      <c r="U30" s="38">
        <v>125.1</v>
      </c>
    </row>
    <row r="31" spans="1:21" ht="12.75">
      <c r="A31" s="40">
        <v>10</v>
      </c>
      <c r="B31" s="41">
        <v>150.5</v>
      </c>
      <c r="C31" s="41">
        <v>6063.8</v>
      </c>
      <c r="D31" s="41">
        <v>212.8</v>
      </c>
      <c r="E31" s="41">
        <v>2102986</v>
      </c>
      <c r="F31" s="41">
        <v>89.5</v>
      </c>
      <c r="G31" s="41">
        <v>117.7</v>
      </c>
      <c r="H31" s="41">
        <v>129.7</v>
      </c>
      <c r="I31" s="41">
        <v>141.2</v>
      </c>
      <c r="J31" s="41">
        <v>141.2</v>
      </c>
      <c r="K31" s="41">
        <v>139.3</v>
      </c>
      <c r="L31" s="41">
        <v>141.4</v>
      </c>
      <c r="M31" s="41">
        <v>141.3</v>
      </c>
      <c r="N31" s="41">
        <v>166.1</v>
      </c>
      <c r="O31" s="41">
        <v>166.1</v>
      </c>
      <c r="P31" s="41">
        <v>166.2</v>
      </c>
      <c r="Q31" s="41">
        <v>166</v>
      </c>
      <c r="R31" s="41">
        <v>166.3</v>
      </c>
      <c r="S31" s="41">
        <v>164.3</v>
      </c>
      <c r="T31" s="41">
        <v>170</v>
      </c>
      <c r="U31" s="41">
        <v>171.5</v>
      </c>
    </row>
    <row r="32" spans="1:21" ht="12.75">
      <c r="A32" s="11" t="s">
        <v>107</v>
      </c>
      <c r="B32" s="11"/>
      <c r="C32" s="11"/>
      <c r="D32" s="11"/>
      <c r="E32" s="11"/>
      <c r="F32" s="44">
        <v>3.1</v>
      </c>
      <c r="G32" s="44">
        <v>28.1</v>
      </c>
      <c r="H32" s="44">
        <v>34.6</v>
      </c>
      <c r="I32" s="44">
        <v>38.9</v>
      </c>
      <c r="J32" s="44">
        <v>38.9</v>
      </c>
      <c r="K32" s="44">
        <v>39.8</v>
      </c>
      <c r="L32" s="44">
        <v>39</v>
      </c>
      <c r="M32" s="44">
        <v>39</v>
      </c>
      <c r="N32" s="44">
        <v>46.9</v>
      </c>
      <c r="O32" s="44">
        <v>46.9</v>
      </c>
      <c r="P32" s="44">
        <v>47</v>
      </c>
      <c r="Q32" s="44">
        <v>46.9</v>
      </c>
      <c r="R32" s="44">
        <v>46.9</v>
      </c>
      <c r="S32" s="44">
        <v>46.1</v>
      </c>
      <c r="T32" s="44">
        <v>47.3</v>
      </c>
      <c r="U32" s="44">
        <v>47.6</v>
      </c>
    </row>
    <row r="33" spans="1:21" ht="12.75">
      <c r="A33" s="28" t="s">
        <v>95</v>
      </c>
      <c r="B33" s="28"/>
      <c r="C33" s="28"/>
      <c r="D33" s="28"/>
      <c r="E33" s="28"/>
      <c r="F33" s="45">
        <v>0.0036</v>
      </c>
      <c r="G33" s="45">
        <v>0.2102</v>
      </c>
      <c r="H33" s="45">
        <v>0.3269</v>
      </c>
      <c r="I33" s="45">
        <v>0.4267</v>
      </c>
      <c r="J33" s="45">
        <v>0.427</v>
      </c>
      <c r="K33" s="45">
        <v>0.4309</v>
      </c>
      <c r="L33" s="45">
        <v>0.4282</v>
      </c>
      <c r="M33" s="45">
        <v>0.4275</v>
      </c>
      <c r="N33" s="45">
        <v>0.6141</v>
      </c>
      <c r="O33" s="45">
        <v>0.6142</v>
      </c>
      <c r="P33" s="45">
        <v>0.6155</v>
      </c>
      <c r="Q33" s="45">
        <v>0.6138</v>
      </c>
      <c r="R33" s="45">
        <v>0.6148</v>
      </c>
      <c r="S33" s="45">
        <v>0.5928</v>
      </c>
      <c r="T33" s="45">
        <v>0.6254</v>
      </c>
      <c r="U33" s="45">
        <v>0.6362</v>
      </c>
    </row>
    <row r="35" spans="3:24" ht="12.7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3:24" ht="12.7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</sheetData>
  <sheetProtection/>
  <mergeCells count="2">
    <mergeCell ref="F3:U3"/>
    <mergeCell ref="F20:U20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8.00390625" style="6" bestFit="1" customWidth="1"/>
    <col min="2" max="2" width="9.140625" style="6" customWidth="1"/>
    <col min="3" max="3" width="16.140625" style="6" bestFit="1" customWidth="1"/>
    <col min="4" max="16384" width="9.140625" style="6" customWidth="1"/>
  </cols>
  <sheetData>
    <row r="3" spans="1:5" ht="12.75">
      <c r="A3" s="5" t="s">
        <v>179</v>
      </c>
      <c r="B3" s="5"/>
      <c r="C3" s="5"/>
      <c r="D3" s="5"/>
      <c r="E3" s="5"/>
    </row>
    <row r="4" spans="1:5" ht="12.75">
      <c r="A4" s="46" t="s">
        <v>108</v>
      </c>
      <c r="B4" s="46" t="s">
        <v>93</v>
      </c>
      <c r="C4" s="46" t="s">
        <v>109</v>
      </c>
      <c r="D4" s="46" t="s">
        <v>91</v>
      </c>
      <c r="E4" s="46" t="s">
        <v>92</v>
      </c>
    </row>
    <row r="5" spans="1:5" ht="12.75">
      <c r="A5" s="47" t="s">
        <v>110</v>
      </c>
      <c r="B5" s="48" t="str">
        <f>"0.019"</f>
        <v>0.019</v>
      </c>
      <c r="C5" s="48" t="str">
        <f>"0.010"</f>
        <v>0.010</v>
      </c>
      <c r="D5" s="48" t="str">
        <f>"0.001"</f>
        <v>0.001</v>
      </c>
      <c r="E5" s="48" t="str">
        <f>"0.089"</f>
        <v>0.089</v>
      </c>
    </row>
    <row r="6" spans="1:5" ht="12.75">
      <c r="A6" s="11" t="s">
        <v>111</v>
      </c>
      <c r="B6" s="21" t="str">
        <f>"0.007"</f>
        <v>0.007</v>
      </c>
      <c r="C6" s="21" t="str">
        <f>"0.004"</f>
        <v>0.004</v>
      </c>
      <c r="D6" s="21" t="str">
        <f>"0.000"</f>
        <v>0.000</v>
      </c>
      <c r="E6" s="21" t="str">
        <f>"0.305"</f>
        <v>0.305</v>
      </c>
    </row>
    <row r="7" spans="1:5" ht="12.75">
      <c r="A7" s="11" t="s">
        <v>112</v>
      </c>
      <c r="B7" s="21" t="str">
        <f>"0.004"</f>
        <v>0.004</v>
      </c>
      <c r="C7" s="21" t="str">
        <f>"0.005"</f>
        <v>0.005</v>
      </c>
      <c r="D7" s="21" t="str">
        <f>"0.000"</f>
        <v>0.000</v>
      </c>
      <c r="E7" s="21" t="str">
        <f>"0.530"</f>
        <v>0.530</v>
      </c>
    </row>
    <row r="8" spans="1:5" ht="12.75">
      <c r="A8" s="11" t="s">
        <v>164</v>
      </c>
      <c r="B8" s="21" t="str">
        <f>"0.031"</f>
        <v>0.031</v>
      </c>
      <c r="C8" s="21" t="str">
        <f>"0.009"</f>
        <v>0.009</v>
      </c>
      <c r="D8" s="21" t="str">
        <f>"0.010"</f>
        <v>0.010</v>
      </c>
      <c r="E8" s="21" t="str">
        <f>"0.079"</f>
        <v>0.079</v>
      </c>
    </row>
    <row r="9" spans="1:5" ht="12.75">
      <c r="A9" s="11" t="s">
        <v>165</v>
      </c>
      <c r="B9" s="21" t="str">
        <f>"0.550"</f>
        <v>0.550</v>
      </c>
      <c r="C9" s="21" t="str">
        <f>"0.466"</f>
        <v>0.466</v>
      </c>
      <c r="D9" s="21" t="str">
        <f>"0.052"</f>
        <v>0.052</v>
      </c>
      <c r="E9" s="21" t="str">
        <f>"5.868"</f>
        <v>5.868</v>
      </c>
    </row>
    <row r="10" spans="1:5" ht="12.75">
      <c r="A10" s="11" t="s">
        <v>113</v>
      </c>
      <c r="B10" s="21" t="str">
        <f>"0.828"</f>
        <v>0.828</v>
      </c>
      <c r="C10" s="21" t="str">
        <f>"0.329"</f>
        <v>0.329</v>
      </c>
      <c r="D10" s="21" t="str">
        <f>"0.117"</f>
        <v>0.117</v>
      </c>
      <c r="E10" s="21" t="str">
        <f>"7.650"</f>
        <v>7.650</v>
      </c>
    </row>
    <row r="11" spans="1:5" ht="12.75">
      <c r="A11" s="11" t="s">
        <v>114</v>
      </c>
      <c r="B11" s="21" t="str">
        <f>"0.170"</f>
        <v>0.170</v>
      </c>
      <c r="C11" s="21" t="str">
        <f>"0.077"</f>
        <v>0.077</v>
      </c>
      <c r="D11" s="21" t="str">
        <f>"0.034"</f>
        <v>0.034</v>
      </c>
      <c r="E11" s="21" t="str">
        <f>"0.491"</f>
        <v>0.491</v>
      </c>
    </row>
    <row r="12" spans="1:5" ht="12.75">
      <c r="A12" s="11" t="s">
        <v>115</v>
      </c>
      <c r="B12" s="21" t="str">
        <f>"0.459"</f>
        <v>0.459</v>
      </c>
      <c r="C12" s="21" t="str">
        <f>"0.087"</f>
        <v>0.087</v>
      </c>
      <c r="D12" s="21" t="str">
        <f>"0.238"</f>
        <v>0.238</v>
      </c>
      <c r="E12" s="21" t="str">
        <f>"0.799"</f>
        <v>0.799</v>
      </c>
    </row>
    <row r="13" spans="1:5" ht="12.75">
      <c r="A13" s="11" t="s">
        <v>116</v>
      </c>
      <c r="B13" s="21" t="str">
        <f>"0.019"</f>
        <v>0.019</v>
      </c>
      <c r="C13" s="21" t="str">
        <f>"0.005"</f>
        <v>0.005</v>
      </c>
      <c r="D13" s="21" t="str">
        <f>"0.008"</f>
        <v>0.008</v>
      </c>
      <c r="E13" s="21" t="str">
        <f>"0.047"</f>
        <v>0.047</v>
      </c>
    </row>
    <row r="14" spans="1:5" ht="12.75">
      <c r="A14" s="11" t="s">
        <v>117</v>
      </c>
      <c r="B14" s="21" t="str">
        <f>"0.062"</f>
        <v>0.062</v>
      </c>
      <c r="C14" s="21" t="str">
        <f>"0.013"</f>
        <v>0.013</v>
      </c>
      <c r="D14" s="21" t="str">
        <f>"0.026"</f>
        <v>0.026</v>
      </c>
      <c r="E14" s="21" t="str">
        <f>"0.146"</f>
        <v>0.146</v>
      </c>
    </row>
    <row r="15" spans="1:5" ht="12.75">
      <c r="A15" s="11" t="s">
        <v>118</v>
      </c>
      <c r="B15" s="21" t="str">
        <f>"0.064"</f>
        <v>0.064</v>
      </c>
      <c r="C15" s="21" t="str">
        <f>"0.015"</f>
        <v>0.015</v>
      </c>
      <c r="D15" s="21" t="str">
        <f>"0.010"</f>
        <v>0.010</v>
      </c>
      <c r="E15" s="21" t="str">
        <f>"0.218"</f>
        <v>0.218</v>
      </c>
    </row>
    <row r="16" spans="1:5" ht="12.75">
      <c r="A16" s="11" t="s">
        <v>119</v>
      </c>
      <c r="B16" s="21" t="str">
        <f>"0.081"</f>
        <v>0.081</v>
      </c>
      <c r="C16" s="21" t="str">
        <f>"0.016"</f>
        <v>0.016</v>
      </c>
      <c r="D16" s="21" t="str">
        <f>"0.040"</f>
        <v>0.040</v>
      </c>
      <c r="E16" s="21" t="str">
        <f>"0.183"</f>
        <v>0.183</v>
      </c>
    </row>
    <row r="17" spans="1:5" ht="12.75">
      <c r="A17" s="11" t="s">
        <v>120</v>
      </c>
      <c r="B17" s="21" t="str">
        <f>"0.026"</f>
        <v>0.026</v>
      </c>
      <c r="C17" s="21" t="str">
        <f>"0.056"</f>
        <v>0.056</v>
      </c>
      <c r="D17" s="21" t="str">
        <f>"0.000"</f>
        <v>0.000</v>
      </c>
      <c r="E17" s="21" t="str">
        <f>"0.424"</f>
        <v>0.424</v>
      </c>
    </row>
    <row r="18" spans="1:5" ht="12.75">
      <c r="A18" s="11" t="s">
        <v>166</v>
      </c>
      <c r="B18" s="21" t="str">
        <f>"1.001"</f>
        <v>1.001</v>
      </c>
      <c r="C18" s="21" t="str">
        <f>"0.117"</f>
        <v>0.117</v>
      </c>
      <c r="D18" s="21" t="str">
        <f>"0.571"</f>
        <v>0.571</v>
      </c>
      <c r="E18" s="21" t="str">
        <f>"3.797"</f>
        <v>3.797</v>
      </c>
    </row>
    <row r="19" spans="1:5" ht="12.75">
      <c r="A19" s="11" t="s">
        <v>121</v>
      </c>
      <c r="B19" s="21" t="str">
        <f>"0.175"</f>
        <v>0.175</v>
      </c>
      <c r="C19" s="21" t="str">
        <f>"0.039"</f>
        <v>0.039</v>
      </c>
      <c r="D19" s="21" t="str">
        <f>"0.058"</f>
        <v>0.058</v>
      </c>
      <c r="E19" s="21" t="str">
        <f>"0.351"</f>
        <v>0.351</v>
      </c>
    </row>
    <row r="20" spans="1:5" ht="12.75">
      <c r="A20" s="11" t="s">
        <v>122</v>
      </c>
      <c r="B20" s="21" t="str">
        <f>"0.062"</f>
        <v>0.062</v>
      </c>
      <c r="C20" s="21" t="str">
        <f>"0.241"</f>
        <v>0.241</v>
      </c>
      <c r="D20" s="21" t="str">
        <f aca="true" t="shared" si="0" ref="D20:D27">"0.000"</f>
        <v>0.000</v>
      </c>
      <c r="E20" s="21" t="str">
        <f>"1.000"</f>
        <v>1.000</v>
      </c>
    </row>
    <row r="21" spans="1:5" ht="12.75">
      <c r="A21" s="49" t="s">
        <v>123</v>
      </c>
      <c r="B21" s="21" t="str">
        <f>"0.000"</f>
        <v>0.000</v>
      </c>
      <c r="C21" s="21" t="str">
        <f>"0.001"</f>
        <v>0.001</v>
      </c>
      <c r="D21" s="21" t="str">
        <f t="shared" si="0"/>
        <v>0.000</v>
      </c>
      <c r="E21" s="21" t="str">
        <f>"0.056"</f>
        <v>0.056</v>
      </c>
    </row>
    <row r="22" spans="1:5" ht="12.75">
      <c r="A22" s="11" t="s">
        <v>167</v>
      </c>
      <c r="B22" s="21" t="str">
        <f>"0.002"</f>
        <v>0.002</v>
      </c>
      <c r="C22" s="21" t="str">
        <f>"0.007"</f>
        <v>0.007</v>
      </c>
      <c r="D22" s="21" t="str">
        <f t="shared" si="0"/>
        <v>0.000</v>
      </c>
      <c r="E22" s="21" t="str">
        <f>"0.143"</f>
        <v>0.143</v>
      </c>
    </row>
    <row r="23" spans="1:5" ht="12.75">
      <c r="A23" s="49" t="s">
        <v>124</v>
      </c>
      <c r="B23" s="21" t="str">
        <f>"0.001"</f>
        <v>0.001</v>
      </c>
      <c r="C23" s="21" t="str">
        <f>"0.004"</f>
        <v>0.004</v>
      </c>
      <c r="D23" s="21" t="str">
        <f t="shared" si="0"/>
        <v>0.000</v>
      </c>
      <c r="E23" s="21" t="str">
        <f>"0.500"</f>
        <v>0.500</v>
      </c>
    </row>
    <row r="24" spans="1:5" ht="12.75">
      <c r="A24" s="49" t="s">
        <v>125</v>
      </c>
      <c r="B24" s="21" t="str">
        <f>"0.000"</f>
        <v>0.000</v>
      </c>
      <c r="C24" s="21" t="str">
        <f>"0.002"</f>
        <v>0.002</v>
      </c>
      <c r="D24" s="21" t="str">
        <f t="shared" si="0"/>
        <v>0.000</v>
      </c>
      <c r="E24" s="21" t="str">
        <f>"0.074"</f>
        <v>0.074</v>
      </c>
    </row>
    <row r="25" spans="1:5" ht="12.75">
      <c r="A25" s="49" t="s">
        <v>126</v>
      </c>
      <c r="B25" s="21" t="str">
        <f>"0.000"</f>
        <v>0.000</v>
      </c>
      <c r="C25" s="21" t="str">
        <f>"0.003"</f>
        <v>0.003</v>
      </c>
      <c r="D25" s="21" t="str">
        <f t="shared" si="0"/>
        <v>0.000</v>
      </c>
      <c r="E25" s="21" t="str">
        <f>"0.048"</f>
        <v>0.048</v>
      </c>
    </row>
    <row r="26" spans="1:5" ht="12.75">
      <c r="A26" s="49" t="s">
        <v>127</v>
      </c>
      <c r="B26" s="21" t="str">
        <f>"0.000"</f>
        <v>0.000</v>
      </c>
      <c r="C26" s="21" t="str">
        <f>"0.001"</f>
        <v>0.001</v>
      </c>
      <c r="D26" s="21" t="str">
        <f t="shared" si="0"/>
        <v>0.000</v>
      </c>
      <c r="E26" s="21" t="str">
        <f>"0.023"</f>
        <v>0.023</v>
      </c>
    </row>
    <row r="27" spans="1:5" ht="12.75">
      <c r="A27" s="50" t="s">
        <v>128</v>
      </c>
      <c r="B27" s="32" t="str">
        <f>"0.005"</f>
        <v>0.005</v>
      </c>
      <c r="C27" s="32" t="str">
        <f>"0.010"</f>
        <v>0.010</v>
      </c>
      <c r="D27" s="32" t="str">
        <f t="shared" si="0"/>
        <v>0.000</v>
      </c>
      <c r="E27" s="32" t="str">
        <f>"0.156"</f>
        <v>0.156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28125" style="6" bestFit="1" customWidth="1"/>
    <col min="2" max="2" width="11.421875" style="6" bestFit="1" customWidth="1"/>
    <col min="3" max="3" width="13.7109375" style="6" bestFit="1" customWidth="1"/>
    <col min="4" max="4" width="8.7109375" style="6" bestFit="1" customWidth="1"/>
    <col min="5" max="5" width="9.140625" style="6" customWidth="1"/>
    <col min="6" max="6" width="11.28125" style="6" bestFit="1" customWidth="1"/>
    <col min="7" max="7" width="11.421875" style="6" bestFit="1" customWidth="1"/>
    <col min="8" max="8" width="13.7109375" style="6" bestFit="1" customWidth="1"/>
    <col min="9" max="16384" width="9.140625" style="6" customWidth="1"/>
  </cols>
  <sheetData>
    <row r="1" ht="12.75">
      <c r="A1" s="34" t="s">
        <v>182</v>
      </c>
    </row>
    <row r="3" spans="1:4" ht="12.75">
      <c r="A3" s="5" t="s">
        <v>134</v>
      </c>
      <c r="B3" s="5" t="s">
        <v>129</v>
      </c>
      <c r="C3" s="5" t="s">
        <v>130</v>
      </c>
      <c r="D3" s="5" t="s">
        <v>131</v>
      </c>
    </row>
    <row r="4" spans="1:4" ht="12.75">
      <c r="A4" s="7"/>
      <c r="B4" s="8" t="s">
        <v>93</v>
      </c>
      <c r="C4" s="8" t="s">
        <v>93</v>
      </c>
      <c r="D4" s="8" t="s">
        <v>93</v>
      </c>
    </row>
    <row r="5" spans="1:4" ht="12.75">
      <c r="A5" s="11" t="s">
        <v>135</v>
      </c>
      <c r="B5" s="52">
        <v>0.108431</v>
      </c>
      <c r="C5" s="52">
        <v>0.114962</v>
      </c>
      <c r="D5" s="21"/>
    </row>
    <row r="6" spans="1:4" ht="12.75">
      <c r="A6" s="11" t="s">
        <v>137</v>
      </c>
      <c r="B6" s="52">
        <v>0.11478899999999999</v>
      </c>
      <c r="C6" s="52">
        <v>0.120379</v>
      </c>
      <c r="D6" s="21"/>
    </row>
    <row r="7" spans="1:4" ht="12.75">
      <c r="A7" s="11" t="s">
        <v>139</v>
      </c>
      <c r="B7" s="52">
        <v>0.113732</v>
      </c>
      <c r="C7" s="52">
        <v>0.112632</v>
      </c>
      <c r="D7" s="21"/>
    </row>
    <row r="8" spans="1:9" ht="12.75">
      <c r="A8" s="11" t="s">
        <v>141</v>
      </c>
      <c r="B8" s="52">
        <v>0.121647</v>
      </c>
      <c r="C8" s="52">
        <v>0.116943</v>
      </c>
      <c r="D8" s="21"/>
      <c r="I8" s="11"/>
    </row>
    <row r="9" spans="1:9" ht="12.75">
      <c r="A9" s="11" t="s">
        <v>143</v>
      </c>
      <c r="B9" s="52">
        <v>0.127831</v>
      </c>
      <c r="C9" s="52">
        <v>0.12313800000000001</v>
      </c>
      <c r="D9" s="21"/>
      <c r="I9" s="21"/>
    </row>
    <row r="10" spans="1:9" ht="12.75">
      <c r="A10" s="11" t="s">
        <v>145</v>
      </c>
      <c r="B10" s="52">
        <v>0.123301</v>
      </c>
      <c r="C10" s="52">
        <v>0.119479</v>
      </c>
      <c r="D10" s="21"/>
      <c r="I10" s="11"/>
    </row>
    <row r="11" spans="1:4" ht="12.75">
      <c r="A11" s="11" t="s">
        <v>146</v>
      </c>
      <c r="B11" s="52">
        <v>0.104494</v>
      </c>
      <c r="C11" s="52">
        <v>0.10248499999999999</v>
      </c>
      <c r="D11" s="21"/>
    </row>
    <row r="12" spans="1:4" ht="12.75">
      <c r="A12" s="11" t="s">
        <v>147</v>
      </c>
      <c r="B12" s="52">
        <v>0.09212</v>
      </c>
      <c r="C12" s="52">
        <v>0.09269500000000001</v>
      </c>
      <c r="D12" s="21"/>
    </row>
    <row r="13" spans="1:4" ht="12.75">
      <c r="A13" s="11" t="s">
        <v>148</v>
      </c>
      <c r="B13" s="52">
        <v>0.093655</v>
      </c>
      <c r="C13" s="52">
        <v>0.097287</v>
      </c>
      <c r="D13" s="21"/>
    </row>
    <row r="14" spans="1:4" ht="12.75">
      <c r="A14" s="11" t="s">
        <v>136</v>
      </c>
      <c r="B14" s="21"/>
      <c r="C14" s="21"/>
      <c r="D14" s="52">
        <v>0.285572294670394</v>
      </c>
    </row>
    <row r="15" spans="1:4" ht="12.75">
      <c r="A15" s="11" t="s">
        <v>138</v>
      </c>
      <c r="B15" s="21"/>
      <c r="C15" s="21"/>
      <c r="D15" s="52">
        <v>0.2404328313918997</v>
      </c>
    </row>
    <row r="16" spans="1:4" ht="12.75">
      <c r="A16" s="11" t="s">
        <v>140</v>
      </c>
      <c r="B16" s="21"/>
      <c r="C16" s="21"/>
      <c r="D16" s="52">
        <v>0.19479338331015925</v>
      </c>
    </row>
    <row r="17" spans="1:4" ht="12.75">
      <c r="A17" s="11" t="s">
        <v>142</v>
      </c>
      <c r="B17" s="21"/>
      <c r="C17" s="21"/>
      <c r="D17" s="52">
        <v>0.14443319704203886</v>
      </c>
    </row>
    <row r="18" spans="1:4" ht="12.75">
      <c r="A18" s="28" t="s">
        <v>144</v>
      </c>
      <c r="B18" s="32"/>
      <c r="C18" s="32"/>
      <c r="D18" s="53">
        <v>0.13476829358550818</v>
      </c>
    </row>
    <row r="19" spans="1:4" ht="12.75">
      <c r="A19" s="54" t="s">
        <v>94</v>
      </c>
      <c r="B19" s="51">
        <v>8558341</v>
      </c>
      <c r="C19" s="51">
        <v>8251910</v>
      </c>
      <c r="D19" s="51">
        <v>4310131</v>
      </c>
    </row>
    <row r="20" spans="1:4" ht="12.75">
      <c r="A20" s="11"/>
      <c r="B20" s="21"/>
      <c r="C20" s="21"/>
      <c r="D20" s="52"/>
    </row>
    <row r="21" spans="1:4" ht="12.75">
      <c r="A21" s="5" t="s">
        <v>134</v>
      </c>
      <c r="B21" s="5" t="s">
        <v>132</v>
      </c>
      <c r="C21" s="5" t="s">
        <v>133</v>
      </c>
      <c r="D21" s="11"/>
    </row>
    <row r="22" spans="1:4" ht="12.75">
      <c r="A22" s="7"/>
      <c r="B22" s="8" t="s">
        <v>93</v>
      </c>
      <c r="C22" s="8" t="s">
        <v>93</v>
      </c>
      <c r="D22" s="11"/>
    </row>
    <row r="23" spans="1:4" ht="12.75">
      <c r="A23" s="11" t="s">
        <v>136</v>
      </c>
      <c r="B23" s="52">
        <v>0.140044</v>
      </c>
      <c r="C23" s="52">
        <v>0.145528</v>
      </c>
      <c r="D23" s="11"/>
    </row>
    <row r="24" spans="1:3" ht="12.75">
      <c r="A24" s="11" t="s">
        <v>138</v>
      </c>
      <c r="B24" s="52">
        <v>0.114444</v>
      </c>
      <c r="C24" s="52">
        <v>0.12598900000000002</v>
      </c>
    </row>
    <row r="25" spans="1:3" ht="12.75">
      <c r="A25" s="11" t="s">
        <v>140</v>
      </c>
      <c r="B25" s="52">
        <v>0.087955</v>
      </c>
      <c r="C25" s="52">
        <v>0.106838</v>
      </c>
    </row>
    <row r="26" spans="1:3" ht="12.75">
      <c r="A26" s="11" t="s">
        <v>142</v>
      </c>
      <c r="B26" s="52">
        <v>0.059358</v>
      </c>
      <c r="C26" s="52">
        <v>0.085075</v>
      </c>
    </row>
    <row r="27" spans="1:3" ht="12.75">
      <c r="A27" s="28" t="s">
        <v>144</v>
      </c>
      <c r="B27" s="53">
        <v>0.043299000000000004</v>
      </c>
      <c r="C27" s="53">
        <v>0.09146900000000001</v>
      </c>
    </row>
    <row r="28" spans="1:3" ht="12.75">
      <c r="A28" s="54" t="s">
        <v>94</v>
      </c>
      <c r="B28" s="51">
        <v>1918443</v>
      </c>
      <c r="C28" s="51">
        <v>2391688</v>
      </c>
    </row>
    <row r="31" spans="1:4" ht="12.75">
      <c r="A31" s="5" t="s">
        <v>162</v>
      </c>
      <c r="B31" s="5" t="s">
        <v>129</v>
      </c>
      <c r="C31" s="5" t="s">
        <v>130</v>
      </c>
      <c r="D31" s="5" t="s">
        <v>131</v>
      </c>
    </row>
    <row r="32" spans="1:4" ht="12.75">
      <c r="A32" s="7"/>
      <c r="B32" s="8" t="s">
        <v>93</v>
      </c>
      <c r="C32" s="8" t="s">
        <v>93</v>
      </c>
      <c r="D32" s="8" t="s">
        <v>93</v>
      </c>
    </row>
    <row r="33" spans="1:4" ht="12.75">
      <c r="A33" s="27" t="s">
        <v>163</v>
      </c>
      <c r="B33" s="55">
        <v>0.969497</v>
      </c>
      <c r="C33" s="55">
        <v>0.964414</v>
      </c>
      <c r="D33" s="55">
        <v>0.940934</v>
      </c>
    </row>
    <row r="34" spans="1:4" ht="12.75">
      <c r="A34" s="27" t="s">
        <v>12</v>
      </c>
      <c r="B34" s="55">
        <v>0.00013</v>
      </c>
      <c r="C34" s="56">
        <v>1.8E-05</v>
      </c>
      <c r="D34" s="56">
        <v>7E-06</v>
      </c>
    </row>
    <row r="35" spans="1:4" ht="12.75">
      <c r="A35" s="11" t="s">
        <v>13</v>
      </c>
      <c r="B35" s="55">
        <v>0.002041</v>
      </c>
      <c r="C35" s="55">
        <v>0.001729</v>
      </c>
      <c r="D35" s="55">
        <v>0.001822</v>
      </c>
    </row>
    <row r="36" spans="1:4" ht="12.75">
      <c r="A36" s="11" t="s">
        <v>181</v>
      </c>
      <c r="B36" s="55">
        <v>0.001999</v>
      </c>
      <c r="C36" s="55">
        <v>0.001776</v>
      </c>
      <c r="D36" s="55">
        <v>0.0037099999999999998</v>
      </c>
    </row>
    <row r="37" spans="1:4" ht="12.75">
      <c r="A37" s="11" t="s">
        <v>14</v>
      </c>
      <c r="B37" s="55">
        <v>0.000213</v>
      </c>
      <c r="C37" s="55">
        <v>0.00028000000000000003</v>
      </c>
      <c r="D37" s="55">
        <v>0.00018800000000000002</v>
      </c>
    </row>
    <row r="38" spans="1:4" ht="12.75">
      <c r="A38" s="11" t="s">
        <v>15</v>
      </c>
      <c r="B38" s="55">
        <v>0.00109</v>
      </c>
      <c r="C38" s="55">
        <v>0.00131</v>
      </c>
      <c r="D38" s="55">
        <v>0.001452</v>
      </c>
    </row>
    <row r="39" spans="1:4" ht="12.75">
      <c r="A39" s="11" t="s">
        <v>16</v>
      </c>
      <c r="B39" s="55">
        <v>0.004388</v>
      </c>
      <c r="C39" s="55">
        <v>0.0050019999999999995</v>
      </c>
      <c r="D39" s="55">
        <v>0.009734</v>
      </c>
    </row>
    <row r="40" spans="1:4" ht="12.75">
      <c r="A40" s="11" t="s">
        <v>100</v>
      </c>
      <c r="B40" s="55">
        <v>0.00037</v>
      </c>
      <c r="C40" s="55">
        <v>0.000385</v>
      </c>
      <c r="D40" s="55">
        <v>0.000719</v>
      </c>
    </row>
    <row r="41" spans="1:4" ht="12.75">
      <c r="A41" s="28" t="s">
        <v>149</v>
      </c>
      <c r="B41" s="57">
        <v>0.020274</v>
      </c>
      <c r="C41" s="57">
        <v>0.025086</v>
      </c>
      <c r="D41" s="57">
        <v>0.041434</v>
      </c>
    </row>
    <row r="42" spans="1:4" ht="12.75">
      <c r="A42" s="54" t="s">
        <v>94</v>
      </c>
      <c r="B42" s="51">
        <v>8558341</v>
      </c>
      <c r="C42" s="51">
        <v>8251910</v>
      </c>
      <c r="D42" s="51">
        <v>4310131</v>
      </c>
    </row>
    <row r="44" spans="1:4" ht="12.75">
      <c r="A44" s="5"/>
      <c r="B44" s="5" t="s">
        <v>129</v>
      </c>
      <c r="C44" s="5" t="s">
        <v>130</v>
      </c>
      <c r="D44" s="5" t="s">
        <v>131</v>
      </c>
    </row>
    <row r="45" spans="1:4" ht="12.75">
      <c r="A45" s="34"/>
      <c r="B45" s="8" t="s">
        <v>93</v>
      </c>
      <c r="C45" s="8" t="s">
        <v>93</v>
      </c>
      <c r="D45" s="8" t="s">
        <v>93</v>
      </c>
    </row>
    <row r="46" spans="1:4" ht="12.75">
      <c r="A46" s="42" t="s">
        <v>17</v>
      </c>
      <c r="B46" s="58">
        <v>0.011646</v>
      </c>
      <c r="C46" s="58">
        <v>0.012653000000000001</v>
      </c>
      <c r="D46" s="58">
        <v>0.023377</v>
      </c>
    </row>
    <row r="47" spans="1:4" ht="12.75">
      <c r="A47" s="54" t="s">
        <v>94</v>
      </c>
      <c r="B47" s="51">
        <v>8558341</v>
      </c>
      <c r="C47" s="51">
        <v>8251910</v>
      </c>
      <c r="D47" s="51">
        <v>4310131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9.421875" style="6" bestFit="1" customWidth="1"/>
    <col min="2" max="2" width="10.28125" style="6" bestFit="1" customWidth="1"/>
    <col min="3" max="3" width="12.140625" style="6" bestFit="1" customWidth="1"/>
    <col min="4" max="4" width="7.7109375" style="6" bestFit="1" customWidth="1"/>
    <col min="5" max="5" width="9.140625" style="6" customWidth="1"/>
    <col min="6" max="6" width="43.57421875" style="6" bestFit="1" customWidth="1"/>
    <col min="7" max="7" width="10.28125" style="6" bestFit="1" customWidth="1"/>
    <col min="8" max="8" width="12.140625" style="6" bestFit="1" customWidth="1"/>
    <col min="9" max="9" width="7.7109375" style="6" bestFit="1" customWidth="1"/>
    <col min="10" max="16384" width="9.140625" style="6" customWidth="1"/>
  </cols>
  <sheetData>
    <row r="1" ht="12.75">
      <c r="A1" s="34" t="s">
        <v>180</v>
      </c>
    </row>
    <row r="3" spans="1:9" ht="12.75">
      <c r="A3" s="5" t="s">
        <v>150</v>
      </c>
      <c r="B3" s="5" t="s">
        <v>129</v>
      </c>
      <c r="C3" s="5" t="s">
        <v>130</v>
      </c>
      <c r="D3" s="5" t="s">
        <v>131</v>
      </c>
      <c r="F3" s="5" t="s">
        <v>157</v>
      </c>
      <c r="G3" s="5" t="s">
        <v>129</v>
      </c>
      <c r="H3" s="5" t="s">
        <v>130</v>
      </c>
      <c r="I3" s="5" t="s">
        <v>131</v>
      </c>
    </row>
    <row r="4" spans="1:9" ht="12.75">
      <c r="A4" s="7"/>
      <c r="B4" s="8" t="s">
        <v>93</v>
      </c>
      <c r="C4" s="8" t="s">
        <v>93</v>
      </c>
      <c r="D4" s="8" t="s">
        <v>93</v>
      </c>
      <c r="F4" s="7"/>
      <c r="G4" s="8" t="s">
        <v>93</v>
      </c>
      <c r="H4" s="8" t="s">
        <v>93</v>
      </c>
      <c r="I4" s="8" t="s">
        <v>93</v>
      </c>
    </row>
    <row r="5" spans="1:9" ht="12.75">
      <c r="A5" s="11" t="s">
        <v>151</v>
      </c>
      <c r="B5" s="52">
        <v>0.0254</v>
      </c>
      <c r="C5" s="52">
        <v>0.0264</v>
      </c>
      <c r="D5" s="52">
        <v>0.0223</v>
      </c>
      <c r="F5" s="11" t="s">
        <v>83</v>
      </c>
      <c r="G5" s="52">
        <v>0.0516</v>
      </c>
      <c r="H5" s="52">
        <v>0.0321</v>
      </c>
      <c r="I5" s="52">
        <v>0.029900000000000003</v>
      </c>
    </row>
    <row r="6" spans="1:9" ht="12.75">
      <c r="A6" s="11" t="s">
        <v>152</v>
      </c>
      <c r="B6" s="52">
        <v>0.7225</v>
      </c>
      <c r="C6" s="52">
        <v>0.7284</v>
      </c>
      <c r="D6" s="52">
        <v>0.8343</v>
      </c>
      <c r="F6" s="11" t="s">
        <v>158</v>
      </c>
      <c r="G6" s="52">
        <v>0.35619999999999996</v>
      </c>
      <c r="H6" s="52">
        <v>0.3543</v>
      </c>
      <c r="I6" s="52">
        <v>0.2954</v>
      </c>
    </row>
    <row r="7" spans="1:9" ht="12.75">
      <c r="A7" s="11" t="s">
        <v>61</v>
      </c>
      <c r="B7" s="52">
        <v>0.0103</v>
      </c>
      <c r="C7" s="52">
        <v>0.009000000000000001</v>
      </c>
      <c r="D7" s="52">
        <v>0.016</v>
      </c>
      <c r="F7" s="11" t="s">
        <v>84</v>
      </c>
      <c r="G7" s="52">
        <v>0.0054</v>
      </c>
      <c r="H7" s="52">
        <v>0.0062</v>
      </c>
      <c r="I7" s="52">
        <v>0.0031</v>
      </c>
    </row>
    <row r="8" spans="1:9" ht="12.75">
      <c r="A8" s="11" t="s">
        <v>62</v>
      </c>
      <c r="B8" s="52">
        <v>0.0454</v>
      </c>
      <c r="C8" s="52">
        <v>0.049100000000000005</v>
      </c>
      <c r="D8" s="52">
        <v>0.0354</v>
      </c>
      <c r="F8" s="11" t="s">
        <v>80</v>
      </c>
      <c r="G8" s="52">
        <v>0.0066</v>
      </c>
      <c r="H8" s="52">
        <v>0.0059</v>
      </c>
      <c r="I8" s="52">
        <v>0.0587</v>
      </c>
    </row>
    <row r="9" spans="1:9" ht="12.75">
      <c r="A9" s="11" t="s">
        <v>63</v>
      </c>
      <c r="B9" s="52">
        <v>0.0053</v>
      </c>
      <c r="C9" s="52">
        <v>0.0052</v>
      </c>
      <c r="D9" s="52">
        <v>0.0013</v>
      </c>
      <c r="F9" s="11" t="s">
        <v>81</v>
      </c>
      <c r="G9" s="52">
        <v>0.08259999999999999</v>
      </c>
      <c r="H9" s="52">
        <v>0.085</v>
      </c>
      <c r="I9" s="52">
        <v>0.08789999999999999</v>
      </c>
    </row>
    <row r="10" spans="1:9" ht="12.75">
      <c r="A10" s="11" t="s">
        <v>64</v>
      </c>
      <c r="B10" s="52">
        <v>0.002</v>
      </c>
      <c r="C10" s="52">
        <v>0.0018</v>
      </c>
      <c r="D10" s="52">
        <v>0.0003</v>
      </c>
      <c r="F10" s="28" t="s">
        <v>82</v>
      </c>
      <c r="G10" s="53">
        <v>0.4976</v>
      </c>
      <c r="H10" s="53">
        <v>0.5166</v>
      </c>
      <c r="I10" s="53">
        <v>0.525</v>
      </c>
    </row>
    <row r="11" spans="1:9" ht="12.75">
      <c r="A11" s="11" t="s">
        <v>65</v>
      </c>
      <c r="B11" s="52">
        <v>0.0025</v>
      </c>
      <c r="C11" s="52">
        <v>0.0023</v>
      </c>
      <c r="D11" s="52">
        <v>0.0007000000000000001</v>
      </c>
      <c r="F11" s="54" t="s">
        <v>94</v>
      </c>
      <c r="G11" s="51">
        <v>155487</v>
      </c>
      <c r="H11" s="51">
        <v>166971</v>
      </c>
      <c r="I11" s="51">
        <v>166137</v>
      </c>
    </row>
    <row r="12" spans="1:4" ht="12.75">
      <c r="A12" s="11" t="s">
        <v>66</v>
      </c>
      <c r="B12" s="52">
        <v>0.0049</v>
      </c>
      <c r="C12" s="52">
        <v>0.0053</v>
      </c>
      <c r="D12" s="52">
        <v>0.001</v>
      </c>
    </row>
    <row r="13" spans="1:4" ht="12.75">
      <c r="A13" s="11" t="s">
        <v>67</v>
      </c>
      <c r="B13" s="52">
        <v>0.0163</v>
      </c>
      <c r="C13" s="52">
        <v>0.016399999999999998</v>
      </c>
      <c r="D13" s="52">
        <v>0.0079</v>
      </c>
    </row>
    <row r="14" spans="1:9" ht="12.75">
      <c r="A14" s="11" t="s">
        <v>68</v>
      </c>
      <c r="B14" s="52">
        <v>0.0159</v>
      </c>
      <c r="C14" s="52">
        <v>0.0143</v>
      </c>
      <c r="D14" s="52">
        <v>0.0036</v>
      </c>
      <c r="F14" s="5" t="s">
        <v>160</v>
      </c>
      <c r="G14" s="5" t="s">
        <v>129</v>
      </c>
      <c r="H14" s="5" t="s">
        <v>130</v>
      </c>
      <c r="I14" s="5" t="s">
        <v>131</v>
      </c>
    </row>
    <row r="15" spans="1:9" ht="12.75">
      <c r="A15" s="11" t="s">
        <v>69</v>
      </c>
      <c r="B15" s="52">
        <v>0.006</v>
      </c>
      <c r="C15" s="52">
        <v>0.005699999999999999</v>
      </c>
      <c r="D15" s="52">
        <v>0.0012</v>
      </c>
      <c r="F15" s="7"/>
      <c r="G15" s="8" t="s">
        <v>93</v>
      </c>
      <c r="H15" s="8" t="s">
        <v>93</v>
      </c>
      <c r="I15" s="8" t="s">
        <v>93</v>
      </c>
    </row>
    <row r="16" spans="1:9" ht="12.75">
      <c r="A16" s="11" t="s">
        <v>70</v>
      </c>
      <c r="B16" s="52">
        <v>0.0132</v>
      </c>
      <c r="C16" s="52">
        <v>0.0115</v>
      </c>
      <c r="D16" s="52">
        <v>0.0037</v>
      </c>
      <c r="F16" s="12" t="s">
        <v>105</v>
      </c>
      <c r="G16" s="59">
        <v>0.4039</v>
      </c>
      <c r="H16" s="59">
        <v>0.39770000000000005</v>
      </c>
      <c r="I16" s="59">
        <v>0.4326</v>
      </c>
    </row>
    <row r="17" spans="1:9" ht="12.75">
      <c r="A17" s="11" t="s">
        <v>71</v>
      </c>
      <c r="B17" s="52">
        <v>0.0189</v>
      </c>
      <c r="C17" s="52">
        <v>0.015700000000000002</v>
      </c>
      <c r="D17" s="52">
        <v>0.0104</v>
      </c>
      <c r="F17" s="12">
        <v>1991</v>
      </c>
      <c r="G17" s="59">
        <v>0.0158</v>
      </c>
      <c r="H17" s="59">
        <v>0.0143</v>
      </c>
      <c r="I17" s="59">
        <v>0.0092</v>
      </c>
    </row>
    <row r="18" spans="1:9" ht="12.75">
      <c r="A18" s="11" t="s">
        <v>72</v>
      </c>
      <c r="B18" s="52">
        <v>0.0134</v>
      </c>
      <c r="C18" s="52">
        <v>0.0127</v>
      </c>
      <c r="D18" s="52">
        <v>0.0016</v>
      </c>
      <c r="F18" s="12">
        <v>1992</v>
      </c>
      <c r="G18" s="59">
        <v>0.0052</v>
      </c>
      <c r="H18" s="59">
        <v>0.0043</v>
      </c>
      <c r="I18" s="59">
        <v>0.0021</v>
      </c>
    </row>
    <row r="19" spans="1:9" ht="12.75">
      <c r="A19" s="11" t="s">
        <v>73</v>
      </c>
      <c r="B19" s="52">
        <v>0.0151</v>
      </c>
      <c r="C19" s="52">
        <v>0.0126</v>
      </c>
      <c r="D19" s="52">
        <v>0.0019</v>
      </c>
      <c r="F19" s="12">
        <v>1993</v>
      </c>
      <c r="G19" s="59">
        <v>0.0074</v>
      </c>
      <c r="H19" s="59">
        <v>0.0078000000000000005</v>
      </c>
      <c r="I19" s="59">
        <v>0.0046</v>
      </c>
    </row>
    <row r="20" spans="1:9" ht="12.75">
      <c r="A20" s="11" t="s">
        <v>74</v>
      </c>
      <c r="B20" s="52">
        <v>0.0019</v>
      </c>
      <c r="C20" s="52">
        <v>0.0027</v>
      </c>
      <c r="D20" s="52">
        <v>0.001</v>
      </c>
      <c r="F20" s="12">
        <v>1994</v>
      </c>
      <c r="G20" s="59">
        <v>0.0074</v>
      </c>
      <c r="H20" s="59">
        <v>0.0073</v>
      </c>
      <c r="I20" s="59">
        <v>0.0034999999999999996</v>
      </c>
    </row>
    <row r="21" spans="1:9" ht="12.75">
      <c r="A21" s="11" t="s">
        <v>75</v>
      </c>
      <c r="B21" s="52">
        <v>0.0213</v>
      </c>
      <c r="C21" s="52">
        <v>0.0181</v>
      </c>
      <c r="D21" s="52">
        <v>0.005699999999999999</v>
      </c>
      <c r="F21" s="12">
        <v>1995</v>
      </c>
      <c r="G21" s="59">
        <v>0.0087</v>
      </c>
      <c r="H21" s="59">
        <v>0.008100000000000001</v>
      </c>
      <c r="I21" s="59">
        <v>0.0039000000000000003</v>
      </c>
    </row>
    <row r="22" spans="1:9" ht="12.75">
      <c r="A22" s="28" t="s">
        <v>76</v>
      </c>
      <c r="B22" s="53">
        <v>0.0596</v>
      </c>
      <c r="C22" s="53">
        <v>0.06280000000000001</v>
      </c>
      <c r="D22" s="53">
        <v>0.0518</v>
      </c>
      <c r="F22" s="12">
        <v>1996</v>
      </c>
      <c r="G22" s="59">
        <v>0.012</v>
      </c>
      <c r="H22" s="59">
        <v>0.011200000000000002</v>
      </c>
      <c r="I22" s="59">
        <v>0.0048</v>
      </c>
    </row>
    <row r="23" spans="1:9" ht="12.75">
      <c r="A23" s="54" t="s">
        <v>94</v>
      </c>
      <c r="B23" s="51">
        <v>155487</v>
      </c>
      <c r="C23" s="51">
        <v>166971</v>
      </c>
      <c r="D23" s="51">
        <v>166137</v>
      </c>
      <c r="F23" s="12">
        <v>1997</v>
      </c>
      <c r="G23" s="59">
        <v>0.011200000000000002</v>
      </c>
      <c r="H23" s="59">
        <v>0.0103</v>
      </c>
      <c r="I23" s="59">
        <v>0.0039000000000000003</v>
      </c>
    </row>
    <row r="24" spans="1:9" ht="12.75">
      <c r="A24" s="60"/>
      <c r="F24" s="12">
        <v>1998</v>
      </c>
      <c r="G24" s="59">
        <v>0.013600000000000001</v>
      </c>
      <c r="H24" s="59">
        <v>0.0126</v>
      </c>
      <c r="I24" s="59">
        <v>0.0053</v>
      </c>
    </row>
    <row r="25" spans="6:9" ht="12.75">
      <c r="F25" s="12">
        <v>1999</v>
      </c>
      <c r="G25" s="59">
        <v>0.013500000000000002</v>
      </c>
      <c r="H25" s="59">
        <v>0.0126</v>
      </c>
      <c r="I25" s="59">
        <v>0.0053</v>
      </c>
    </row>
    <row r="26" spans="1:9" ht="12.75">
      <c r="A26" s="5" t="s">
        <v>153</v>
      </c>
      <c r="B26" s="5" t="s">
        <v>129</v>
      </c>
      <c r="C26" s="5" t="s">
        <v>130</v>
      </c>
      <c r="D26" s="5" t="s">
        <v>131</v>
      </c>
      <c r="F26" s="12">
        <v>2000</v>
      </c>
      <c r="G26" s="59">
        <v>0.021099999999999997</v>
      </c>
      <c r="H26" s="59">
        <v>0.0184</v>
      </c>
      <c r="I26" s="59">
        <v>0.009000000000000001</v>
      </c>
    </row>
    <row r="27" spans="1:9" ht="12.75">
      <c r="A27" s="7"/>
      <c r="B27" s="8" t="s">
        <v>93</v>
      </c>
      <c r="C27" s="8" t="s">
        <v>93</v>
      </c>
      <c r="D27" s="8" t="s">
        <v>93</v>
      </c>
      <c r="F27" s="12">
        <v>2001</v>
      </c>
      <c r="G27" s="59">
        <v>0.0231</v>
      </c>
      <c r="H27" s="59">
        <v>0.0212</v>
      </c>
      <c r="I27" s="59">
        <v>0.0103</v>
      </c>
    </row>
    <row r="28" spans="1:9" ht="12.75">
      <c r="A28" s="11" t="s">
        <v>82</v>
      </c>
      <c r="B28" s="52">
        <v>0.0793</v>
      </c>
      <c r="C28" s="52">
        <v>0.0765</v>
      </c>
      <c r="D28" s="52">
        <v>0.0729</v>
      </c>
      <c r="F28" s="12">
        <v>2002</v>
      </c>
      <c r="G28" s="59">
        <v>0.0248</v>
      </c>
      <c r="H28" s="59">
        <v>0.0218</v>
      </c>
      <c r="I28" s="59">
        <v>0.0113</v>
      </c>
    </row>
    <row r="29" spans="1:9" ht="12.75">
      <c r="A29" s="11" t="s">
        <v>85</v>
      </c>
      <c r="B29" s="52">
        <v>0.0567</v>
      </c>
      <c r="C29" s="52">
        <v>0.0908</v>
      </c>
      <c r="D29" s="52">
        <v>0.0499</v>
      </c>
      <c r="F29" s="12">
        <v>2003</v>
      </c>
      <c r="G29" s="59">
        <v>0.030299999999999997</v>
      </c>
      <c r="H29" s="59">
        <v>0.0278</v>
      </c>
      <c r="I29" s="59">
        <v>0.014199999999999999</v>
      </c>
    </row>
    <row r="30" spans="1:9" ht="12.75">
      <c r="A30" s="11" t="s">
        <v>154</v>
      </c>
      <c r="B30" s="52">
        <v>0.1945</v>
      </c>
      <c r="C30" s="52">
        <v>0.29510000000000003</v>
      </c>
      <c r="D30" s="52">
        <v>0.41259999999999997</v>
      </c>
      <c r="F30" s="12">
        <v>2004</v>
      </c>
      <c r="G30" s="59">
        <v>0.030600000000000002</v>
      </c>
      <c r="H30" s="59">
        <v>0.0301</v>
      </c>
      <c r="I30" s="59">
        <v>0.0183</v>
      </c>
    </row>
    <row r="31" spans="1:9" ht="12.75">
      <c r="A31" s="11" t="s">
        <v>79</v>
      </c>
      <c r="B31" s="52">
        <v>0.0587</v>
      </c>
      <c r="C31" s="52">
        <v>0.0529</v>
      </c>
      <c r="D31" s="52">
        <v>0.0547</v>
      </c>
      <c r="F31" s="12">
        <v>2005</v>
      </c>
      <c r="G31" s="59">
        <v>0.0308</v>
      </c>
      <c r="H31" s="59">
        <v>0.0302</v>
      </c>
      <c r="I31" s="59">
        <v>0.021099999999999997</v>
      </c>
    </row>
    <row r="32" spans="1:9" ht="12.75">
      <c r="A32" s="11" t="s">
        <v>86</v>
      </c>
      <c r="B32" s="52">
        <v>0.032400000000000005</v>
      </c>
      <c r="C32" s="52">
        <v>0.0391</v>
      </c>
      <c r="D32" s="52">
        <v>0.0074</v>
      </c>
      <c r="F32" s="12">
        <v>2006</v>
      </c>
      <c r="G32" s="59">
        <v>0.0333</v>
      </c>
      <c r="H32" s="59">
        <v>0.0332</v>
      </c>
      <c r="I32" s="59">
        <v>0.0301</v>
      </c>
    </row>
    <row r="33" spans="1:9" ht="12.75">
      <c r="A33" s="11" t="s">
        <v>87</v>
      </c>
      <c r="B33" s="52">
        <v>0.5717</v>
      </c>
      <c r="C33" s="52">
        <v>0.42710000000000004</v>
      </c>
      <c r="D33" s="52">
        <v>0.0851</v>
      </c>
      <c r="F33" s="12">
        <v>2007</v>
      </c>
      <c r="G33" s="59">
        <v>0.04</v>
      </c>
      <c r="H33" s="59">
        <v>0.0414</v>
      </c>
      <c r="I33" s="59">
        <v>0.0452</v>
      </c>
    </row>
    <row r="34" spans="1:9" ht="12.75">
      <c r="A34" s="28" t="s">
        <v>88</v>
      </c>
      <c r="B34" s="53">
        <v>0.0067</v>
      </c>
      <c r="C34" s="53">
        <v>0.0184</v>
      </c>
      <c r="D34" s="53">
        <v>0.31739999999999996</v>
      </c>
      <c r="F34" s="12">
        <v>2008</v>
      </c>
      <c r="G34" s="59">
        <v>0.0452</v>
      </c>
      <c r="H34" s="59">
        <v>0.0452</v>
      </c>
      <c r="I34" s="59">
        <v>0.060599999999999994</v>
      </c>
    </row>
    <row r="35" spans="1:9" ht="12.75">
      <c r="A35" s="42" t="s">
        <v>94</v>
      </c>
      <c r="B35" s="51">
        <v>155487</v>
      </c>
      <c r="C35" s="51">
        <v>166971</v>
      </c>
      <c r="D35" s="51">
        <v>166137</v>
      </c>
      <c r="F35" s="12">
        <v>2009</v>
      </c>
      <c r="G35" s="59">
        <v>0.0666</v>
      </c>
      <c r="H35" s="59">
        <v>0.0742</v>
      </c>
      <c r="I35" s="59">
        <v>0.0999</v>
      </c>
    </row>
    <row r="36" spans="6:9" ht="12.75">
      <c r="F36" s="12" t="s">
        <v>161</v>
      </c>
      <c r="G36" s="59">
        <v>0.1552</v>
      </c>
      <c r="H36" s="59">
        <v>0.1704</v>
      </c>
      <c r="I36" s="59">
        <v>0.205</v>
      </c>
    </row>
    <row r="37" spans="6:9" ht="12.75">
      <c r="F37" s="54" t="s">
        <v>94</v>
      </c>
      <c r="G37" s="51">
        <v>155487</v>
      </c>
      <c r="H37" s="51">
        <v>166971</v>
      </c>
      <c r="I37" s="51">
        <v>166137</v>
      </c>
    </row>
    <row r="38" spans="1:4" ht="12.75">
      <c r="A38" s="5" t="s">
        <v>155</v>
      </c>
      <c r="B38" s="5" t="s">
        <v>129</v>
      </c>
      <c r="C38" s="5" t="s">
        <v>130</v>
      </c>
      <c r="D38" s="5" t="s">
        <v>131</v>
      </c>
    </row>
    <row r="39" spans="1:4" ht="12.75">
      <c r="A39" s="7"/>
      <c r="B39" s="8" t="s">
        <v>93</v>
      </c>
      <c r="C39" s="8" t="s">
        <v>93</v>
      </c>
      <c r="D39" s="8" t="s">
        <v>93</v>
      </c>
    </row>
    <row r="40" spans="1:4" ht="12.75">
      <c r="A40" s="6" t="s">
        <v>156</v>
      </c>
      <c r="B40" s="59">
        <v>0.0728</v>
      </c>
      <c r="C40" s="59">
        <v>0.09</v>
      </c>
      <c r="D40" s="59">
        <f>G40/100</f>
        <v>0</v>
      </c>
    </row>
    <row r="41" spans="1:4" ht="12.75">
      <c r="A41" s="6" t="s">
        <v>77</v>
      </c>
      <c r="B41" s="59">
        <v>0.2803</v>
      </c>
      <c r="C41" s="59">
        <v>0.2343</v>
      </c>
      <c r="D41" s="59">
        <f aca="true" t="shared" si="0" ref="D41:D46">G41/100</f>
        <v>0</v>
      </c>
    </row>
    <row r="42" spans="1:4" ht="12.75">
      <c r="A42" s="6" t="s">
        <v>159</v>
      </c>
      <c r="B42" s="59">
        <v>0.056900000000000006</v>
      </c>
      <c r="C42" s="59">
        <v>0.0584</v>
      </c>
      <c r="D42" s="59">
        <f t="shared" si="0"/>
        <v>0</v>
      </c>
    </row>
    <row r="43" spans="1:4" ht="12.75">
      <c r="A43" s="6" t="s">
        <v>79</v>
      </c>
      <c r="B43" s="59">
        <v>0.0064</v>
      </c>
      <c r="C43" s="59">
        <v>0.0073</v>
      </c>
      <c r="D43" s="59">
        <f t="shared" si="0"/>
        <v>0</v>
      </c>
    </row>
    <row r="44" spans="1:4" ht="12.75">
      <c r="A44" s="6" t="s">
        <v>80</v>
      </c>
      <c r="B44" s="59">
        <v>0.0139</v>
      </c>
      <c r="C44" s="59">
        <v>0.0178</v>
      </c>
      <c r="D44" s="59">
        <f t="shared" si="0"/>
        <v>0</v>
      </c>
    </row>
    <row r="45" spans="1:4" ht="12.75">
      <c r="A45" s="6" t="s">
        <v>81</v>
      </c>
      <c r="B45" s="59">
        <v>0.0753</v>
      </c>
      <c r="C45" s="59">
        <v>0.07919999999999999</v>
      </c>
      <c r="D45" s="59">
        <f t="shared" si="0"/>
        <v>0</v>
      </c>
    </row>
    <row r="46" spans="1:4" ht="12.75">
      <c r="A46" s="6" t="s">
        <v>82</v>
      </c>
      <c r="B46" s="59">
        <v>0.49439999999999995</v>
      </c>
      <c r="C46" s="59">
        <v>0.5131</v>
      </c>
      <c r="D46" s="59">
        <f t="shared" si="0"/>
        <v>0</v>
      </c>
    </row>
    <row r="47" spans="1:4" ht="12.75">
      <c r="A47" s="54" t="s">
        <v>94</v>
      </c>
      <c r="B47" s="51">
        <v>155487</v>
      </c>
      <c r="C47" s="51">
        <v>166971</v>
      </c>
      <c r="D47" s="51">
        <v>166137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Rud Kristensen</dc:creator>
  <cp:keywords/>
  <dc:description/>
  <cp:lastModifiedBy>Purssell, Sarah</cp:lastModifiedBy>
  <cp:lastPrinted>2012-08-24T08:47:28Z</cp:lastPrinted>
  <dcterms:created xsi:type="dcterms:W3CDTF">2012-08-23T20:08:00Z</dcterms:created>
  <dcterms:modified xsi:type="dcterms:W3CDTF">2014-01-27T16:29:52Z</dcterms:modified>
  <cp:category/>
  <cp:version/>
  <cp:contentType/>
  <cp:contentStatus/>
</cp:coreProperties>
</file>