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8595" tabRatio="923" activeTab="0"/>
  </bookViews>
  <sheets>
    <sheet name="Home" sheetId="1" r:id="rId1"/>
    <sheet name="1a. What are my costs" sheetId="2" r:id="rId2"/>
    <sheet name="1b. Summary of costs" sheetId="3" r:id="rId3"/>
    <sheet name="1c. Example of costs" sheetId="4" r:id="rId4"/>
    <sheet name="2a. Why invest" sheetId="5" r:id="rId5"/>
    <sheet name="2b. Business case summary" sheetId="6" r:id="rId6"/>
    <sheet name="2c. Example of business case" sheetId="7" r:id="rId7"/>
    <sheet name="Guide" sheetId="8" r:id="rId8"/>
  </sheets>
  <definedNames>
    <definedName name="AbsenceDays0">'2a. Why invest'!$E$47</definedName>
    <definedName name="AbsenceDays00">'1a. What are my costs'!$F$31</definedName>
    <definedName name="AbsenceDays1">'2a. Why invest'!$F$47</definedName>
    <definedName name="AbsenceDays10">'2a. Why invest'!$O$47</definedName>
    <definedName name="AbsenceDays2">'2a. Why invest'!$G$47</definedName>
    <definedName name="AbsenceDays3">'2a. Why invest'!$H$47</definedName>
    <definedName name="AbsenceDays4">'2a. Why invest'!$I$47</definedName>
    <definedName name="AbsenceDays5">'2a. Why invest'!$J$47</definedName>
    <definedName name="AbsenceDays6">'2a. Why invest'!$K$47</definedName>
    <definedName name="AbsenceDays7">'2a. Why invest'!$L$47</definedName>
    <definedName name="AbsenceDays8">'2a. Why invest'!$M$47</definedName>
    <definedName name="AbsenceDays9">'2a. Why invest'!$N$47</definedName>
    <definedName name="AbsenceRate0">'2a. Why invest'!$E$48</definedName>
    <definedName name="AbsenceRate00">'1a. What are my costs'!$F$33</definedName>
    <definedName name="AbsenceRate1">'2a. Why invest'!$F$48</definedName>
    <definedName name="AbsenceRate10">'2a. Why invest'!$O$48</definedName>
    <definedName name="AbsenceRate2">'2a. Why invest'!$G$48</definedName>
    <definedName name="AbsenceRate3">'2a. Why invest'!$H$48</definedName>
    <definedName name="AbsenceRate4">'2a. Why invest'!$I$48</definedName>
    <definedName name="AbsenceRate5">'2a. Why invest'!$J$48</definedName>
    <definedName name="AbsenceRate6">'2a. Why invest'!$K$48</definedName>
    <definedName name="AbsenceRate7">'2a. Why invest'!$L$48</definedName>
    <definedName name="AbsenceRate8">'2a. Why invest'!$M$48</definedName>
    <definedName name="AbsenceRate9">'2a. Why invest'!$N$48</definedName>
    <definedName name="ClaimCosts0">'2a. Why invest'!$E$55</definedName>
    <definedName name="ClaimCosts00">'1a. What are my costs'!$F$65</definedName>
    <definedName name="ClaimCosts1">'2a. Why invest'!$F$55</definedName>
    <definedName name="ClaimCosts10">'2a. Why invest'!$O$55</definedName>
    <definedName name="ClaimCosts2">'2a. Why invest'!$G$55</definedName>
    <definedName name="ClaimCosts3">'2a. Why invest'!$H$55</definedName>
    <definedName name="ClaimCosts4">'2a. Why invest'!$I$55</definedName>
    <definedName name="ClaimCosts5">'2a. Why invest'!$J$55</definedName>
    <definedName name="ClaimCosts6">'2a. Why invest'!$K$55</definedName>
    <definedName name="ClaimCosts7">'2a. Why invest'!$L$55</definedName>
    <definedName name="ClaimCosts8">'2a. Why invest'!$M$55</definedName>
    <definedName name="ClaimCosts9">'2a. Why invest'!$N$55</definedName>
    <definedName name="Claims0">'2a. Why invest'!$E$54</definedName>
    <definedName name="Claims00">'1a. What are my costs'!$F$63</definedName>
    <definedName name="Claims1">'2a. Why invest'!$F$54</definedName>
    <definedName name="Claims10">'2a. Why invest'!$O$54</definedName>
    <definedName name="Claims2">'2a. Why invest'!$G$54</definedName>
    <definedName name="Claims3">'2a. Why invest'!$H$54</definedName>
    <definedName name="Claims4">'2a. Why invest'!$I$54</definedName>
    <definedName name="Claims5">'2a. Why invest'!$J$54</definedName>
    <definedName name="Claims6">'2a. Why invest'!$K$54</definedName>
    <definedName name="Claims7">'2a. Why invest'!$L$54</definedName>
    <definedName name="Claims8">'2a. Why invest'!$M$54</definedName>
    <definedName name="Claims9">'2a. Why invest'!$N$54</definedName>
    <definedName name="DiscountRate">'2a. Why invest'!$E$19</definedName>
    <definedName name="G_AbsenceAdj">'Guide'!$B$26</definedName>
    <definedName name="G_AbsenceDays">'Guide'!$B$23</definedName>
    <definedName name="G_AbsenceProp">'Guide'!$B$24</definedName>
    <definedName name="G_BC_AbsemceDays">'Guide'!$B$72</definedName>
    <definedName name="G_BC_AbsenceAdj">'Guide'!$B$75</definedName>
    <definedName name="G_BC_AbsenceProp">'Guide'!$B$73</definedName>
    <definedName name="G_BC_Claims">'Guide'!$B$91</definedName>
    <definedName name="G_BC_ClaimsCost">'Guide'!$B$92</definedName>
    <definedName name="G_BC_NoOfEmployees">'Guide'!$B$62</definedName>
    <definedName name="G_BC_OtherCosts">'Guide'!$B$69</definedName>
    <definedName name="G_BC_OtherIndicatorCosts">'Guide'!$B$96</definedName>
    <definedName name="G_BC_Othervolumes">'Guide'!$B$95</definedName>
    <definedName name="G_BC_Premiums">'Guide'!#REF!</definedName>
    <definedName name="G_BC_PresenteeismDays">'Guide'!$B$79</definedName>
    <definedName name="G_BC_PresenteeismProp">'Guide'!$B$80</definedName>
    <definedName name="G_BC_RunningCosts">'Guide'!$B$68</definedName>
    <definedName name="G_BC_StartupCosts">'Guide'!$B$67</definedName>
    <definedName name="G_BC_Turnover">'Guide'!$B$84</definedName>
    <definedName name="G_BC_TurnoverCost">'Guide'!$B$87</definedName>
    <definedName name="G_BC_Wages">'Guide'!$B$63</definedName>
    <definedName name="G_BC_WorkingDays">'Guide'!$B$64</definedName>
    <definedName name="G_BCR">'Guide'!$B$104</definedName>
    <definedName name="G_ClaimCosts">'Guide'!$B$44</definedName>
    <definedName name="G_Claims">'Guide'!$B$43</definedName>
    <definedName name="G_CostOfAbsence">'Guide'!$B$28</definedName>
    <definedName name="G_CostofTurnover">'Guide'!$B$39</definedName>
    <definedName name="G_DiscountedBenefits">'Guide'!$B$107</definedName>
    <definedName name="G_DiscountedCosts">'Guide'!$B$108</definedName>
    <definedName name="G_DiscountedNetBenefits">'Guide'!$B$109</definedName>
    <definedName name="G_DiscountRate">'Guide'!$B$56</definedName>
    <definedName name="G_ForwardCosts">'Guide'!$B$59</definedName>
    <definedName name="G_Insurance">'Guide'!$B$15</definedName>
    <definedName name="G_InsurancePremium">'Guide'!#REF!</definedName>
    <definedName name="G_IRR">'Guide'!$B$106</definedName>
    <definedName name="G_LabourTurnover">'Guide'!$B$14</definedName>
    <definedName name="G_NoOfEmployees">'Guide'!$B$19</definedName>
    <definedName name="G_NPV">'Guide'!$B$103</definedName>
    <definedName name="G_Other">'Guide'!$B$16</definedName>
    <definedName name="G_OtherCosts">'Guide'!$B$48</definedName>
    <definedName name="G_Payback">'Guide'!$B$105</definedName>
    <definedName name="G_Paybacl">'Guide'!$B$105</definedName>
    <definedName name="G_Presenteeism">'Guide'!$B$13</definedName>
    <definedName name="G_PresenteeismCost">'Guide'!$B$34</definedName>
    <definedName name="G_PresenteeismDays">'Guide'!$B$31</definedName>
    <definedName name="G_PresenteeismProp">'Guide'!$B$32</definedName>
    <definedName name="G_ProjectLength">'Guide'!$B$55</definedName>
    <definedName name="G_SicknessAbsence">'Guide'!$B$12</definedName>
    <definedName name="G_TotalClaimCosts">'Guide'!$B$45</definedName>
    <definedName name="G_TotalCostOfTurnover">'Guide'!$B$40</definedName>
    <definedName name="G_Turnover">'Guide'!$B$37</definedName>
    <definedName name="G_Wages">'Guide'!$B$20</definedName>
    <definedName name="G_WorkingDays">'Guide'!$B$21</definedName>
    <definedName name="HeadCount0">'2a. Why invest'!$E$35</definedName>
    <definedName name="HeadCount00">'1a. What are my costs'!$F$21</definedName>
    <definedName name="HeadCount1">'2a. Why invest'!$F$35</definedName>
    <definedName name="HeadCount10">'2a. Why invest'!$O$35</definedName>
    <definedName name="HeadCount2">'2a. Why invest'!$G$35</definedName>
    <definedName name="HeadCount3">'2a. Why invest'!$H$35</definedName>
    <definedName name="HeadCount4">'2a. Why invest'!$I$35</definedName>
    <definedName name="HeadCount5">'2a. Why invest'!$J$35</definedName>
    <definedName name="HeadCount6">'2a. Why invest'!$K$35</definedName>
    <definedName name="HeadCount7">'2a. Why invest'!$L$35</definedName>
    <definedName name="HeadCount8">'2a. Why invest'!$M$35</definedName>
    <definedName name="HeadCount9">'2a. Why invest'!$N$35</definedName>
    <definedName name="Insurance0">'2a. Why invest'!#REF!</definedName>
    <definedName name="Insurance00">'1a. What are my costs'!#REF!</definedName>
    <definedName name="Insurance1">'2a. Why invest'!#REF!</definedName>
    <definedName name="Insurance10">'2a. Why invest'!#REF!</definedName>
    <definedName name="Insurance2">'2a. Why invest'!#REF!</definedName>
    <definedName name="Insurance3">'2a. Why invest'!#REF!</definedName>
    <definedName name="Insurance4">'2a. Why invest'!#REF!</definedName>
    <definedName name="Insurance5">'2a. Why invest'!#REF!</definedName>
    <definedName name="Insurance6">'2a. Why invest'!#REF!</definedName>
    <definedName name="Insurance7">'2a. Why invest'!#REF!</definedName>
    <definedName name="Insurance8">'2a. Why invest'!#REF!</definedName>
    <definedName name="Insurance9">'2a. Why invest'!#REF!</definedName>
    <definedName name="Multiplier0">'2a. Why invest'!$E$49</definedName>
    <definedName name="Multiplier00">'1a. What are my costs'!$F$35</definedName>
    <definedName name="Multiplier1">'2a. Why invest'!$F$49</definedName>
    <definedName name="Multiplier10">'2a. Why invest'!$O$49</definedName>
    <definedName name="Multiplier2">'2a. Why invest'!$G$49</definedName>
    <definedName name="Multiplier3">'2a. Why invest'!$H$49</definedName>
    <definedName name="Multiplier4">'2a. Why invest'!$I$49</definedName>
    <definedName name="Multiplier5">'2a. Why invest'!$J$49</definedName>
    <definedName name="Multiplier6">'2a. Why invest'!$K$49</definedName>
    <definedName name="Multiplier7">'2a. Why invest'!$L$49</definedName>
    <definedName name="Multiplier8">'2a. Why invest'!$M$49</definedName>
    <definedName name="Multiplier9">'2a. Why invest'!$N$49</definedName>
    <definedName name="Other0">'2a. Why invest'!$E$56</definedName>
    <definedName name="Other00">'1a. What are my costs'!$F$75</definedName>
    <definedName name="Other1">'2a. Why invest'!$F$56</definedName>
    <definedName name="Other10">'2a. Why invest'!$O$56</definedName>
    <definedName name="Other2">'2a. Why invest'!$G$56</definedName>
    <definedName name="Other3">'2a. Why invest'!$H$56</definedName>
    <definedName name="Other4">'2a. Why invest'!$I$56</definedName>
    <definedName name="Other5">'2a. Why invest'!$J$56</definedName>
    <definedName name="Other6">'2a. Why invest'!$K$56</definedName>
    <definedName name="Other7">'2a. Why invest'!$L$56</definedName>
    <definedName name="Other8">'2a. Why invest'!$M$56</definedName>
    <definedName name="Other9">'2a. Why invest'!$N$56</definedName>
    <definedName name="OtherCosts0">'2a. Why invest'!$E$42</definedName>
    <definedName name="OtherCosts1">'2a. Why invest'!$F$42</definedName>
    <definedName name="OtherCosts10">'2a. Why invest'!$O$42</definedName>
    <definedName name="OtherCosts2">'2a. Why invest'!$G$42</definedName>
    <definedName name="OtherCosts3">'2a. Why invest'!$H$42</definedName>
    <definedName name="OtherCosts4">'2a. Why invest'!$I$42</definedName>
    <definedName name="OtherCosts5">'2a. Why invest'!$J$42</definedName>
    <definedName name="OtherCosts6">'2a. Why invest'!$K$42</definedName>
    <definedName name="OtherCosts7">'2a. Why invest'!$L$42</definedName>
    <definedName name="OtherCosts8">'2a. Why invest'!$M$42</definedName>
    <definedName name="OtherCosts9">'2a. Why invest'!$N$42</definedName>
    <definedName name="OtherIndicatorCosts0">'2a. Why invest'!$E$57</definedName>
    <definedName name="OtherIndicatorCosts00">'1a. What are my costs'!$F$77</definedName>
    <definedName name="OtherIndicatorCosts1">'2a. Why invest'!$F$57</definedName>
    <definedName name="OtherIndicatorCosts10">'2a. Why invest'!$O$57</definedName>
    <definedName name="OtherIndicatorCosts2">'2a. Why invest'!$G$57</definedName>
    <definedName name="OtherIndicatorCosts3">'2a. Why invest'!$H$57</definedName>
    <definedName name="OtherIndicatorCosts4">'2a. Why invest'!$I$57</definedName>
    <definedName name="OtherIndicatorCosts5">'2a. Why invest'!$J$57</definedName>
    <definedName name="OtherIndicatorCosts6">'2a. Why invest'!$K$57</definedName>
    <definedName name="OtherIndicatorCosts7">'2a. Why invest'!$L$57</definedName>
    <definedName name="OtherIndicatorCosts8">'2a. Why invest'!$M$57</definedName>
    <definedName name="OtherIndicatorCosts9">'2a. Why invest'!$N$57</definedName>
    <definedName name="PresenteeismDays0">'2a. Why invest'!$E$50</definedName>
    <definedName name="PresenteeismDays00">'1a. What are my costs'!$F$43</definedName>
    <definedName name="PresenteeismDays1">'2a. Why invest'!$F$50</definedName>
    <definedName name="PresenteeismDays10">'2a. Why invest'!$O$50</definedName>
    <definedName name="PresenteeismDays2">'2a. Why invest'!$G$50</definedName>
    <definedName name="PresenteeismDays3">'2a. Why invest'!$H$50</definedName>
    <definedName name="PresenteeismDays4">'2a. Why invest'!$I$50</definedName>
    <definedName name="PresenteeismDays5">'2a. Why invest'!$J$50</definedName>
    <definedName name="PresenteeismDays6">'2a. Why invest'!$K$50</definedName>
    <definedName name="PresenteeismDays7">'2a. Why invest'!$L$50</definedName>
    <definedName name="PresenteeismDays8">'2a. Why invest'!$M$50</definedName>
    <definedName name="PresenteeismDays9">'2a. Why invest'!$N$50</definedName>
    <definedName name="PresenteeismRate0">'2a. Why invest'!$E$51</definedName>
    <definedName name="PresenteeismRate00">'1a. What are my costs'!$F$45</definedName>
    <definedName name="PresenteeismRate1">'2a. Why invest'!$F$51</definedName>
    <definedName name="PresenteeismRate10">'2a. Why invest'!$O$51</definedName>
    <definedName name="PresenteeismRate2">'2a. Why invest'!$G$51</definedName>
    <definedName name="PresenteeismRate3">'2a. Why invest'!$H$51</definedName>
    <definedName name="PresenteeismRate4">'2a. Why invest'!$I$51</definedName>
    <definedName name="PresenteeismRate5">'2a. Why invest'!$J$51</definedName>
    <definedName name="PresenteeismRate6">'2a. Why invest'!$K$51</definedName>
    <definedName name="PresenteeismRate7">'2a. Why invest'!$L$51</definedName>
    <definedName name="PresenteeismRate8">'2a. Why invest'!$M$51</definedName>
    <definedName name="PresenteeismRate9">'2a. Why invest'!$N$51</definedName>
    <definedName name="_xlnm.Print_Area" localSheetId="1">'1a. What are my costs'!$B$2:$I$85</definedName>
    <definedName name="_xlnm.Print_Area" localSheetId="2">'1b. Summary of costs'!$B$2:$F$41</definedName>
    <definedName name="_xlnm.Print_Area" localSheetId="3">'1c. Example of costs'!$B$2:$I$110</definedName>
    <definedName name="_xlnm.Print_Area" localSheetId="4">'2a. Why invest'!$B$2:$P$62</definedName>
    <definedName name="_xlnm.Print_Area" localSheetId="5">'2b. Business case summary'!$B$2:$Q$68</definedName>
    <definedName name="_xlnm.Print_Area" localSheetId="6">'2c. Example of business case'!$A$1:$O$115</definedName>
    <definedName name="_xlnm.Print_Area" localSheetId="7">'Guide'!$B$2:$C$109</definedName>
    <definedName name="_xlnm.Print_Area" localSheetId="0">'Home'!$B$1:$F$30</definedName>
    <definedName name="Project">'2a. Why invest'!$E$15</definedName>
    <definedName name="ProjectLength">'2a. Why invest'!$E$17</definedName>
    <definedName name="RunningCosts0">'2a. Why invest'!$E$41</definedName>
    <definedName name="RunningCosts1">'2a. Why invest'!$F$41</definedName>
    <definedName name="RunningCosts10">'2a. Why invest'!$O$41</definedName>
    <definedName name="RunningCosts2">'2a. Why invest'!$G$41</definedName>
    <definedName name="RunningCosts3">'2a. Why invest'!$H$41</definedName>
    <definedName name="RunningCosts4">'2a. Why invest'!$I$41</definedName>
    <definedName name="RunningCosts5">'2a. Why invest'!$J$41</definedName>
    <definedName name="RunningCosts6">'2a. Why invest'!$K$41</definedName>
    <definedName name="RunningCosts7">'2a. Why invest'!$L$41</definedName>
    <definedName name="RunningCosts8">'2a. Why invest'!$M$41</definedName>
    <definedName name="RunningCosts9">'2a. Why invest'!$N$41</definedName>
    <definedName name="StartUpCosts">'2a. Why invest'!$E$40</definedName>
    <definedName name="Turnover0">'2a. Why invest'!$E$52</definedName>
    <definedName name="Turnover00">'1a. What are my costs'!$F$53</definedName>
    <definedName name="Turnover1">'2a. Why invest'!$F$52</definedName>
    <definedName name="Turnover10">'2a. Why invest'!$O$52</definedName>
    <definedName name="Turnover2">'2a. Why invest'!$G$52</definedName>
    <definedName name="Turnover3">'2a. Why invest'!$H$52</definedName>
    <definedName name="Turnover4">'2a. Why invest'!$I$52</definedName>
    <definedName name="Turnover5">'2a. Why invest'!$J$52</definedName>
    <definedName name="Turnover6">'2a. Why invest'!$K$52</definedName>
    <definedName name="Turnover7">'2a. Why invest'!$L$52</definedName>
    <definedName name="Turnover8">'2a. Why invest'!$M$52</definedName>
    <definedName name="Turnover9">'2a. Why invest'!$N$52</definedName>
    <definedName name="TurnoverCost0">'2a. Why invest'!$E$53</definedName>
    <definedName name="TurnoverCost00">'1a. What are my costs'!$F$55</definedName>
    <definedName name="TurnoverCost1">'2a. Why invest'!$F$53</definedName>
    <definedName name="TurnoverCost10">'2a. Why invest'!$O$53</definedName>
    <definedName name="TurnoverCost2">'2a. Why invest'!$G$53</definedName>
    <definedName name="TurnoverCost3">'2a. Why invest'!$H$53</definedName>
    <definedName name="TurnoverCost4">'2a. Why invest'!$I$53</definedName>
    <definedName name="TurnoverCost5">'2a. Why invest'!$J$53</definedName>
    <definedName name="TurnoverCost6">'2a. Why invest'!$K$53</definedName>
    <definedName name="TurnoverCost7">'2a. Why invest'!$L$53</definedName>
    <definedName name="TurnoverCost8">'2a. Why invest'!$M$53</definedName>
    <definedName name="TurnoverCost9">'2a. Why invest'!$N$53</definedName>
    <definedName name="Wages0">'2a. Why invest'!$E$36</definedName>
    <definedName name="Wages00">'1a. What are my costs'!$F$23</definedName>
    <definedName name="Wages1">'2a. Why invest'!$F$36</definedName>
    <definedName name="Wages10">'2a. Why invest'!$O$36</definedName>
    <definedName name="Wages2">'2a. Why invest'!$G$36</definedName>
    <definedName name="Wages3">'2a. Why invest'!$H$36</definedName>
    <definedName name="Wages4">'2a. Why invest'!$I$36</definedName>
    <definedName name="Wages5">'2a. Why invest'!$J$36</definedName>
    <definedName name="Wages6">'2a. Why invest'!$K$36</definedName>
    <definedName name="Wages7">'2a. Why invest'!$L$36</definedName>
    <definedName name="Wages8">'2a. Why invest'!$M$36</definedName>
    <definedName name="Wages9">'2a. Why invest'!$N$36</definedName>
    <definedName name="WorkingDays0">'2a. Why invest'!$E$37</definedName>
    <definedName name="WorkingDays00">'1a. What are my costs'!$F$25</definedName>
    <definedName name="WorkingDays1">'2a. Why invest'!$F$37</definedName>
    <definedName name="WorkingDays10">'2a. Why invest'!$O$37</definedName>
    <definedName name="WorkingDays2">'2a. Why invest'!$G$37</definedName>
    <definedName name="WorkingDays3">'2a. Why invest'!$H$37</definedName>
    <definedName name="WorkingDays4">'2a. Why invest'!$I$37</definedName>
    <definedName name="WorkingDays5">'2a. Why invest'!$J$37</definedName>
    <definedName name="WorkingDays6">'2a. Why invest'!$K$37</definedName>
    <definedName name="WorkingDays7">'2a. Why invest'!$L$37</definedName>
    <definedName name="WorkingDays8">'2a. Why invest'!$M$37</definedName>
    <definedName name="WorkingDays9">'2a. Why invest'!$N$37</definedName>
    <definedName name="Year1">'2a. Why invest'!$F$35:$F$37,'2a. Why invest'!$F$41:$F$42,'2a. Why invest'!$F$47:$F$57</definedName>
    <definedName name="Year1_2b">'2b. Business case summary'!$F$47:$F$53,'2b. Business case summary'!$F$58:$F$61,'2b. Business case summary'!$F$64:$F$67</definedName>
    <definedName name="Year12b">'2b. Business case summary'!$F$47:$F$53,'2b. Business case summary'!$F$58:$F$61,'2b. Business case summary'!$F$64:$F$67</definedName>
  </definedNames>
  <calcPr fullCalcOnLoad="1"/>
</workbook>
</file>

<file path=xl/sharedStrings.xml><?xml version="1.0" encoding="utf-8"?>
<sst xmlns="http://schemas.openxmlformats.org/spreadsheetml/2006/main" count="429" uniqueCount="182">
  <si>
    <t>You can enter data for all employees or a subset of employees that your health and well-being project is targeted at.  For example, a project targeted at smoking cessation will only have an impact on employees that smoke so data for this group could be included only instead of for all employees in the business.  If you enter data for all employees, all subsequent entries must relate to all employees.  Similarly if you enter data for a subset, all subsequent entries must relate to the subset of employees only.  You can enter projections for the number of employees if you think these will change (if not, just re-enter the number of employees in Year 0).</t>
  </si>
  <si>
    <t xml:space="preserve">For future years, you can enter projections of average turnover costs.  If you are using a nominal discount rate, cost projections need to be in nominal terms (include inflation).  If you are using a real discount rate, cost projections need to be in real terms (constant prices and exclude inflation).  </t>
  </si>
  <si>
    <t xml:space="preserve">For the current year or Year 0, enter current rates and costs.  For future years, estimate how your health and well-being project might impact on these rates and costs. </t>
  </si>
  <si>
    <t>Enter your own health and well-being or business output measure and to track how you estimate this measure changing over the period of your project.</t>
  </si>
  <si>
    <t xml:space="preserve">Enter your own health and well-being or business output measure and to track how you estimate this measure changing over the period of your project.   If you are using a nominal discount rate, cost projections need to be in nominal terms (include inflation).  If you are using a real discount rate, cost projections need to be in real terms (constant prices and exclude inflation).  </t>
  </si>
  <si>
    <t>This is the number of claims arising each year due to workplace accidents/injury.  You may wish to exclude claims arising from long-tail liabilities as these are not reflective of the current health and well-being of your workforce or organisation and relate to past exposure of a workplace hazard.  Long-tail liabilities are injuries/ill-health where there is a long latency period between exposure to the workplace hazard and the manifestation of the injury/ill-health, for example, some diseases caused by exposure to asbestos.  
For the current year (Year 0), enter the number of claims for the current year.
For future years, estimate how this number might change as a result of your health and well-being project.</t>
  </si>
  <si>
    <t xml:space="preserve">As above, you may wish to exclude claims arising from long-tail liabilities.  The average cost per claim should include administrative costs incurred in processing the claim and managers’ time in dealing with the claim.  Absence from work due to the workplace accidents/inuries need be excluded as these should already be captured in your absenteeism figures.  Similarly, if an employee leaves your organisation as a result of a workplace accident/injury, the cost of this should already be captured in your labour turnover figures.  Compensation to employees should only be included if your business is directly liable (and not paid by the insurance company).
For the current year (Year 0), enter the current average cost per claim.
For future years, estimate how these costs might change as a result of your health and well-being project.  If you are using a nominal discount rate, cost projections need to be in nominal terms (include inflation).  If you are using a real discount rate, cost projections need to be in real terms (constant prices and exclude inflation).  </t>
  </si>
  <si>
    <t>Occupational Health Assessment</t>
  </si>
  <si>
    <t>Click on the question marks for further guidance or information.</t>
  </si>
  <si>
    <t>Sickness absence</t>
  </si>
  <si>
    <t xml:space="preserve">Once you have entered your business' details, click on the box at the bottom of this page to view a summary of your business case. </t>
  </si>
  <si>
    <t>Bring forward my data from 'what are my costs' into year 0</t>
  </si>
  <si>
    <t>This will bring forward the data that you have entered in 'what are my costs' to Year 0 of the business case.</t>
  </si>
  <si>
    <t>This section helps you to build a business case for action to reduce the costs of poor health and well-being in your business.</t>
  </si>
  <si>
    <t xml:space="preserve">Wage and non-wage costs are used to capture the full total pre-tax and national insurance cost of an employee to your business.  Non-wage costs may include expenditure such as employers’ national insurance and pension contributions, recruitment and training costs and accommodation costs.  Non-wage costs are typically an additional 30% above wage costs but may vary for your business.  For future years, you can enter projections of wage and non-wage costs.  If you are using a nominal discount rate, cost projections need to be in nominal terms (include inflation).  If you are using a real discount rate, cost projections need to be in real terms (constant prices and exclude inflation).         </t>
  </si>
  <si>
    <t xml:space="preserve">The average (total) cost of an employee may not accurately reflect the cost of absenteeism for your organisation. The costs could be higher if:
- There are additional direct costs associated with absenteeism, for example, (i) you have to pay overtime to other employees or (ii) employ temporary replacement staff at a higher rate than the sick worker for the same or a reduced level and quality of output.     
- There are additional indirect costs associated with absenteeism, for example, the absence of one individual affects the performance of others in the team or levels of customer satisfaction are reduced.  
On the other hand, the costs could be lower if:
- Absenteeism is compensated by greater effort or unpaid overtime by other workers or the sick worker upon his/her return to work.     
- Sickness is higher amongst lower paid staff (as is consistently reported in UK absence surveys).      
- Employees receive lower levels of pay, for example, statutory sick pay during periods of absence, so they bear some of the costs. </t>
  </si>
  <si>
    <r>
      <t xml:space="preserve">You can change the cost of absenteeism for your business (from average (total) cost of an employee to an alternative value) by entering an appropriate adjustment factor.
</t>
    </r>
    <r>
      <rPr>
        <u val="single"/>
        <sz val="12"/>
        <rFont val="Arial"/>
        <family val="2"/>
      </rPr>
      <t>Example 1</t>
    </r>
    <r>
      <rPr>
        <sz val="12"/>
        <rFont val="Arial"/>
        <family val="0"/>
      </rPr>
      <t>:
Case study evidence suggest that firms typically take action to maintain output when an employee is absent from work. 
In Company A, the average cost per employee is £100 a day (£22,800 a year).  When employees are off sick they continue to receive their full pay.  Output is maintained, and the cost of doing this (e.g. overtime, temporary replacement staff) is equivalent to what the absent worker would have been paid. The cost of absence to the employer is therefore the cost of paying the sick worker (£100 per day).  The adjustment factor in this case is simply 1 since no adjustment up or down of the average cost per employee is required to get the full cost of absenteeism.</t>
    </r>
  </si>
  <si>
    <r>
      <t>Example 2:</t>
    </r>
    <r>
      <rPr>
        <sz val="12"/>
        <rFont val="Arial"/>
        <family val="0"/>
      </rPr>
      <t xml:space="preserve">
Similar to the example above, in Company B, the average cost per employee is £100 a day (£22,800 a year).  When employees are off sick they continue to receive their full pay.  Output is maintained but the cost of doing this is greater than what the absent worker would have been paid e.g. temporary agency staff cost £110 a day (£25,080 a year).
The cost to Company B of employee absence is the cost of paying the sick worker (£100 per day) plus the extra cost of the temporary agency worker over and above what the sick worker would have been paid to generate the same output (£110-£100=£10).  The total cost of a day of absence is therefore £110 (£100+£10). 
As the total cost of absence is greater than the average cost per employee, an adjustment is required.  The adjustment factor is 1.1 (£110/£100).
</t>
    </r>
    <r>
      <rPr>
        <u val="single"/>
        <sz val="12"/>
        <rFont val="Arial"/>
        <family val="2"/>
      </rPr>
      <t xml:space="preserve">Example 3:
</t>
    </r>
    <r>
      <rPr>
        <sz val="12"/>
        <rFont val="Arial"/>
        <family val="0"/>
      </rPr>
      <t>In Company C, the average cost per employee is £100 a day (£22,800 a year).  When employees are off sick they receive occupational sick pay at 90% of their normal pay.  Output is maintained, and the cost of doing this (e.g. overtime, temporary replacement staff) is equivalent to what the absent worker would have been paid. 
The cost to Company C of employee absence is therefore the cost of paying the sick worker (90% x £100 per day = £90). 
As the total cost of absence is less than the average cost per employee, an adjustment is required.  The adjustment factor is 0.9 (£90/£100).</t>
    </r>
  </si>
  <si>
    <t xml:space="preserve">Estimates on the scale and costs of presenteeism are largely US-based and suggest that the costs can be greater than the costs of absenteeism.  Presenteeism is, however, likely to be lower in the UK due to a greater coverage of sick pay. In the US, workers are less likely to stay at home as a result of poor health and well-being because there is more of a financial incentive to go to work. Nevertheless, presenteeism could be a significant cost to your business.  Presenteeism is a relatively new subject and methods of measurement are still being developed.  As a result, estimates vary.  To estimate presenteeism in your business, you may wish to refer to:    
- Existing management or administrative data on performance together with health and well-being status of employees         
- Consult managers and employees for self-reported assessments of performance and changes as a result of poor health and well-being.  
</t>
  </si>
  <si>
    <t>In the absence of your own estimates, you may wish to select a figure from published studies that are most relevant to your business and what you know about the health conditions and the well-being of your employees.  
Alternatively, if you do not feel able to make an estimate, given that presenteeism has generally been found to be more costly than absenteeism, you may wish to assume that the cost of presenteeism is at least the same as that for absenteeism in your business.  Therefore, you would insert the same working days or proportion of time lost figures as for absenteeism.</t>
  </si>
  <si>
    <t>All leavers turnover rates are generally recorded in benchmarking turnover surveys so entering your all leavers rate will help you to compare your rate to other similar businesses.  However, the all leavers rate does over-estimate the turnover that results from poor health and well-being in your business.  So, if you know the number of employees who leave for health and well-being reasons, you can use this to get a more accurate cost of health and well-being related turnover.</t>
  </si>
  <si>
    <t xml:space="preserve">The labour turnover rate can be calculated by taking the number of leavers in a year and dividing it by the average number of people employed in that year.  
Example:
- On January 1st, there were 50 people employed in Company X.     
- During the year, 2 people left the company and 5 people joined.     
- On December 31st, there were therefore 53 people employed (i.e. 50-2+5).     
- The average number of employees during the year was (50+53)÷2 = 51.5.     
- The turnover rate is therefore (2÷51.5) x 100 =4% 
Depending on the data available to you, when calculating your labour turnover rate you can choose to use:
- employees who leave for reasons of poor health and well-being only     
- all leavers (so also, for example, dismissals, redundancies or retirement) </t>
  </si>
  <si>
    <t>Working days lost per employee from absence</t>
  </si>
  <si>
    <t>Proportion of working time lost per employee from presenteeism</t>
  </si>
  <si>
    <t>Discounted total net benefits</t>
  </si>
  <si>
    <t>The Net Present Value (NPV) is the present value of the health well-being project’s future benefits minus its costs. In other words, it is the total discounted benefits minus the total discounted costs of the project.  If the NPV is greater than zero, it means that the (present value) benefits are greater than the (present value) costs – so the project is worthwhile financially.  If the NPV is less than zero, it means that the (present value) costs are greater than the (present value) benefits – so the project is not worthwhile financially.</t>
  </si>
  <si>
    <t>The benefit-to-cost ratio is a measure of the value for money of an investment. It is the ratio of the total (discounted) benefits/savings to the total (discounted) costs. For example, a benefit-to-cost ratio of 1.5 indicates that the benefits of a project are 1.5 times that of its costs.  A benefit to cost ratio greater than 1 suggests that an investment is worthwhile.  The higher the benefit to cost ratio, the greater the benefit of the investment.</t>
  </si>
  <si>
    <t>The Internal Rate of Return (IRR) is the discount rate that gives a proposed investment a present value of zero. It can be used to rank proposals.  An investment should be undertaken if the Internal Rate of Return (IRR) is greater than the rate of return that could be earned by alternative investments of equivalent risk (i.e. bonds, interest from a bank accounts, other projects etc.).  For this reason, the IRR is often used to compare potential investments.  If all else is equal (e.g. risk, amount of initial capital required or any important ‘softer benefits’), the investment with the highest IRR will deliver the highest return.</t>
  </si>
  <si>
    <t>The present value of total benefits.</t>
  </si>
  <si>
    <t>The present value of total costs.</t>
  </si>
  <si>
    <t>The present value of total net benefits.</t>
  </si>
  <si>
    <t xml:space="preserve">This is the length of time before the return from an investment 'repays' the original cost of the investment. It can also be described as the amount of time it takes for benefits to equal costs, resulting in the break even point.  If your result shows N/A it means that, based on your estimates of costs and benefits, your project does not shows a positive financial return over the lifetime of the project.  </t>
  </si>
  <si>
    <t>For the current year (Year 0), enter the average number of days that your employees are absent.
For future years, estimate how the number of days absence might change as a result of your health and well-being project and enter the new number of days absence per employee per year. For example, if each employee is absent for 10 days per year at the moment (Year 0) and you think this will improve by 1 day next year, enter 9 in the Year 1 cell.</t>
  </si>
  <si>
    <t>For the current year (Year 0), enter the proportion of working time that your employees are absent.
For future years, estimate how the proportion of working time lost might change as a result of your health and well-being project and enter the new proportion of working time lost per employee per year. For example, if each employee is absent for 0.5% of working time at the moment (Year 0) and you think this will improve by 10% next year, enter 0.45% in the Year 1 cell.</t>
  </si>
  <si>
    <t xml:space="preserve">For the current year (Year 0), enter the average number of days/proportion of working time that is lost due to presenteeism.  
For future years, estimate how this might change as a result of your health and well-being project and enter the new number of days/proportion of working time lost from presenteeism per employee per year. </t>
  </si>
  <si>
    <t>For the current year (Year 0), use the current turnover rate.
For future years, estimate how the turnover rate might change as a result of your health and well-being project.</t>
  </si>
  <si>
    <t>Cost of absenteeism (days) = (Working days lost per employee from sickness absence ÷ Annual number of working days per employee) x Absenteeism adjustment factor x Average gross wages plus non-wage costs x Number of employees
Cost of absenteeism (proportion of working time lost) = Proportion of working time lost per employee from sickness absence x Absenteeism adjustment factor x Average gross wages plus non-wage costs x Number of employees</t>
  </si>
  <si>
    <t>Working days lost per employee from presenteeism</t>
  </si>
  <si>
    <t>Proportion of employees that leave each year</t>
  </si>
  <si>
    <t>Other costs associated with poor health and well-being</t>
  </si>
  <si>
    <t>Other costs of health and well-being</t>
  </si>
  <si>
    <t>You can add your own health and well-being measure, for example, cost of early ill-health retirement, private health insurance costs, numbers of ill-health grievances and tribunals.</t>
  </si>
  <si>
    <t>Numbers of incidences</t>
  </si>
  <si>
    <t>Cost per incidence</t>
  </si>
  <si>
    <t>Other costs = numbers of incidences x cost per incidence</t>
  </si>
  <si>
    <t xml:space="preserve">This is the average (per employee) cost to your business of a person leaving including:
- separation costs (redundancy costs, resignation costs)     
- loss of productivity (pre-departure productivity losses, disruption to others in team, lower productivity of new recruit at the beginning)     
- costs associated with covering during the vacancy period     
- recruitment and selection costs (advertising, agency costs, interview and assessment centre costs, administration)     
- new hire costs (including induction and training)  
These costs can vary significantly, depending on a number of factors. For example:
- The more senior the employee leaving the organisation, the higher the turnover cost may be.     
- The state of the labour market also influences turnover cost.  In a recession, recruitment costs tend to be lower. 
These, and other variations specific to your organisation, should be taken into account when estimating your average turnover cost.  A rule of thumb sometimes used is that is costs 50% of gross annual salary to hire a replacement. </t>
  </si>
  <si>
    <t>Cost of labour turnover = Number of employees x Proportion of employees that leave each year (turnover rate) x Average turnover cost per employee</t>
  </si>
  <si>
    <t xml:space="preserve">This is the number of claims arising each year due to workplace accidents/injury.  You may wish to exclude claims arising from long-tail liabilities as these are not reflective of the current health and well-being of your workforce or organisation and relate to past exposure of a workplace hazard.  Long-tail liabilities are injuries/ill-health where there is a long latency period between exposure to the workplace hazard and the manifestation of the injury/ill-health, for example, some diseases caused by exposure to asbestos.  </t>
  </si>
  <si>
    <t>What discount rate does your business use?</t>
  </si>
  <si>
    <t xml:space="preserve">Discounting is a method used to compare costs and benefits that occur in different time periods.  The discount rate is used to convert all future costs and benefits to 'present values'. The discount rate you should use is your business’s cost of capital.  Somebody responsible for finance within your business should know the appropriate discount rate to use.  As a default, 7% is assumed.  This is a nominal discount rate.  In general, public sector organisations follow the Treasury’s Green Book  guidance for the discount rate.  This rate is currently 3.5%.  This is a real discount rate (so if you use this rate, you do not need to inflate costs, for example, the average cost per employee or average turnover cost in the business case should be in real terms).  </t>
  </si>
  <si>
    <t xml:space="preserve">Enter the one-off costs that may be incurred at the very outset of the project (Year 0). These costs may be for equipment or materials that you need to buy in order to start your well-being project.  </t>
  </si>
  <si>
    <t>Include any other costs of the health and well-being project, for example, the cost of work time lost from taking part in the project.</t>
  </si>
  <si>
    <r>
      <t>OR</t>
    </r>
    <r>
      <rPr>
        <sz val="12"/>
        <rFont val="Arial"/>
        <family val="0"/>
      </rPr>
      <t xml:space="preserve"> Proportion of working time lost per employee</t>
    </r>
  </si>
  <si>
    <t>Workplace Well-being Tool</t>
  </si>
  <si>
    <t>What are my costs?</t>
  </si>
  <si>
    <t>Absenteeism</t>
  </si>
  <si>
    <t>Presenteeism</t>
  </si>
  <si>
    <t>Labour turnover</t>
  </si>
  <si>
    <t>4a</t>
  </si>
  <si>
    <t>4b</t>
  </si>
  <si>
    <t>OR</t>
  </si>
  <si>
    <t>Employee information</t>
  </si>
  <si>
    <t>Cost of presenteeism</t>
  </si>
  <si>
    <t>Cost of labour turnover</t>
  </si>
  <si>
    <t>Average turnover cost per employee</t>
  </si>
  <si>
    <t>Cost of labour turnover to your business</t>
  </si>
  <si>
    <t>Cost of absenteeism to your business</t>
  </si>
  <si>
    <t>Insurance premiums and accidents/injuries</t>
  </si>
  <si>
    <t>Cost of insurance premiums and accidents/injuries</t>
  </si>
  <si>
    <t>Number of claims due to accidents/injuries per year</t>
  </si>
  <si>
    <t>Average cost per claim</t>
  </si>
  <si>
    <t>5a</t>
  </si>
  <si>
    <t>5b</t>
  </si>
  <si>
    <t>Cost of presenteeism to your business</t>
  </si>
  <si>
    <t>Other</t>
  </si>
  <si>
    <t>Other costs associated with poor health</t>
  </si>
  <si>
    <t>Description</t>
  </si>
  <si>
    <t>Summary table</t>
  </si>
  <si>
    <t>Total</t>
  </si>
  <si>
    <t>Why invest?</t>
  </si>
  <si>
    <t>Welcome</t>
  </si>
  <si>
    <t>Years</t>
  </si>
  <si>
    <t>Start up costs</t>
  </si>
  <si>
    <t>Costs</t>
  </si>
  <si>
    <t>Running costs</t>
  </si>
  <si>
    <t>Other costs</t>
  </si>
  <si>
    <t>Business case parameters</t>
  </si>
  <si>
    <t>Project name</t>
  </si>
  <si>
    <t>Business case</t>
  </si>
  <si>
    <t>Number of working days in a year</t>
  </si>
  <si>
    <t>Average gross wages plus non-wage costs</t>
  </si>
  <si>
    <t>Other: volume/unit</t>
  </si>
  <si>
    <t>Other: cost per unit</t>
  </si>
  <si>
    <t>Example - What are my costs?</t>
  </si>
  <si>
    <t>Indicators</t>
  </si>
  <si>
    <t>Staff turnover</t>
  </si>
  <si>
    <t>Summary - What are my costs?</t>
  </si>
  <si>
    <t>Summary - Why invest?</t>
  </si>
  <si>
    <t>Total benefits</t>
  </si>
  <si>
    <t>Discounted total benefits</t>
  </si>
  <si>
    <t>Total costs</t>
  </si>
  <si>
    <t>Discounted total costs</t>
  </si>
  <si>
    <t>Net benefits (Benefits minus costs)</t>
  </si>
  <si>
    <t xml:space="preserve">Discounted net benefits </t>
  </si>
  <si>
    <t>Cumulative net benefits</t>
  </si>
  <si>
    <t>Discounted cumulative net benefits</t>
  </si>
  <si>
    <t>Net present value</t>
  </si>
  <si>
    <t>Benefit to cost ratio</t>
  </si>
  <si>
    <t>Payback period (in years)</t>
  </si>
  <si>
    <t>Internal rate of return</t>
  </si>
  <si>
    <t>Investment appraisal</t>
  </si>
  <si>
    <t>Cost of sickness absence</t>
  </si>
  <si>
    <t>To see an example, click on the box at the bottom of this page.</t>
  </si>
  <si>
    <t>The Tool is divided into two key sections:</t>
  </si>
  <si>
    <t>Enter your business' details in the yellow-coloured cells below.</t>
  </si>
  <si>
    <t>Click on one of the boxes below to get started!</t>
  </si>
  <si>
    <t>1a</t>
  </si>
  <si>
    <t>1b</t>
  </si>
  <si>
    <t>Summary of costs</t>
  </si>
  <si>
    <t>1c</t>
  </si>
  <si>
    <t>Example of costs</t>
  </si>
  <si>
    <t>2a</t>
  </si>
  <si>
    <t>2b</t>
  </si>
  <si>
    <t>Business case summary</t>
  </si>
  <si>
    <t>2c</t>
  </si>
  <si>
    <t>Example of business case</t>
  </si>
  <si>
    <t>View a summary of your business case</t>
  </si>
  <si>
    <t>Estimate the costs and benefits of investing in a health and well-being project and create a business case for action</t>
  </si>
  <si>
    <t>User guide</t>
  </si>
  <si>
    <t>Item</t>
  </si>
  <si>
    <t xml:space="preserve">Sickness absence </t>
  </si>
  <si>
    <t>View a completed example</t>
  </si>
  <si>
    <t>View a completed example business case</t>
  </si>
  <si>
    <t>This is a measure of the working days or time lost to employee absence from work due to sickness and ill-health.</t>
  </si>
  <si>
    <t>The Workplace Well-being Tool is designed to help you work out the costs of poor health and well-being to your business.  It can also help you build a business case for action to reduce your costs and improve the health and well-being of people in your business.</t>
  </si>
  <si>
    <t>Enter your business' details to work out the costs of poor health and well-being (sickness absence, presenteeism, labour turnover and workplace injury and ill-health)</t>
  </si>
  <si>
    <t>View a summary of poor health and well-being costs to your business</t>
  </si>
  <si>
    <t>This section helps you to work out the costs of poor health and well-being to your business:</t>
  </si>
  <si>
    <t>?</t>
  </si>
  <si>
    <t>Labour turnover is the measure of how many people leave your organisation over a specific time period.  People may leave organisations for a number of reasons but high labour turnover can be an indicator of poor health and well-being.  Therefore the cost of labour turnover may be considered a cost of poor health and well-being.</t>
  </si>
  <si>
    <t>Presenteeism can be defined as the loss in output that occurs when employees are in work but functioning at less than full capacity because of poor health and well-being.</t>
  </si>
  <si>
    <t>Employers are legally required to meet health and safety regulations and to report workplace injuries, diseases and dangerous occurrences.  Employers are also legally required to purchase Employers’ Liability Compulsory Insurance (ELCI) to insure their liability to their employees for bodily injury or disease sustained during the course of their employment. Some exceptions apply. Depending on your industry, the cost of Employers’ Liability (EL) insurance premiums and workplace accidents and injuries may be quite significant to your business. While these costs are driven by a range of factors, maintaining a good standard of health and safety and employee well-being may mean fewer claims.</t>
  </si>
  <si>
    <t>Numbers of employees</t>
  </si>
  <si>
    <t xml:space="preserve">This is the number of employees in your business.  This can be the headcount or full-time equivalent.  If headcount if used, all other figures you provide should be on a headcount basis for consistency and vice versa for full-time equivalent. </t>
  </si>
  <si>
    <t xml:space="preserve">228 is the standard average number of working days for a full-time employee based on 5 working days a week and 52 weeks in a year less 32 days leave (24 days annual leave and 8 public holidays). </t>
  </si>
  <si>
    <t xml:space="preserve">Wage and non-wage costs are used to capture the full total pre-tax and national insurance cost of an employee to your business.  Non-wage costs may include expenditure such as employers’ national insurance and pension contributions, recruitment and training costs and accommodation costs.  Non-wage costs are typically an additional 30% above wage costs but may vary for your business.         </t>
  </si>
  <si>
    <t>Proportion of working time lost per employee from sickness absence</t>
  </si>
  <si>
    <t>Annual number of working days per employee</t>
  </si>
  <si>
    <t>Working days lost per employee from sickness absence</t>
  </si>
  <si>
    <t>This is one of two ways of measuring the level of sickness absence.</t>
  </si>
  <si>
    <t>This is one of two ways of measuring the level of sickness absence.  It can be calculated by dividing the total absence in a year (in days or hours) by the total working time available.</t>
  </si>
  <si>
    <t>Absenteeism adjustment factor</t>
  </si>
  <si>
    <t>Other: incidence</t>
  </si>
  <si>
    <t>Other: cost per incidence</t>
  </si>
  <si>
    <t>Benefits/savings</t>
  </si>
  <si>
    <t>Net benefits/savings</t>
  </si>
  <si>
    <t>Locators</t>
  </si>
  <si>
    <t>Positive/negative cumulative cashflow</t>
  </si>
  <si>
    <t>Relative position</t>
  </si>
  <si>
    <t xml:space="preserve">Once you have entered your business' details, click on the box at the bottom of this page to view a summary. </t>
  </si>
  <si>
    <t>Example - Why invest?</t>
  </si>
  <si>
    <t>New sickness absence management procedures</t>
  </si>
  <si>
    <t>Cost of presenteeism (days) = (Working days lost per employee from presenteeism ÷ Annual number of working days per employee) x Average gross wages plus non-wage costs x Number of employees
Cost of presenteeism (proportion of working time lost) = Proportion of working time lost per employee from presenteeism x Average gross wages plus non-wage costs x Number of employees</t>
  </si>
  <si>
    <t>As above, you may wish to exclude claims arising from long-tail liabilities.  The average cost per claim should include administrative costs incurred in processing the claim and managers’ time in dealing with the claim.  Absence from work due to the workplace accidents/injuries need be excluded as these should already be captured in your absenteeism figures.  Similarly, if an employee leaves your organisation as a result of a workplace accident/injury, the cost of this should already be captured in your labour turnover figures.  Compensation to employees should only be included if your business is directly liable (and not paid by the insurance company).</t>
  </si>
  <si>
    <t xml:space="preserve">Enter the ongoing annual costs of running the project, if any. These may begin in Year 0 or in Year 1. These are the day-to-day costs associated with your project, for example, staff costs incurred in running and maintaining the project.  </t>
  </si>
  <si>
    <t>Positive/negative cumulative cash flow</t>
  </si>
  <si>
    <t>Length of business case in years</t>
  </si>
  <si>
    <t>This is the length of time in years over which you wish to assess your health and well-being project and expect to see returns for your investment.</t>
  </si>
  <si>
    <t>Annual working days lost per employee from sickness absence</t>
  </si>
  <si>
    <t>Annual working days lost per employee from presenteeism</t>
  </si>
  <si>
    <t xml:space="preserve">Other costs </t>
  </si>
  <si>
    <t>Annual proportion of working time lost per employee from sickness absence</t>
  </si>
  <si>
    <t>Annual proportion of working time lost per employee from presenteeism</t>
  </si>
  <si>
    <t>Annual number of claims due to accidents/injuries</t>
  </si>
  <si>
    <t>Accidents/injuries</t>
  </si>
  <si>
    <t>Cost of accidents/injuries</t>
  </si>
  <si>
    <t xml:space="preserve"> Cost of accidents/injuries = Number of claims x Average cost per claim</t>
  </si>
  <si>
    <t>(for example: period over which returns are expected)</t>
  </si>
  <si>
    <t xml:space="preserve">You can enter data for all employees or a sub-set of employees that your health and well-being project is targeted at. </t>
  </si>
  <si>
    <t>Total number of employees in your business</t>
  </si>
  <si>
    <t>Totla numbers of employees in your business</t>
  </si>
  <si>
    <t xml:space="preserve">Annual number of claims due to accidents/injuries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</si>
</sst>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_-;\-&quot;£&quot;* #,##0.0_-;_-&quot;£&quot;* &quot;-&quot;??_-;_-@_-"/>
    <numFmt numFmtId="165" formatCode="_-&quot;£&quot;* #,##0_-;\-&quot;£&quot;* #,##0_-;_-&quot;£&quot;* &quot;-&quot;??_-;_-@_-"/>
    <numFmt numFmtId="166" formatCode="_-* #,##0.0_-;\-* #,##0.0_-;_-* &quot;-&quot;??_-;_-@_-"/>
    <numFmt numFmtId="167" formatCode="_-* #,##0_-;\-* #,##0_-;_-* &quot;-&quot;??_-;_-@_-"/>
    <numFmt numFmtId="168" formatCode="0.0%"/>
    <numFmt numFmtId="169" formatCode="#,##0.0"/>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0000000"/>
    <numFmt numFmtId="177" formatCode="0.0000000"/>
    <numFmt numFmtId="178" formatCode="0.000000"/>
    <numFmt numFmtId="179" formatCode="0.00000"/>
    <numFmt numFmtId="180" formatCode="0.0000"/>
    <numFmt numFmtId="181" formatCode="0.000"/>
  </numFmts>
  <fonts count="19">
    <font>
      <sz val="10"/>
      <name val="Arial"/>
      <family val="0"/>
    </font>
    <font>
      <sz val="8"/>
      <name val="Arial"/>
      <family val="0"/>
    </font>
    <font>
      <sz val="12"/>
      <name val="Arial"/>
      <family val="0"/>
    </font>
    <font>
      <u val="single"/>
      <sz val="6"/>
      <color indexed="12"/>
      <name val="Arial"/>
      <family val="0"/>
    </font>
    <font>
      <u val="single"/>
      <sz val="6"/>
      <color indexed="36"/>
      <name val="Arial"/>
      <family val="0"/>
    </font>
    <font>
      <b/>
      <sz val="12"/>
      <name val="Arial"/>
      <family val="2"/>
    </font>
    <font>
      <b/>
      <sz val="12"/>
      <color indexed="57"/>
      <name val="Arial"/>
      <family val="2"/>
    </font>
    <font>
      <b/>
      <sz val="12"/>
      <color indexed="10"/>
      <name val="Arial"/>
      <family val="2"/>
    </font>
    <font>
      <b/>
      <sz val="18"/>
      <color indexed="52"/>
      <name val="Arial"/>
      <family val="2"/>
    </font>
    <font>
      <b/>
      <sz val="10"/>
      <color indexed="9"/>
      <name val="Arial"/>
      <family val="2"/>
    </font>
    <font>
      <sz val="12"/>
      <color indexed="49"/>
      <name val="Arial"/>
      <family val="0"/>
    </font>
    <font>
      <b/>
      <sz val="12"/>
      <color indexed="49"/>
      <name val="Arial"/>
      <family val="0"/>
    </font>
    <font>
      <sz val="12"/>
      <color indexed="10"/>
      <name val="Arial"/>
      <family val="2"/>
    </font>
    <font>
      <b/>
      <sz val="10"/>
      <color indexed="49"/>
      <name val="Arial"/>
      <family val="2"/>
    </font>
    <font>
      <b/>
      <sz val="12"/>
      <color indexed="52"/>
      <name val="Arial"/>
      <family val="0"/>
    </font>
    <font>
      <u val="single"/>
      <sz val="12"/>
      <name val="Arial"/>
      <family val="2"/>
    </font>
    <font>
      <b/>
      <u val="single"/>
      <sz val="12"/>
      <name val="Arial"/>
      <family val="2"/>
    </font>
    <font>
      <sz val="10"/>
      <color indexed="9"/>
      <name val="Arial"/>
      <family val="0"/>
    </font>
    <font>
      <i/>
      <sz val="12"/>
      <name val="Arial"/>
      <family val="2"/>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2"/>
        <bgColor indexed="64"/>
      </patternFill>
    </fill>
  </fills>
  <borders count="25">
    <border>
      <left/>
      <right/>
      <top/>
      <bottom/>
      <diagonal/>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medium">
        <color indexed="49"/>
      </left>
      <right>
        <color indexed="63"/>
      </right>
      <top style="medium">
        <color indexed="49"/>
      </top>
      <bottom>
        <color indexed="63"/>
      </bottom>
    </border>
    <border>
      <left>
        <color indexed="63"/>
      </left>
      <right>
        <color indexed="63"/>
      </right>
      <top style="medium">
        <color indexed="49"/>
      </top>
      <bottom>
        <color indexed="63"/>
      </bottom>
    </border>
    <border>
      <left>
        <color indexed="63"/>
      </left>
      <right style="medium">
        <color indexed="49"/>
      </right>
      <top style="medium">
        <color indexed="49"/>
      </top>
      <bottom>
        <color indexed="63"/>
      </bottom>
    </border>
    <border>
      <left style="medium">
        <color indexed="49"/>
      </left>
      <right>
        <color indexed="63"/>
      </right>
      <top>
        <color indexed="63"/>
      </top>
      <bottom>
        <color indexed="63"/>
      </bottom>
    </border>
    <border>
      <left>
        <color indexed="63"/>
      </left>
      <right style="medium">
        <color indexed="49"/>
      </right>
      <top>
        <color indexed="63"/>
      </top>
      <bottom>
        <color indexed="63"/>
      </bottom>
    </border>
    <border>
      <left style="medium">
        <color indexed="49"/>
      </left>
      <right>
        <color indexed="63"/>
      </right>
      <top>
        <color indexed="63"/>
      </top>
      <bottom style="medium">
        <color indexed="49"/>
      </bottom>
    </border>
    <border>
      <left>
        <color indexed="63"/>
      </left>
      <right>
        <color indexed="63"/>
      </right>
      <top>
        <color indexed="63"/>
      </top>
      <bottom style="medium">
        <color indexed="49"/>
      </bottom>
    </border>
    <border>
      <left>
        <color indexed="63"/>
      </left>
      <right style="medium">
        <color indexed="49"/>
      </right>
      <top>
        <color indexed="63"/>
      </top>
      <bottom style="medium">
        <color indexed="49"/>
      </bottom>
    </border>
    <border>
      <left style="thin">
        <color indexed="9"/>
      </left>
      <right style="thin">
        <color indexed="9"/>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color indexed="49"/>
      </left>
      <right style="thin">
        <color indexed="49"/>
      </right>
      <top style="thin">
        <color indexed="49"/>
      </top>
      <bottom style="thin">
        <color indexed="49"/>
      </bottom>
    </border>
    <border>
      <left style="thin">
        <color indexed="49"/>
      </left>
      <right style="thin">
        <color indexed="49"/>
      </right>
      <top style="thin">
        <color indexed="49"/>
      </top>
      <bottom>
        <color indexed="63"/>
      </bottom>
    </border>
    <border>
      <left style="thin">
        <color indexed="49"/>
      </left>
      <right style="thin">
        <color indexed="49"/>
      </right>
      <top>
        <color indexed="63"/>
      </top>
      <bottom>
        <color indexed="63"/>
      </bottom>
    </border>
    <border>
      <left style="thin">
        <color indexed="49"/>
      </left>
      <right style="thin">
        <color indexed="49"/>
      </right>
      <top>
        <color indexed="63"/>
      </top>
      <bottom style="thin">
        <color indexed="49"/>
      </bottom>
    </border>
    <border>
      <left style="thin">
        <color indexed="49"/>
      </left>
      <right>
        <color indexed="63"/>
      </right>
      <top style="thin">
        <color indexed="49"/>
      </top>
      <bottom style="thin">
        <color indexed="49"/>
      </bottom>
    </border>
    <border>
      <left style="medium"/>
      <right>
        <color indexed="63"/>
      </right>
      <top style="medium"/>
      <bottom style="medium"/>
    </border>
    <border>
      <left style="thin"/>
      <right style="thin"/>
      <top style="thin"/>
      <bottom style="thin"/>
    </border>
    <border>
      <left style="thin"/>
      <right style="thin"/>
      <top style="thin"/>
      <bottom>
        <color indexed="63"/>
      </bottom>
    </border>
    <border>
      <left style="thin">
        <color indexed="49"/>
      </left>
      <right>
        <color indexed="63"/>
      </right>
      <top style="thin">
        <color indexed="49"/>
      </top>
      <bottom>
        <color indexed="63"/>
      </bottom>
    </border>
    <border>
      <left style="thin">
        <color indexed="49"/>
      </left>
      <right>
        <color indexed="63"/>
      </right>
      <top>
        <color indexed="63"/>
      </top>
      <bottom style="thin">
        <color indexed="49"/>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4">
    <xf numFmtId="0" fontId="0" fillId="0" borderId="0" xfId="0" applyAlignment="1">
      <alignment/>
    </xf>
    <xf numFmtId="0" fontId="2" fillId="2" borderId="0" xfId="0" applyFont="1" applyFill="1" applyAlignment="1">
      <alignment/>
    </xf>
    <xf numFmtId="0" fontId="2" fillId="2" borderId="0" xfId="0" applyFont="1" applyFill="1" applyAlignment="1">
      <alignment horizontal="left"/>
    </xf>
    <xf numFmtId="0" fontId="2" fillId="2" borderId="0" xfId="0" applyFont="1" applyFill="1" applyAlignment="1">
      <alignment/>
    </xf>
    <xf numFmtId="0" fontId="5" fillId="2" borderId="0" xfId="0" applyFont="1" applyFill="1" applyBorder="1" applyAlignment="1">
      <alignment horizontal="left"/>
    </xf>
    <xf numFmtId="0" fontId="2" fillId="2" borderId="0" xfId="0" applyFont="1" applyFill="1" applyBorder="1" applyAlignment="1">
      <alignment/>
    </xf>
    <xf numFmtId="0" fontId="2" fillId="2" borderId="0" xfId="0" applyFont="1" applyFill="1" applyBorder="1" applyAlignment="1">
      <alignment horizontal="left"/>
    </xf>
    <xf numFmtId="0" fontId="2" fillId="2" borderId="0" xfId="0" applyFont="1" applyFill="1" applyBorder="1" applyAlignment="1" quotePrefix="1">
      <alignment horizontal="left"/>
    </xf>
    <xf numFmtId="3" fontId="2" fillId="2" borderId="1" xfId="0" applyNumberFormat="1" applyFont="1" applyFill="1" applyBorder="1" applyAlignment="1">
      <alignment/>
    </xf>
    <xf numFmtId="3" fontId="2" fillId="2" borderId="0" xfId="0" applyNumberFormat="1" applyFont="1" applyFill="1" applyBorder="1" applyAlignment="1">
      <alignment/>
    </xf>
    <xf numFmtId="3" fontId="2" fillId="2" borderId="0" xfId="0" applyNumberFormat="1" applyFont="1" applyFill="1" applyAlignment="1">
      <alignment/>
    </xf>
    <xf numFmtId="0" fontId="2" fillId="2" borderId="1" xfId="0" applyFont="1" applyFill="1" applyBorder="1" applyAlignment="1">
      <alignment/>
    </xf>
    <xf numFmtId="9" fontId="2" fillId="2" borderId="1" xfId="0" applyNumberFormat="1" applyFont="1" applyFill="1" applyBorder="1" applyAlignment="1">
      <alignment/>
    </xf>
    <xf numFmtId="165" fontId="2" fillId="2" borderId="1" xfId="17" applyNumberFormat="1" applyFont="1" applyFill="1" applyBorder="1" applyAlignment="1">
      <alignment/>
    </xf>
    <xf numFmtId="0" fontId="7" fillId="2" borderId="0" xfId="0" applyFont="1" applyFill="1" applyBorder="1" applyAlignment="1">
      <alignment horizontal="left"/>
    </xf>
    <xf numFmtId="168" fontId="2" fillId="2" borderId="1" xfId="22" applyNumberFormat="1" applyFont="1" applyFill="1" applyBorder="1" applyAlignment="1">
      <alignment/>
    </xf>
    <xf numFmtId="169" fontId="2" fillId="2" borderId="1" xfId="0" applyNumberFormat="1" applyFont="1" applyFill="1" applyBorder="1" applyAlignment="1">
      <alignment/>
    </xf>
    <xf numFmtId="0" fontId="5" fillId="2" borderId="2"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8" fillId="2" borderId="0" xfId="0" applyFont="1" applyFill="1" applyAlignment="1">
      <alignment/>
    </xf>
    <xf numFmtId="0" fontId="8" fillId="2" borderId="0" xfId="0" applyFont="1" applyFill="1" applyAlignment="1">
      <alignment horizontal="left"/>
    </xf>
    <xf numFmtId="0" fontId="5" fillId="2" borderId="0" xfId="0" applyFont="1" applyFill="1" applyAlignment="1">
      <alignment/>
    </xf>
    <xf numFmtId="0" fontId="11" fillId="2" borderId="0" xfId="0" applyFont="1" applyFill="1" applyBorder="1" applyAlignment="1">
      <alignment/>
    </xf>
    <xf numFmtId="0" fontId="10" fillId="2" borderId="0" xfId="0" applyFont="1" applyFill="1" applyAlignment="1">
      <alignment/>
    </xf>
    <xf numFmtId="165" fontId="11" fillId="2" borderId="0" xfId="17" applyNumberFormat="1" applyFont="1" applyFill="1" applyBorder="1" applyAlignment="1">
      <alignment/>
    </xf>
    <xf numFmtId="0" fontId="10" fillId="2" borderId="0" xfId="0" applyFont="1" applyFill="1" applyBorder="1" applyAlignment="1">
      <alignment/>
    </xf>
    <xf numFmtId="0" fontId="5" fillId="2" borderId="0" xfId="0" applyFont="1" applyFill="1" applyBorder="1" applyAlignment="1">
      <alignment/>
    </xf>
    <xf numFmtId="0" fontId="0" fillId="2" borderId="0" xfId="0" applyFill="1" applyAlignment="1">
      <alignment/>
    </xf>
    <xf numFmtId="0" fontId="0" fillId="2" borderId="0" xfId="0" applyFill="1" applyBorder="1" applyAlignment="1">
      <alignment/>
    </xf>
    <xf numFmtId="0" fontId="11" fillId="2" borderId="0" xfId="0" applyFont="1" applyFill="1" applyAlignment="1">
      <alignment/>
    </xf>
    <xf numFmtId="0" fontId="13" fillId="2" borderId="0" xfId="0" applyFont="1" applyFill="1" applyAlignment="1">
      <alignment/>
    </xf>
    <xf numFmtId="0" fontId="11" fillId="2" borderId="0" xfId="0" applyFont="1" applyFill="1" applyBorder="1" applyAlignment="1">
      <alignment/>
    </xf>
    <xf numFmtId="0" fontId="2" fillId="2" borderId="0" xfId="0" applyFont="1" applyFill="1" applyBorder="1" applyAlignment="1">
      <alignment/>
    </xf>
    <xf numFmtId="0" fontId="14" fillId="2" borderId="0" xfId="0" applyFont="1" applyFill="1" applyAlignment="1">
      <alignment horizontal="left"/>
    </xf>
    <xf numFmtId="165" fontId="2" fillId="2" borderId="0" xfId="17" applyNumberFormat="1" applyFont="1" applyFill="1" applyBorder="1" applyAlignment="1">
      <alignment/>
    </xf>
    <xf numFmtId="9" fontId="2" fillId="2" borderId="0" xfId="22" applyFont="1" applyFill="1" applyBorder="1" applyAlignment="1">
      <alignment/>
    </xf>
    <xf numFmtId="165" fontId="5" fillId="2" borderId="0" xfId="17" applyNumberFormat="1" applyFont="1" applyFill="1" applyBorder="1" applyAlignment="1">
      <alignment/>
    </xf>
    <xf numFmtId="9" fontId="5" fillId="2" borderId="0" xfId="22"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0" fontId="2" fillId="2" borderId="9" xfId="0" applyFont="1" applyFill="1"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left"/>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0" fontId="2" fillId="2" borderId="9" xfId="0" applyFont="1" applyFill="1" applyBorder="1" applyAlignment="1">
      <alignment/>
    </xf>
    <xf numFmtId="0" fontId="2" fillId="2" borderId="10" xfId="0" applyFont="1" applyFill="1" applyBorder="1" applyAlignment="1">
      <alignment horizontal="left"/>
    </xf>
    <xf numFmtId="0" fontId="2" fillId="2" borderId="10" xfId="0" applyFont="1" applyFill="1" applyBorder="1" applyAlignment="1">
      <alignment/>
    </xf>
    <xf numFmtId="3" fontId="2" fillId="2" borderId="10" xfId="0" applyNumberFormat="1" applyFont="1" applyFill="1" applyBorder="1" applyAlignment="1">
      <alignment/>
    </xf>
    <xf numFmtId="0" fontId="2" fillId="2" borderId="11" xfId="0" applyFont="1" applyFill="1" applyBorder="1" applyAlignment="1">
      <alignment/>
    </xf>
    <xf numFmtId="3" fontId="2" fillId="2" borderId="5" xfId="0" applyNumberFormat="1" applyFont="1" applyFill="1" applyBorder="1" applyAlignment="1">
      <alignment/>
    </xf>
    <xf numFmtId="0" fontId="10" fillId="2" borderId="7" xfId="0" applyFont="1" applyFill="1" applyBorder="1" applyAlignment="1">
      <alignment/>
    </xf>
    <xf numFmtId="0" fontId="10" fillId="2" borderId="8" xfId="0" applyFont="1" applyFill="1" applyBorder="1" applyAlignment="1">
      <alignment/>
    </xf>
    <xf numFmtId="0" fontId="6" fillId="2" borderId="10" xfId="0" applyFont="1" applyFill="1" applyBorder="1" applyAlignment="1">
      <alignment/>
    </xf>
    <xf numFmtId="49" fontId="2" fillId="2" borderId="0" xfId="0" applyNumberFormat="1" applyFont="1" applyFill="1" applyBorder="1" applyAlignment="1">
      <alignment/>
    </xf>
    <xf numFmtId="167" fontId="2" fillId="2" borderId="0" xfId="15" applyNumberFormat="1" applyFont="1" applyFill="1" applyBorder="1" applyAlignment="1">
      <alignment/>
    </xf>
    <xf numFmtId="167" fontId="2" fillId="2" borderId="0" xfId="0" applyNumberFormat="1" applyFont="1" applyFill="1" applyBorder="1" applyAlignment="1">
      <alignment/>
    </xf>
    <xf numFmtId="0" fontId="5" fillId="2" borderId="0" xfId="0" applyFont="1" applyFill="1" applyBorder="1" applyAlignment="1">
      <alignment horizontal="center"/>
    </xf>
    <xf numFmtId="0" fontId="12" fillId="2" borderId="0" xfId="0" applyFont="1" applyFill="1" applyBorder="1" applyAlignment="1">
      <alignment/>
    </xf>
    <xf numFmtId="0" fontId="14" fillId="2" borderId="0" xfId="0" applyFont="1" applyFill="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2" borderId="0" xfId="0" applyFont="1" applyFill="1" applyBorder="1" applyAlignment="1">
      <alignment/>
    </xf>
    <xf numFmtId="0" fontId="5" fillId="2" borderId="0" xfId="0" applyFont="1" applyFill="1" applyBorder="1" applyAlignment="1">
      <alignment horizontal="center"/>
    </xf>
    <xf numFmtId="0" fontId="11" fillId="2" borderId="7" xfId="0" applyFont="1" applyFill="1" applyBorder="1" applyAlignment="1">
      <alignment/>
    </xf>
    <xf numFmtId="0" fontId="11" fillId="2" borderId="8" xfId="0" applyFont="1" applyFill="1" applyBorder="1" applyAlignment="1">
      <alignment/>
    </xf>
    <xf numFmtId="0" fontId="13" fillId="2" borderId="8" xfId="0" applyFont="1" applyFill="1" applyBorder="1" applyAlignment="1">
      <alignment/>
    </xf>
    <xf numFmtId="0" fontId="0" fillId="2" borderId="9" xfId="0" applyFill="1" applyBorder="1" applyAlignment="1">
      <alignment/>
    </xf>
    <xf numFmtId="0" fontId="5" fillId="2" borderId="10" xfId="0" applyFont="1" applyFill="1" applyBorder="1" applyAlignment="1">
      <alignment/>
    </xf>
    <xf numFmtId="0" fontId="0" fillId="2" borderId="10" xfId="0" applyFill="1" applyBorder="1" applyAlignment="1">
      <alignment/>
    </xf>
    <xf numFmtId="0" fontId="0" fillId="2" borderId="11" xfId="0" applyFill="1" applyBorder="1" applyAlignment="1">
      <alignment/>
    </xf>
    <xf numFmtId="0" fontId="11" fillId="2" borderId="0" xfId="0" applyFont="1" applyFill="1" applyAlignment="1">
      <alignment horizontal="left"/>
    </xf>
    <xf numFmtId="0" fontId="8" fillId="2" borderId="0" xfId="0" applyFont="1" applyFill="1" applyBorder="1" applyAlignment="1">
      <alignment/>
    </xf>
    <xf numFmtId="0" fontId="2" fillId="2" borderId="0" xfId="0" applyFont="1" applyFill="1" applyBorder="1" applyAlignment="1">
      <alignment horizontal="left" wrapText="1"/>
    </xf>
    <xf numFmtId="0" fontId="2" fillId="2" borderId="8" xfId="0" applyFont="1" applyFill="1" applyBorder="1" applyAlignment="1">
      <alignment horizontal="center"/>
    </xf>
    <xf numFmtId="0" fontId="0" fillId="0" borderId="0" xfId="0" applyFill="1" applyBorder="1" applyAlignment="1">
      <alignment/>
    </xf>
    <xf numFmtId="0" fontId="2" fillId="3" borderId="12" xfId="0" applyFont="1" applyFill="1" applyBorder="1" applyAlignment="1">
      <alignment horizontal="left" vertical="center" wrapText="1"/>
    </xf>
    <xf numFmtId="0" fontId="2" fillId="3" borderId="12" xfId="0" applyFont="1" applyFill="1" applyBorder="1" applyAlignment="1">
      <alignment vertical="top" wrapText="1"/>
    </xf>
    <xf numFmtId="0" fontId="8" fillId="3" borderId="0" xfId="0" applyFont="1" applyFill="1" applyBorder="1" applyAlignment="1">
      <alignment horizontal="left" vertical="center" wrapText="1"/>
    </xf>
    <xf numFmtId="0" fontId="2" fillId="3" borderId="0" xfId="0" applyFont="1" applyFill="1" applyBorder="1" applyAlignment="1">
      <alignment vertical="top" wrapText="1"/>
    </xf>
    <xf numFmtId="0" fontId="2" fillId="3" borderId="0" xfId="0" applyFont="1" applyFill="1" applyBorder="1" applyAlignment="1">
      <alignment wrapText="1"/>
    </xf>
    <xf numFmtId="0" fontId="5" fillId="3" borderId="0" xfId="0" applyFont="1" applyFill="1" applyBorder="1" applyAlignment="1">
      <alignment horizontal="left" vertical="center" wrapText="1"/>
    </xf>
    <xf numFmtId="0" fontId="5" fillId="3" borderId="0" xfId="0" applyFont="1" applyFill="1" applyBorder="1" applyAlignment="1">
      <alignment vertical="top" wrapText="1"/>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6" fillId="3" borderId="0" xfId="0" applyFont="1" applyFill="1" applyBorder="1" applyAlignment="1">
      <alignment horizontal="left" vertical="center" wrapText="1"/>
    </xf>
    <xf numFmtId="0" fontId="2" fillId="4" borderId="13" xfId="0" applyFont="1" applyFill="1" applyBorder="1" applyAlignment="1">
      <alignment/>
    </xf>
    <xf numFmtId="0" fontId="2" fillId="4" borderId="14" xfId="0" applyFont="1" applyFill="1" applyBorder="1" applyAlignment="1">
      <alignment/>
    </xf>
    <xf numFmtId="0" fontId="7" fillId="2" borderId="0" xfId="0" applyFont="1" applyFill="1" applyBorder="1" applyAlignment="1">
      <alignment horizontal="right"/>
    </xf>
    <xf numFmtId="0" fontId="8" fillId="2" borderId="0" xfId="0" applyFont="1" applyFill="1" applyBorder="1" applyAlignment="1">
      <alignment horizontal="left"/>
    </xf>
    <xf numFmtId="0" fontId="11" fillId="2" borderId="0" xfId="0" applyFont="1" applyFill="1" applyBorder="1" applyAlignment="1">
      <alignment horizontal="left"/>
    </xf>
    <xf numFmtId="0" fontId="2" fillId="2" borderId="0" xfId="0" applyFont="1" applyFill="1" applyBorder="1" applyAlignment="1">
      <alignment horizontal="center"/>
    </xf>
    <xf numFmtId="0" fontId="2" fillId="2" borderId="6" xfId="0" applyFont="1" applyFill="1" applyBorder="1" applyAlignment="1">
      <alignment horizontal="center"/>
    </xf>
    <xf numFmtId="0" fontId="7" fillId="2" borderId="8" xfId="0" applyFont="1" applyFill="1" applyBorder="1" applyAlignment="1">
      <alignment horizontal="center"/>
    </xf>
    <xf numFmtId="0" fontId="2" fillId="2" borderId="11" xfId="0" applyFont="1" applyFill="1" applyBorder="1" applyAlignment="1">
      <alignment horizontal="center"/>
    </xf>
    <xf numFmtId="0" fontId="10" fillId="2" borderId="8" xfId="0" applyFont="1" applyFill="1" applyBorder="1" applyAlignment="1">
      <alignment horizontal="center"/>
    </xf>
    <xf numFmtId="0" fontId="2" fillId="3" borderId="15" xfId="0" applyFont="1" applyFill="1" applyBorder="1" applyAlignment="1">
      <alignment horizontal="left" vertical="center" wrapText="1"/>
    </xf>
    <xf numFmtId="0" fontId="2" fillId="3" borderId="15" xfId="0" applyFont="1" applyFill="1" applyBorder="1" applyAlignment="1">
      <alignment vertical="top" wrapText="1"/>
    </xf>
    <xf numFmtId="0" fontId="2" fillId="3" borderId="15" xfId="0" applyFont="1" applyFill="1" applyBorder="1" applyAlignment="1">
      <alignment vertical="top"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6" xfId="0" applyFont="1" applyFill="1" applyBorder="1" applyAlignment="1">
      <alignment vertical="top" wrapText="1"/>
    </xf>
    <xf numFmtId="0" fontId="2" fillId="3" borderId="17" xfId="0" applyFont="1" applyFill="1" applyBorder="1" applyAlignment="1">
      <alignment vertical="top" wrapText="1"/>
    </xf>
    <xf numFmtId="0" fontId="15" fillId="3" borderId="18" xfId="0" applyFont="1" applyFill="1" applyBorder="1" applyAlignment="1">
      <alignment vertical="top" wrapText="1"/>
    </xf>
    <xf numFmtId="0" fontId="2" fillId="3" borderId="19" xfId="0" applyFont="1" applyFill="1" applyBorder="1" applyAlignment="1">
      <alignment horizontal="left" vertical="center" wrapText="1"/>
    </xf>
    <xf numFmtId="0" fontId="2" fillId="3" borderId="18" xfId="0" applyFont="1" applyFill="1" applyBorder="1" applyAlignment="1">
      <alignment vertical="top" wrapText="1"/>
    </xf>
    <xf numFmtId="0" fontId="2" fillId="3" borderId="15" xfId="0" applyFont="1" applyFill="1" applyBorder="1" applyAlignment="1">
      <alignment horizontal="left" vertical="center"/>
    </xf>
    <xf numFmtId="0" fontId="2" fillId="3" borderId="15" xfId="0" applyFont="1" applyFill="1" applyBorder="1" applyAlignment="1">
      <alignment horizontal="left" vertical="center" wrapText="1"/>
    </xf>
    <xf numFmtId="0" fontId="2" fillId="3" borderId="15" xfId="0" applyFont="1" applyFill="1" applyBorder="1" applyAlignment="1">
      <alignment horizontal="left" vertical="center"/>
    </xf>
    <xf numFmtId="0" fontId="2" fillId="3" borderId="0" xfId="0" applyNumberFormat="1" applyFont="1" applyFill="1" applyBorder="1" applyAlignment="1">
      <alignment vertical="top" wrapText="1"/>
    </xf>
    <xf numFmtId="0" fontId="2" fillId="3" borderId="18" xfId="0" applyNumberFormat="1" applyFont="1" applyFill="1" applyBorder="1" applyAlignment="1">
      <alignment vertical="top" wrapText="1"/>
    </xf>
    <xf numFmtId="0" fontId="7" fillId="2" borderId="11" xfId="0" applyFont="1" applyFill="1" applyBorder="1" applyAlignment="1">
      <alignment horizontal="center"/>
    </xf>
    <xf numFmtId="3" fontId="2" fillId="4" borderId="1" xfId="0" applyNumberFormat="1" applyFont="1" applyFill="1" applyBorder="1" applyAlignment="1" applyProtection="1">
      <alignment/>
      <protection locked="0"/>
    </xf>
    <xf numFmtId="168" fontId="2" fillId="4" borderId="1" xfId="22" applyNumberFormat="1" applyFont="1" applyFill="1" applyBorder="1" applyAlignment="1" applyProtection="1">
      <alignment/>
      <protection locked="0"/>
    </xf>
    <xf numFmtId="169" fontId="2" fillId="4" borderId="1" xfId="0" applyNumberFormat="1" applyFont="1" applyFill="1" applyBorder="1" applyAlignment="1" applyProtection="1">
      <alignment/>
      <protection locked="0"/>
    </xf>
    <xf numFmtId="9" fontId="2" fillId="4" borderId="1" xfId="0" applyNumberFormat="1" applyFont="1" applyFill="1" applyBorder="1" applyAlignment="1" applyProtection="1">
      <alignment/>
      <protection locked="0"/>
    </xf>
    <xf numFmtId="165" fontId="2" fillId="4" borderId="1" xfId="17" applyNumberFormat="1" applyFont="1" applyFill="1" applyBorder="1" applyAlignment="1" applyProtection="1">
      <alignment/>
      <protection locked="0"/>
    </xf>
    <xf numFmtId="0" fontId="2" fillId="4" borderId="1" xfId="0" applyFont="1" applyFill="1" applyBorder="1" applyAlignment="1" applyProtection="1">
      <alignment/>
      <protection locked="0"/>
    </xf>
    <xf numFmtId="49" fontId="2" fillId="4" borderId="1" xfId="0" applyNumberFormat="1" applyFont="1" applyFill="1" applyBorder="1" applyAlignment="1" applyProtection="1">
      <alignment/>
      <protection locked="0"/>
    </xf>
    <xf numFmtId="0" fontId="7" fillId="2" borderId="0" xfId="0" applyFont="1" applyFill="1" applyAlignment="1">
      <alignment/>
    </xf>
    <xf numFmtId="0" fontId="7" fillId="2" borderId="0" xfId="0" applyFont="1" applyFill="1" applyAlignment="1">
      <alignment horizontal="center"/>
    </xf>
    <xf numFmtId="49" fontId="2" fillId="4" borderId="20" xfId="0" applyNumberFormat="1" applyFont="1" applyFill="1" applyBorder="1" applyAlignment="1" applyProtection="1">
      <alignment/>
      <protection locked="0"/>
    </xf>
    <xf numFmtId="0" fontId="2" fillId="4" borderId="1" xfId="0" applyFont="1" applyFill="1" applyBorder="1" applyAlignment="1" applyProtection="1">
      <alignment/>
      <protection locked="0"/>
    </xf>
    <xf numFmtId="9" fontId="2" fillId="4" borderId="1" xfId="22" applyFont="1" applyFill="1" applyBorder="1" applyAlignment="1" applyProtection="1">
      <alignment/>
      <protection locked="0"/>
    </xf>
    <xf numFmtId="1" fontId="2" fillId="4" borderId="21" xfId="0" applyNumberFormat="1" applyFont="1" applyFill="1" applyBorder="1" applyAlignment="1" applyProtection="1">
      <alignment/>
      <protection locked="0"/>
    </xf>
    <xf numFmtId="165" fontId="2" fillId="4" borderId="21" xfId="17" applyNumberFormat="1" applyFont="1" applyFill="1" applyBorder="1" applyAlignment="1" applyProtection="1">
      <alignment/>
      <protection locked="0"/>
    </xf>
    <xf numFmtId="0" fontId="2" fillId="4" borderId="21" xfId="0" applyFont="1" applyFill="1" applyBorder="1" applyAlignment="1" applyProtection="1">
      <alignment/>
      <protection locked="0"/>
    </xf>
    <xf numFmtId="3" fontId="2" fillId="4" borderId="21" xfId="0" applyNumberFormat="1" applyFont="1" applyFill="1" applyBorder="1" applyAlignment="1" applyProtection="1">
      <alignment/>
      <protection locked="0"/>
    </xf>
    <xf numFmtId="10" fontId="2" fillId="4" borderId="21" xfId="0" applyNumberFormat="1" applyFont="1" applyFill="1" applyBorder="1" applyAlignment="1" applyProtection="1">
      <alignment/>
      <protection locked="0"/>
    </xf>
    <xf numFmtId="0" fontId="11" fillId="2" borderId="0" xfId="0" applyFont="1" applyFill="1" applyBorder="1" applyAlignment="1">
      <alignment/>
    </xf>
    <xf numFmtId="165" fontId="2" fillId="4" borderId="22" xfId="17" applyNumberFormat="1" applyFont="1" applyFill="1" applyBorder="1" applyAlignment="1" applyProtection="1">
      <alignment/>
      <protection locked="0"/>
    </xf>
    <xf numFmtId="165" fontId="2" fillId="2" borderId="21" xfId="17" applyNumberFormat="1" applyFont="1" applyFill="1" applyBorder="1" applyAlignment="1">
      <alignment/>
    </xf>
    <xf numFmtId="165" fontId="11" fillId="2" borderId="21" xfId="17" applyNumberFormat="1" applyFont="1" applyFill="1" applyBorder="1" applyAlignment="1">
      <alignment/>
    </xf>
    <xf numFmtId="165" fontId="11" fillId="5" borderId="21" xfId="17" applyNumberFormat="1" applyFont="1" applyFill="1" applyBorder="1" applyAlignment="1">
      <alignment/>
    </xf>
    <xf numFmtId="165" fontId="2" fillId="5" borderId="21" xfId="17" applyNumberFormat="1" applyFont="1" applyFill="1" applyBorder="1" applyAlignment="1">
      <alignment/>
    </xf>
    <xf numFmtId="167" fontId="2" fillId="2" borderId="0" xfId="15" applyNumberFormat="1" applyFont="1" applyFill="1" applyAlignment="1">
      <alignment/>
    </xf>
    <xf numFmtId="167" fontId="2" fillId="2" borderId="0" xfId="0" applyNumberFormat="1" applyFont="1" applyFill="1" applyAlignment="1">
      <alignment/>
    </xf>
    <xf numFmtId="166" fontId="2" fillId="2" borderId="0" xfId="15" applyNumberFormat="1" applyFont="1" applyFill="1" applyBorder="1" applyAlignment="1">
      <alignment/>
    </xf>
    <xf numFmtId="0" fontId="2" fillId="6" borderId="21" xfId="0" applyFont="1" applyFill="1" applyBorder="1" applyAlignment="1" applyProtection="1">
      <alignment/>
      <protection/>
    </xf>
    <xf numFmtId="165" fontId="2" fillId="6" borderId="21" xfId="17" applyNumberFormat="1" applyFont="1" applyFill="1" applyBorder="1" applyAlignment="1" applyProtection="1">
      <alignment/>
      <protection/>
    </xf>
    <xf numFmtId="1" fontId="2" fillId="6" borderId="21" xfId="0" applyNumberFormat="1" applyFont="1" applyFill="1" applyBorder="1" applyAlignment="1" applyProtection="1">
      <alignment/>
      <protection/>
    </xf>
    <xf numFmtId="0" fontId="0" fillId="2" borderId="0" xfId="0" applyFill="1" applyAlignment="1">
      <alignment horizontal="center"/>
    </xf>
    <xf numFmtId="2" fontId="2" fillId="2" borderId="0" xfId="15" applyNumberFormat="1" applyFont="1" applyFill="1" applyBorder="1" applyAlignment="1">
      <alignment/>
    </xf>
    <xf numFmtId="164" fontId="2" fillId="2" borderId="0" xfId="17" applyNumberFormat="1" applyFont="1" applyFill="1" applyBorder="1" applyAlignment="1">
      <alignment/>
    </xf>
    <xf numFmtId="0" fontId="17" fillId="2" borderId="0" xfId="0" applyFont="1" applyFill="1" applyAlignment="1">
      <alignment/>
    </xf>
    <xf numFmtId="0" fontId="17" fillId="2" borderId="0" xfId="21" applyFont="1" applyFill="1" applyBorder="1">
      <alignment/>
      <protection/>
    </xf>
    <xf numFmtId="1" fontId="17" fillId="2" borderId="0" xfId="21" applyNumberFormat="1" applyFont="1" applyFill="1" applyBorder="1" applyAlignment="1">
      <alignment horizontal="center"/>
      <protection/>
    </xf>
    <xf numFmtId="0" fontId="17" fillId="2" borderId="0" xfId="0" applyFont="1" applyFill="1" applyAlignment="1">
      <alignment horizontal="center"/>
    </xf>
    <xf numFmtId="169" fontId="2" fillId="4" borderId="21" xfId="0" applyNumberFormat="1" applyFont="1" applyFill="1" applyBorder="1" applyAlignment="1" applyProtection="1">
      <alignment/>
      <protection locked="0"/>
    </xf>
    <xf numFmtId="1" fontId="2" fillId="5" borderId="21" xfId="0" applyNumberFormat="1" applyFont="1" applyFill="1" applyBorder="1" applyAlignment="1" applyProtection="1">
      <alignment/>
      <protection locked="0"/>
    </xf>
    <xf numFmtId="165" fontId="2" fillId="5" borderId="21" xfId="17" applyNumberFormat="1" applyFont="1" applyFill="1" applyBorder="1" applyAlignment="1" applyProtection="1">
      <alignment/>
      <protection locked="0"/>
    </xf>
    <xf numFmtId="3" fontId="2" fillId="5" borderId="21" xfId="0" applyNumberFormat="1" applyFont="1" applyFill="1" applyBorder="1" applyAlignment="1" applyProtection="1">
      <alignment/>
      <protection locked="0"/>
    </xf>
    <xf numFmtId="10" fontId="2" fillId="5" borderId="21" xfId="0" applyNumberFormat="1" applyFont="1" applyFill="1" applyBorder="1" applyAlignment="1" applyProtection="1">
      <alignment/>
      <protection locked="0"/>
    </xf>
    <xf numFmtId="0" fontId="2" fillId="5" borderId="21" xfId="0" applyFont="1" applyFill="1" applyBorder="1" applyAlignment="1" applyProtection="1">
      <alignment/>
      <protection locked="0"/>
    </xf>
    <xf numFmtId="3" fontId="2" fillId="6" borderId="21" xfId="0" applyNumberFormat="1" applyFont="1" applyFill="1" applyBorder="1" applyAlignment="1" applyProtection="1">
      <alignment/>
      <protection/>
    </xf>
    <xf numFmtId="10" fontId="2" fillId="6" borderId="21" xfId="0" applyNumberFormat="1" applyFont="1" applyFill="1" applyBorder="1" applyAlignment="1" applyProtection="1">
      <alignment/>
      <protection/>
    </xf>
    <xf numFmtId="165" fontId="0" fillId="7" borderId="21" xfId="17" applyNumberFormat="1" applyFill="1" applyBorder="1" applyAlignment="1">
      <alignment/>
    </xf>
    <xf numFmtId="165" fontId="2" fillId="7" borderId="21" xfId="17" applyNumberFormat="1" applyFont="1" applyFill="1" applyBorder="1" applyAlignment="1">
      <alignment/>
    </xf>
    <xf numFmtId="165" fontId="11" fillId="7" borderId="21" xfId="17" applyNumberFormat="1" applyFont="1" applyFill="1" applyBorder="1" applyAlignment="1">
      <alignment/>
    </xf>
    <xf numFmtId="165" fontId="11" fillId="6" borderId="21" xfId="17" applyNumberFormat="1" applyFont="1" applyFill="1" applyBorder="1" applyAlignment="1" applyProtection="1">
      <alignment/>
      <protection/>
    </xf>
    <xf numFmtId="169" fontId="2" fillId="6" borderId="21" xfId="0" applyNumberFormat="1" applyFont="1" applyFill="1" applyBorder="1" applyAlignment="1" applyProtection="1">
      <alignment/>
      <protection/>
    </xf>
    <xf numFmtId="165" fontId="11" fillId="4" borderId="21" xfId="17" applyNumberFormat="1" applyFont="1" applyFill="1" applyBorder="1" applyAlignment="1" applyProtection="1">
      <alignment/>
      <protection locked="0"/>
    </xf>
    <xf numFmtId="0" fontId="18" fillId="2" borderId="0" xfId="0" applyFont="1" applyFill="1" applyBorder="1" applyAlignment="1">
      <alignment/>
    </xf>
    <xf numFmtId="0" fontId="11" fillId="2" borderId="0" xfId="0" applyNumberFormat="1" applyFont="1" applyFill="1" applyAlignment="1">
      <alignment/>
    </xf>
    <xf numFmtId="0" fontId="2" fillId="2" borderId="0" xfId="0" applyFont="1" applyFill="1" applyBorder="1" applyAlignment="1">
      <alignment horizontal="left" wrapText="1"/>
    </xf>
    <xf numFmtId="0" fontId="2" fillId="2" borderId="0" xfId="0" applyFont="1" applyFill="1" applyBorder="1" applyAlignment="1">
      <alignment wrapText="1"/>
    </xf>
    <xf numFmtId="0" fontId="5" fillId="2" borderId="0" xfId="0" applyFont="1" applyFill="1" applyBorder="1" applyAlignment="1">
      <alignment horizontal="center"/>
    </xf>
    <xf numFmtId="0" fontId="5" fillId="2" borderId="0" xfId="0" applyFont="1" applyFill="1" applyBorder="1" applyAlignment="1">
      <alignment horizont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2" fillId="3" borderId="16" xfId="0" applyFont="1" applyFill="1" applyBorder="1" applyAlignment="1">
      <alignment vertical="top" wrapText="1"/>
    </xf>
    <xf numFmtId="0" fontId="0" fillId="0" borderId="17" xfId="0" applyBorder="1" applyAlignment="1">
      <alignment vertical="top" wrapText="1"/>
    </xf>
    <xf numFmtId="0" fontId="2"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7" xfId="0" applyFont="1" applyFill="1" applyBorder="1" applyAlignment="1">
      <alignment vertical="top"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Summary chart</a:t>
            </a:r>
          </a:p>
        </c:rich>
      </c:tx>
      <c:layout/>
      <c:spPr>
        <a:noFill/>
        <a:ln>
          <a:noFill/>
        </a:ln>
      </c:spPr>
    </c:title>
    <c:plotArea>
      <c:layout>
        <c:manualLayout>
          <c:xMode val="edge"/>
          <c:yMode val="edge"/>
          <c:x val="0.05725"/>
          <c:y val="0.18925"/>
          <c:w val="0.5945"/>
          <c:h val="0.735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FF9900"/>
              </a:solidFill>
            </c:spPr>
          </c:dPt>
          <c:dPt>
            <c:idx val="4"/>
            <c:spPr>
              <a:solidFill>
                <a:srgbClr val="33CCCC"/>
              </a:solidFill>
            </c:spPr>
          </c:dPt>
          <c:dLbls>
            <c:numFmt formatCode="General" sourceLinked="1"/>
            <c:showLegendKey val="0"/>
            <c:showVal val="0"/>
            <c:showBubbleSize val="0"/>
            <c:showCatName val="0"/>
            <c:showSerName val="0"/>
            <c:showLeaderLines val="1"/>
            <c:showPercent val="1"/>
          </c:dLbls>
          <c:cat>
            <c:strRef>
              <c:f>'1b. Summary of costs'!$C$28:$C$32</c:f>
              <c:strCache/>
            </c:strRef>
          </c:cat>
          <c:val>
            <c:numRef>
              <c:f>'1b. Summary of costs'!$D$28:$D$32</c:f>
              <c:numCache>
                <c:ptCount val="5"/>
                <c:pt idx="0">
                  <c:v>0</c:v>
                </c:pt>
                <c:pt idx="1">
                  <c:v>0</c:v>
                </c:pt>
                <c:pt idx="2">
                  <c:v>0</c:v>
                </c:pt>
                <c:pt idx="3">
                  <c:v>0</c:v>
                </c:pt>
                <c:pt idx="4">
                  <c:v>0</c:v>
                </c:pt>
              </c:numCache>
            </c:numRef>
          </c:val>
        </c:ser>
        <c:holeSize val="50"/>
      </c:doughnutChart>
      <c:spPr>
        <a:noFill/>
        <a:ln>
          <a:noFill/>
        </a:ln>
      </c:spPr>
    </c:plotArea>
    <c:legend>
      <c:legendPos val="r"/>
      <c:layout>
        <c:manualLayout>
          <c:xMode val="edge"/>
          <c:yMode val="edge"/>
          <c:x val="0.5945"/>
          <c:y val="0.28525"/>
          <c:w val="0.40125"/>
          <c:h val="0.541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Summary chart</a:t>
            </a:r>
          </a:p>
        </c:rich>
      </c:tx>
      <c:layout/>
      <c:spPr>
        <a:noFill/>
        <a:ln>
          <a:noFill/>
        </a:ln>
      </c:spPr>
    </c:title>
    <c:plotArea>
      <c:layout>
        <c:manualLayout>
          <c:xMode val="edge"/>
          <c:yMode val="edge"/>
          <c:x val="0.0545"/>
          <c:y val="0.19"/>
          <c:w val="0.5995"/>
          <c:h val="0.734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FF9900"/>
              </a:solidFill>
            </c:spPr>
          </c:dPt>
          <c:dPt>
            <c:idx val="4"/>
            <c:spPr>
              <a:solidFill>
                <a:srgbClr val="33CCCC"/>
              </a:solidFill>
            </c:spPr>
          </c:dPt>
          <c:dLbls>
            <c:numFmt formatCode="General" sourceLinked="1"/>
            <c:showLegendKey val="0"/>
            <c:showVal val="0"/>
            <c:showBubbleSize val="0"/>
            <c:showCatName val="0"/>
            <c:showSerName val="0"/>
            <c:showLeaderLines val="1"/>
            <c:showPercent val="1"/>
          </c:dLbls>
          <c:cat>
            <c:strRef>
              <c:f>'1c. Example of costs'!$D$96:$D$100</c:f>
              <c:strCache/>
            </c:strRef>
          </c:cat>
          <c:val>
            <c:numRef>
              <c:f>'1c. Example of costs'!$E$96:$E$100</c:f>
              <c:numCache>
                <c:ptCount val="5"/>
                <c:pt idx="0">
                  <c:v>0</c:v>
                </c:pt>
                <c:pt idx="1">
                  <c:v>0</c:v>
                </c:pt>
                <c:pt idx="2">
                  <c:v>0</c:v>
                </c:pt>
                <c:pt idx="3">
                  <c:v>0</c:v>
                </c:pt>
                <c:pt idx="4">
                  <c:v>0</c:v>
                </c:pt>
              </c:numCache>
            </c:numRef>
          </c:val>
        </c:ser>
        <c:holeSize val="50"/>
      </c:doughnutChart>
      <c:spPr>
        <a:noFill/>
        <a:ln>
          <a:noFill/>
        </a:ln>
      </c:spPr>
    </c:plotArea>
    <c:legend>
      <c:legendPos val="r"/>
      <c:layout>
        <c:manualLayout>
          <c:xMode val="edge"/>
          <c:yMode val="edge"/>
          <c:x val="0.605"/>
          <c:y val="0.27725"/>
          <c:w val="0.346"/>
          <c:h val="0.5617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Summary business case</a:t>
            </a:r>
          </a:p>
        </c:rich>
      </c:tx>
      <c:layout/>
      <c:spPr>
        <a:noFill/>
        <a:ln>
          <a:noFill/>
        </a:ln>
      </c:spPr>
    </c:title>
    <c:plotArea>
      <c:layout>
        <c:manualLayout>
          <c:xMode val="edge"/>
          <c:yMode val="edge"/>
          <c:x val="0.01375"/>
          <c:y val="0.14075"/>
          <c:w val="0.76675"/>
          <c:h val="0.83325"/>
        </c:manualLayout>
      </c:layout>
      <c:barChart>
        <c:barDir val="col"/>
        <c:grouping val="clustered"/>
        <c:varyColors val="0"/>
        <c:ser>
          <c:idx val="0"/>
          <c:order val="0"/>
          <c:tx>
            <c:v>Benefits</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'2b. Business case summary'!$E$45:$O$45</c:f>
              <c:numCache>
                <c:ptCount val="11"/>
                <c:pt idx="0">
                  <c:v>0</c:v>
                </c:pt>
                <c:pt idx="1">
                  <c:v>0</c:v>
                </c:pt>
                <c:pt idx="2">
                  <c:v>0</c:v>
                </c:pt>
                <c:pt idx="3">
                  <c:v>0</c:v>
                </c:pt>
                <c:pt idx="4">
                  <c:v>0</c:v>
                </c:pt>
                <c:pt idx="5">
                  <c:v>0</c:v>
                </c:pt>
                <c:pt idx="6">
                  <c:v>0</c:v>
                </c:pt>
                <c:pt idx="7">
                  <c:v>0</c:v>
                </c:pt>
                <c:pt idx="8">
                  <c:v>0</c:v>
                </c:pt>
                <c:pt idx="9">
                  <c:v>0</c:v>
                </c:pt>
                <c:pt idx="10">
                  <c:v>0</c:v>
                </c:pt>
              </c:numCache>
            </c:numRef>
          </c:cat>
          <c:val>
            <c:numRef>
              <c:f>'2b. Business case summary'!$E$52:$O$52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Costs</c:v>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'2b. Business case summary'!$E$45:$O$45</c:f>
              <c:numCache>
                <c:ptCount val="11"/>
                <c:pt idx="0">
                  <c:v>0</c:v>
                </c:pt>
                <c:pt idx="1">
                  <c:v>0</c:v>
                </c:pt>
                <c:pt idx="2">
                  <c:v>0</c:v>
                </c:pt>
                <c:pt idx="3">
                  <c:v>0</c:v>
                </c:pt>
                <c:pt idx="4">
                  <c:v>0</c:v>
                </c:pt>
                <c:pt idx="5">
                  <c:v>0</c:v>
                </c:pt>
                <c:pt idx="6">
                  <c:v>0</c:v>
                </c:pt>
                <c:pt idx="7">
                  <c:v>0</c:v>
                </c:pt>
                <c:pt idx="8">
                  <c:v>0</c:v>
                </c:pt>
                <c:pt idx="9">
                  <c:v>0</c:v>
                </c:pt>
                <c:pt idx="10">
                  <c:v>0</c:v>
                </c:pt>
              </c:numCache>
            </c:numRef>
          </c:cat>
          <c:val>
            <c:numRef>
              <c:f>'2b. Business case summary'!$E$60:$O$60</c:f>
              <c:numCache>
                <c:ptCount val="11"/>
                <c:pt idx="0">
                  <c:v>0</c:v>
                </c:pt>
                <c:pt idx="1">
                  <c:v>0</c:v>
                </c:pt>
                <c:pt idx="2">
                  <c:v>0</c:v>
                </c:pt>
                <c:pt idx="3">
                  <c:v>0</c:v>
                </c:pt>
                <c:pt idx="4">
                  <c:v>0</c:v>
                </c:pt>
                <c:pt idx="5">
                  <c:v>0</c:v>
                </c:pt>
                <c:pt idx="6">
                  <c:v>0</c:v>
                </c:pt>
                <c:pt idx="7">
                  <c:v>0</c:v>
                </c:pt>
                <c:pt idx="8">
                  <c:v>0</c:v>
                </c:pt>
                <c:pt idx="9">
                  <c:v>0</c:v>
                </c:pt>
                <c:pt idx="10">
                  <c:v>0</c:v>
                </c:pt>
              </c:numCache>
            </c:numRef>
          </c:val>
        </c:ser>
        <c:gapWidth val="0"/>
        <c:axId val="14261904"/>
        <c:axId val="37805905"/>
      </c:barChart>
      <c:lineChart>
        <c:grouping val="standard"/>
        <c:varyColors val="0"/>
        <c:ser>
          <c:idx val="2"/>
          <c:order val="2"/>
          <c:tx>
            <c:strRef>
              <c:f>'2b. Business case summary'!$C$64</c:f>
              <c:strCache>
                <c:ptCount val="1"/>
                <c:pt idx="0">
                  <c:v>Net benefits (Benefits minus costs)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'2b. Business case summary'!$E$45:$O$45</c:f>
              <c:numCache>
                <c:ptCount val="11"/>
                <c:pt idx="0">
                  <c:v>0</c:v>
                </c:pt>
                <c:pt idx="1">
                  <c:v>0</c:v>
                </c:pt>
                <c:pt idx="2">
                  <c:v>0</c:v>
                </c:pt>
                <c:pt idx="3">
                  <c:v>0</c:v>
                </c:pt>
                <c:pt idx="4">
                  <c:v>0</c:v>
                </c:pt>
                <c:pt idx="5">
                  <c:v>0</c:v>
                </c:pt>
                <c:pt idx="6">
                  <c:v>0</c:v>
                </c:pt>
                <c:pt idx="7">
                  <c:v>0</c:v>
                </c:pt>
                <c:pt idx="8">
                  <c:v>0</c:v>
                </c:pt>
                <c:pt idx="9">
                  <c:v>0</c:v>
                </c:pt>
                <c:pt idx="10">
                  <c:v>0</c:v>
                </c:pt>
              </c:numCache>
            </c:numRef>
          </c:cat>
          <c:val>
            <c:numRef>
              <c:f>'2b. Business case summary'!$E$64:$O$64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4261904"/>
        <c:axId val="37805905"/>
      </c:lineChart>
      <c:catAx>
        <c:axId val="14261904"/>
        <c:scaling>
          <c:orientation val="minMax"/>
        </c:scaling>
        <c:axPos val="b"/>
        <c:delete val="0"/>
        <c:numFmt formatCode="General" sourceLinked="1"/>
        <c:majorTickMark val="out"/>
        <c:minorTickMark val="none"/>
        <c:tickLblPos val="nextTo"/>
        <c:crossAx val="37805905"/>
        <c:crosses val="autoZero"/>
        <c:auto val="1"/>
        <c:lblOffset val="100"/>
        <c:noMultiLvlLbl val="0"/>
      </c:catAx>
      <c:valAx>
        <c:axId val="37805905"/>
        <c:scaling>
          <c:orientation val="minMax"/>
        </c:scaling>
        <c:axPos val="l"/>
        <c:majorGridlines>
          <c:spPr>
            <a:ln w="3175">
              <a:solidFill>
                <a:srgbClr val="808080"/>
              </a:solidFill>
              <a:prstDash val="sysDot"/>
            </a:ln>
          </c:spPr>
        </c:majorGridlines>
        <c:delete val="0"/>
        <c:numFmt formatCode="&quot;£&quot;#,##0" sourceLinked="0"/>
        <c:majorTickMark val="out"/>
        <c:minorTickMark val="none"/>
        <c:tickLblPos val="nextTo"/>
        <c:crossAx val="14261904"/>
        <c:crossesAt val="1"/>
        <c:crossBetween val="midCat"/>
        <c:dispUnits/>
      </c:valAx>
      <c:spPr>
        <a:noFill/>
        <a:ln>
          <a:noFill/>
        </a:ln>
      </c:spPr>
    </c:plotArea>
    <c:legend>
      <c:legendPos val="r"/>
      <c:layout>
        <c:manualLayout>
          <c:xMode val="edge"/>
          <c:yMode val="edge"/>
          <c:x val="0.8115"/>
          <c:y val="0.21025"/>
          <c:w val="0.18425"/>
          <c:h val="0.4762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Summary business case</a:t>
            </a:r>
          </a:p>
        </c:rich>
      </c:tx>
      <c:layout/>
      <c:spPr>
        <a:noFill/>
        <a:ln>
          <a:noFill/>
        </a:ln>
      </c:spPr>
    </c:title>
    <c:plotArea>
      <c:layout>
        <c:manualLayout>
          <c:xMode val="edge"/>
          <c:yMode val="edge"/>
          <c:x val="0.013"/>
          <c:y val="0.1405"/>
          <c:w val="0.77925"/>
          <c:h val="0.834"/>
        </c:manualLayout>
      </c:layout>
      <c:barChart>
        <c:barDir val="col"/>
        <c:grouping val="clustered"/>
        <c:varyColors val="0"/>
        <c:ser>
          <c:idx val="0"/>
          <c:order val="0"/>
          <c:tx>
            <c:v>Benefits</c:v>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'2c. Example of business case'!$E$93:$O$93</c:f>
              <c:numCache>
                <c:ptCount val="11"/>
                <c:pt idx="0">
                  <c:v>0</c:v>
                </c:pt>
                <c:pt idx="1">
                  <c:v>0</c:v>
                </c:pt>
                <c:pt idx="2">
                  <c:v>0</c:v>
                </c:pt>
                <c:pt idx="3">
                  <c:v>0</c:v>
                </c:pt>
                <c:pt idx="4">
                  <c:v>0</c:v>
                </c:pt>
                <c:pt idx="5">
                  <c:v>0</c:v>
                </c:pt>
                <c:pt idx="6">
                  <c:v>0</c:v>
                </c:pt>
                <c:pt idx="7">
                  <c:v>0</c:v>
                </c:pt>
                <c:pt idx="8">
                  <c:v>0</c:v>
                </c:pt>
                <c:pt idx="9">
                  <c:v>0</c:v>
                </c:pt>
                <c:pt idx="10">
                  <c:v>0</c:v>
                </c:pt>
              </c:numCache>
            </c:numRef>
          </c:cat>
          <c:val>
            <c:numRef>
              <c:f>'2c. Example of business case'!$E$100:$O$100</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Costs</c:v>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'2c. Example of business case'!$E$93:$O$93</c:f>
              <c:numCache>
                <c:ptCount val="11"/>
                <c:pt idx="0">
                  <c:v>0</c:v>
                </c:pt>
                <c:pt idx="1">
                  <c:v>0</c:v>
                </c:pt>
                <c:pt idx="2">
                  <c:v>0</c:v>
                </c:pt>
                <c:pt idx="3">
                  <c:v>0</c:v>
                </c:pt>
                <c:pt idx="4">
                  <c:v>0</c:v>
                </c:pt>
                <c:pt idx="5">
                  <c:v>0</c:v>
                </c:pt>
                <c:pt idx="6">
                  <c:v>0</c:v>
                </c:pt>
                <c:pt idx="7">
                  <c:v>0</c:v>
                </c:pt>
                <c:pt idx="8">
                  <c:v>0</c:v>
                </c:pt>
                <c:pt idx="9">
                  <c:v>0</c:v>
                </c:pt>
                <c:pt idx="10">
                  <c:v>0</c:v>
                </c:pt>
              </c:numCache>
            </c:numRef>
          </c:cat>
          <c:val>
            <c:numRef>
              <c:f>'2c. Example of business case'!$E$108:$O$108</c:f>
              <c:numCache>
                <c:ptCount val="11"/>
                <c:pt idx="0">
                  <c:v>0</c:v>
                </c:pt>
                <c:pt idx="1">
                  <c:v>0</c:v>
                </c:pt>
                <c:pt idx="2">
                  <c:v>0</c:v>
                </c:pt>
                <c:pt idx="3">
                  <c:v>0</c:v>
                </c:pt>
                <c:pt idx="4">
                  <c:v>0</c:v>
                </c:pt>
                <c:pt idx="5">
                  <c:v>0</c:v>
                </c:pt>
                <c:pt idx="6">
                  <c:v>0</c:v>
                </c:pt>
                <c:pt idx="7">
                  <c:v>0</c:v>
                </c:pt>
                <c:pt idx="8">
                  <c:v>0</c:v>
                </c:pt>
                <c:pt idx="9">
                  <c:v>0</c:v>
                </c:pt>
                <c:pt idx="10">
                  <c:v>0</c:v>
                </c:pt>
              </c:numCache>
            </c:numRef>
          </c:val>
        </c:ser>
        <c:gapWidth val="0"/>
        <c:axId val="23544126"/>
        <c:axId val="52852711"/>
      </c:barChart>
      <c:lineChart>
        <c:grouping val="standard"/>
        <c:varyColors val="0"/>
        <c:ser>
          <c:idx val="2"/>
          <c:order val="2"/>
          <c:tx>
            <c:strRef>
              <c:f>'2b. Business case summary'!$C$64</c:f>
              <c:strCache>
                <c:ptCount val="1"/>
                <c:pt idx="0">
                  <c:v>Net benefits (Benefits minus costs)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'2c. Example of business case'!$E$93:$O$93</c:f>
              <c:numCache>
                <c:ptCount val="11"/>
                <c:pt idx="0">
                  <c:v>0</c:v>
                </c:pt>
                <c:pt idx="1">
                  <c:v>0</c:v>
                </c:pt>
                <c:pt idx="2">
                  <c:v>0</c:v>
                </c:pt>
                <c:pt idx="3">
                  <c:v>0</c:v>
                </c:pt>
                <c:pt idx="4">
                  <c:v>0</c:v>
                </c:pt>
                <c:pt idx="5">
                  <c:v>0</c:v>
                </c:pt>
                <c:pt idx="6">
                  <c:v>0</c:v>
                </c:pt>
                <c:pt idx="7">
                  <c:v>0</c:v>
                </c:pt>
                <c:pt idx="8">
                  <c:v>0</c:v>
                </c:pt>
                <c:pt idx="9">
                  <c:v>0</c:v>
                </c:pt>
                <c:pt idx="10">
                  <c:v>0</c:v>
                </c:pt>
              </c:numCache>
            </c:numRef>
          </c:cat>
          <c:val>
            <c:numRef>
              <c:f>'2c. Example of business case'!$E$112:$O$112</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3544126"/>
        <c:axId val="52852711"/>
      </c:lineChart>
      <c:catAx>
        <c:axId val="23544126"/>
        <c:scaling>
          <c:orientation val="minMax"/>
        </c:scaling>
        <c:axPos val="b"/>
        <c:delete val="0"/>
        <c:numFmt formatCode="General" sourceLinked="1"/>
        <c:majorTickMark val="out"/>
        <c:minorTickMark val="none"/>
        <c:tickLblPos val="nextTo"/>
        <c:crossAx val="52852711"/>
        <c:crosses val="autoZero"/>
        <c:auto val="1"/>
        <c:lblOffset val="100"/>
        <c:noMultiLvlLbl val="0"/>
      </c:catAx>
      <c:valAx>
        <c:axId val="52852711"/>
        <c:scaling>
          <c:orientation val="minMax"/>
        </c:scaling>
        <c:axPos val="l"/>
        <c:majorGridlines>
          <c:spPr>
            <a:ln w="3175">
              <a:solidFill>
                <a:srgbClr val="808080"/>
              </a:solidFill>
              <a:prstDash val="sysDot"/>
            </a:ln>
          </c:spPr>
        </c:majorGridlines>
        <c:delete val="0"/>
        <c:numFmt formatCode="&quot;£&quot;#,##0" sourceLinked="0"/>
        <c:majorTickMark val="out"/>
        <c:minorTickMark val="none"/>
        <c:tickLblPos val="nextTo"/>
        <c:crossAx val="23544126"/>
        <c:crossesAt val="1"/>
        <c:crossBetween val="midCat"/>
        <c:dispUnits/>
      </c:valAx>
      <c:spPr>
        <a:noFill/>
        <a:ln>
          <a:noFill/>
        </a:ln>
      </c:spPr>
    </c:plotArea>
    <c:legend>
      <c:legendPos val="r"/>
      <c:layout>
        <c:manualLayout>
          <c:xMode val="edge"/>
          <c:yMode val="edge"/>
          <c:x val="0.82025"/>
          <c:y val="0.23025"/>
          <c:w val="0.17375"/>
          <c:h val="0.4762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3.emf" /><Relationship Id="rId3"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9.emf" /><Relationship Id="rId3" Type="http://schemas.openxmlformats.org/officeDocument/2006/relationships/image" Target="../media/image14.emf" /><Relationship Id="rId4"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26</xdr:row>
      <xdr:rowOff>76200</xdr:rowOff>
    </xdr:from>
    <xdr:to>
      <xdr:col>4</xdr:col>
      <xdr:colOff>714375</xdr:colOff>
      <xdr:row>28</xdr:row>
      <xdr:rowOff>152400</xdr:rowOff>
    </xdr:to>
    <xdr:pic>
      <xdr:nvPicPr>
        <xdr:cNvPr id="1" name="cmd_mycosts"/>
        <xdr:cNvPicPr preferRelativeResize="1">
          <a:picLocks noChangeAspect="0"/>
        </xdr:cNvPicPr>
      </xdr:nvPicPr>
      <xdr:blipFill>
        <a:blip r:embed="rId1"/>
        <a:stretch>
          <a:fillRect/>
        </a:stretch>
      </xdr:blipFill>
      <xdr:spPr>
        <a:xfrm>
          <a:off x="1352550" y="5019675"/>
          <a:ext cx="2476500" cy="428625"/>
        </a:xfrm>
        <a:prstGeom prst="rect">
          <a:avLst/>
        </a:prstGeom>
        <a:solidFill>
          <a:srgbClr val="FFFFFF"/>
        </a:solidFill>
        <a:ln w="1" cmpd="sng">
          <a:noFill/>
        </a:ln>
      </xdr:spPr>
    </xdr:pic>
    <xdr:clientData/>
  </xdr:twoCellAnchor>
  <xdr:twoCellAnchor editAs="oneCell">
    <xdr:from>
      <xdr:col>4</xdr:col>
      <xdr:colOff>1933575</xdr:colOff>
      <xdr:row>26</xdr:row>
      <xdr:rowOff>76200</xdr:rowOff>
    </xdr:from>
    <xdr:to>
      <xdr:col>4</xdr:col>
      <xdr:colOff>4448175</xdr:colOff>
      <xdr:row>29</xdr:row>
      <xdr:rowOff>9525</xdr:rowOff>
    </xdr:to>
    <xdr:pic>
      <xdr:nvPicPr>
        <xdr:cNvPr id="2" name="cmd_whyinvest"/>
        <xdr:cNvPicPr preferRelativeResize="1">
          <a:picLocks noChangeAspect="1"/>
        </xdr:cNvPicPr>
      </xdr:nvPicPr>
      <xdr:blipFill>
        <a:blip r:embed="rId2"/>
        <a:stretch>
          <a:fillRect/>
        </a:stretch>
      </xdr:blipFill>
      <xdr:spPr>
        <a:xfrm>
          <a:off x="5048250" y="5019675"/>
          <a:ext cx="25146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20</xdr:row>
      <xdr:rowOff>57150</xdr:rowOff>
    </xdr:from>
    <xdr:to>
      <xdr:col>8</xdr:col>
      <xdr:colOff>180975</xdr:colOff>
      <xdr:row>29</xdr:row>
      <xdr:rowOff>142875</xdr:rowOff>
    </xdr:to>
    <xdr:sp>
      <xdr:nvSpPr>
        <xdr:cNvPr id="1" name="AutoShape 3"/>
        <xdr:cNvSpPr>
          <a:spLocks/>
        </xdr:cNvSpPr>
      </xdr:nvSpPr>
      <xdr:spPr>
        <a:xfrm>
          <a:off x="8410575" y="4114800"/>
          <a:ext cx="342900" cy="1924050"/>
        </a:xfrm>
        <a:prstGeom prst="downArrow">
          <a:avLst/>
        </a:prstGeom>
        <a:solidFill>
          <a:srgbClr val="33CCCC"/>
        </a:solidFill>
        <a:ln w="9525" cmpd="sng">
          <a:noFill/>
        </a:ln>
      </xdr:spPr>
      <xdr:txBody>
        <a:bodyPr vertOverflow="clip" wrap="square" anchor="ctr" vert="vert270"/>
        <a:p>
          <a:pPr algn="ctr">
            <a:defRPr/>
          </a:pPr>
          <a:r>
            <a:rPr lang="en-US" cap="none" sz="1000" b="1" i="0" u="none" baseline="0">
              <a:solidFill>
                <a:srgbClr val="FFFFFF"/>
              </a:solidFill>
              <a:latin typeface="Arial"/>
              <a:ea typeface="Arial"/>
              <a:cs typeface="Arial"/>
            </a:rPr>
            <a:t>Scroll down</a:t>
          </a:r>
        </a:p>
      </xdr:txBody>
    </xdr:sp>
    <xdr:clientData/>
  </xdr:twoCellAnchor>
  <xdr:twoCellAnchor editAs="oneCell">
    <xdr:from>
      <xdr:col>1</xdr:col>
      <xdr:colOff>28575</xdr:colOff>
      <xdr:row>81</xdr:row>
      <xdr:rowOff>47625</xdr:rowOff>
    </xdr:from>
    <xdr:to>
      <xdr:col>3</xdr:col>
      <xdr:colOff>1724025</xdr:colOff>
      <xdr:row>84</xdr:row>
      <xdr:rowOff>9525</xdr:rowOff>
    </xdr:to>
    <xdr:pic>
      <xdr:nvPicPr>
        <xdr:cNvPr id="2" name="cmd_costsummary"/>
        <xdr:cNvPicPr preferRelativeResize="1">
          <a:picLocks noChangeAspect="0"/>
        </xdr:cNvPicPr>
      </xdr:nvPicPr>
      <xdr:blipFill>
        <a:blip r:embed="rId1"/>
        <a:stretch>
          <a:fillRect/>
        </a:stretch>
      </xdr:blipFill>
      <xdr:spPr>
        <a:xfrm>
          <a:off x="285750" y="16430625"/>
          <a:ext cx="2286000" cy="504825"/>
        </a:xfrm>
        <a:prstGeom prst="rect">
          <a:avLst/>
        </a:prstGeom>
        <a:solidFill>
          <a:srgbClr val="FFFFFF"/>
        </a:solidFill>
        <a:ln w="1" cmpd="sng">
          <a:noFill/>
        </a:ln>
      </xdr:spPr>
    </xdr:pic>
    <xdr:clientData/>
  </xdr:twoCellAnchor>
  <xdr:twoCellAnchor editAs="oneCell">
    <xdr:from>
      <xdr:col>3</xdr:col>
      <xdr:colOff>2133600</xdr:colOff>
      <xdr:row>81</xdr:row>
      <xdr:rowOff>47625</xdr:rowOff>
    </xdr:from>
    <xdr:to>
      <xdr:col>3</xdr:col>
      <xdr:colOff>4429125</xdr:colOff>
      <xdr:row>84</xdr:row>
      <xdr:rowOff>9525</xdr:rowOff>
    </xdr:to>
    <xdr:pic>
      <xdr:nvPicPr>
        <xdr:cNvPr id="3" name="cmd_costexample"/>
        <xdr:cNvPicPr preferRelativeResize="1">
          <a:picLocks noChangeAspect="0"/>
        </xdr:cNvPicPr>
      </xdr:nvPicPr>
      <xdr:blipFill>
        <a:blip r:embed="rId2"/>
        <a:stretch>
          <a:fillRect/>
        </a:stretch>
      </xdr:blipFill>
      <xdr:spPr>
        <a:xfrm>
          <a:off x="2981325" y="16430625"/>
          <a:ext cx="2295525" cy="504825"/>
        </a:xfrm>
        <a:prstGeom prst="rect">
          <a:avLst/>
        </a:prstGeom>
        <a:solidFill>
          <a:srgbClr val="FFFFFF"/>
        </a:solidFill>
        <a:ln w="1" cmpd="sng">
          <a:noFill/>
        </a:ln>
      </xdr:spPr>
    </xdr:pic>
    <xdr:clientData/>
  </xdr:twoCellAnchor>
  <xdr:twoCellAnchor editAs="oneCell">
    <xdr:from>
      <xdr:col>4</xdr:col>
      <xdr:colOff>85725</xdr:colOff>
      <xdr:row>81</xdr:row>
      <xdr:rowOff>47625</xdr:rowOff>
    </xdr:from>
    <xdr:to>
      <xdr:col>7</xdr:col>
      <xdr:colOff>28575</xdr:colOff>
      <xdr:row>84</xdr:row>
      <xdr:rowOff>9525</xdr:rowOff>
    </xdr:to>
    <xdr:pic>
      <xdr:nvPicPr>
        <xdr:cNvPr id="4" name="cmd_1a_home"/>
        <xdr:cNvPicPr preferRelativeResize="1">
          <a:picLocks noChangeAspect="0"/>
        </xdr:cNvPicPr>
      </xdr:nvPicPr>
      <xdr:blipFill>
        <a:blip r:embed="rId3"/>
        <a:stretch>
          <a:fillRect/>
        </a:stretch>
      </xdr:blipFill>
      <xdr:spPr>
        <a:xfrm>
          <a:off x="5686425" y="16430625"/>
          <a:ext cx="2305050" cy="5048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104775</xdr:rowOff>
    </xdr:from>
    <xdr:to>
      <xdr:col>4</xdr:col>
      <xdr:colOff>590550</xdr:colOff>
      <xdr:row>23</xdr:row>
      <xdr:rowOff>161925</xdr:rowOff>
    </xdr:to>
    <xdr:graphicFrame>
      <xdr:nvGraphicFramePr>
        <xdr:cNvPr id="1" name="Chart 1"/>
        <xdr:cNvGraphicFramePr/>
      </xdr:nvGraphicFramePr>
      <xdr:xfrm>
        <a:off x="676275" y="800100"/>
        <a:ext cx="6581775" cy="3867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xdr:colOff>
      <xdr:row>37</xdr:row>
      <xdr:rowOff>85725</xdr:rowOff>
    </xdr:from>
    <xdr:to>
      <xdr:col>2</xdr:col>
      <xdr:colOff>1952625</xdr:colOff>
      <xdr:row>40</xdr:row>
      <xdr:rowOff>28575</xdr:rowOff>
    </xdr:to>
    <xdr:pic>
      <xdr:nvPicPr>
        <xdr:cNvPr id="2" name="cmd_1b_home"/>
        <xdr:cNvPicPr preferRelativeResize="1">
          <a:picLocks noChangeAspect="0"/>
        </xdr:cNvPicPr>
      </xdr:nvPicPr>
      <xdr:blipFill>
        <a:blip r:embed="rId2"/>
        <a:stretch>
          <a:fillRect/>
        </a:stretch>
      </xdr:blipFill>
      <xdr:spPr>
        <a:xfrm>
          <a:off x="314325" y="7258050"/>
          <a:ext cx="2305050" cy="495300"/>
        </a:xfrm>
        <a:prstGeom prst="rect">
          <a:avLst/>
        </a:prstGeom>
        <a:solidFill>
          <a:srgbClr val="FFFFFF"/>
        </a:solid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71</xdr:row>
      <xdr:rowOff>95250</xdr:rowOff>
    </xdr:from>
    <xdr:to>
      <xdr:col>5</xdr:col>
      <xdr:colOff>762000</xdr:colOff>
      <xdr:row>91</xdr:row>
      <xdr:rowOff>9525</xdr:rowOff>
    </xdr:to>
    <xdr:graphicFrame>
      <xdr:nvGraphicFramePr>
        <xdr:cNvPr id="1" name="Chart 2"/>
        <xdr:cNvGraphicFramePr/>
      </xdr:nvGraphicFramePr>
      <xdr:xfrm>
        <a:off x="1123950" y="14173200"/>
        <a:ext cx="7600950" cy="37242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57150</xdr:colOff>
      <xdr:row>105</xdr:row>
      <xdr:rowOff>104775</xdr:rowOff>
    </xdr:from>
    <xdr:to>
      <xdr:col>3</xdr:col>
      <xdr:colOff>1771650</xdr:colOff>
      <xdr:row>108</xdr:row>
      <xdr:rowOff>66675</xdr:rowOff>
    </xdr:to>
    <xdr:pic>
      <xdr:nvPicPr>
        <xdr:cNvPr id="2" name="cmd_1c_home"/>
        <xdr:cNvPicPr preferRelativeResize="1">
          <a:picLocks noChangeAspect="0"/>
        </xdr:cNvPicPr>
      </xdr:nvPicPr>
      <xdr:blipFill>
        <a:blip r:embed="rId2"/>
        <a:stretch>
          <a:fillRect/>
        </a:stretch>
      </xdr:blipFill>
      <xdr:spPr>
        <a:xfrm>
          <a:off x="314325" y="20659725"/>
          <a:ext cx="2305050" cy="504825"/>
        </a:xfrm>
        <a:prstGeom prst="rect">
          <a:avLst/>
        </a:prstGeom>
        <a:solidFill>
          <a:srgbClr val="FFFFFF"/>
        </a:solidFill>
        <a:ln w="1" cmpd="sng">
          <a:noFill/>
        </a:ln>
      </xdr:spPr>
    </xdr:pic>
    <xdr:clientData/>
  </xdr:twoCellAnchor>
  <xdr:twoCellAnchor>
    <xdr:from>
      <xdr:col>7</xdr:col>
      <xdr:colOff>390525</xdr:colOff>
      <xdr:row>3</xdr:row>
      <xdr:rowOff>0</xdr:rowOff>
    </xdr:from>
    <xdr:to>
      <xdr:col>8</xdr:col>
      <xdr:colOff>123825</xdr:colOff>
      <xdr:row>12</xdr:row>
      <xdr:rowOff>133350</xdr:rowOff>
    </xdr:to>
    <xdr:sp>
      <xdr:nvSpPr>
        <xdr:cNvPr id="3" name="AutoShape 4"/>
        <xdr:cNvSpPr>
          <a:spLocks/>
        </xdr:cNvSpPr>
      </xdr:nvSpPr>
      <xdr:spPr>
        <a:xfrm>
          <a:off x="9810750" y="685800"/>
          <a:ext cx="342900" cy="1924050"/>
        </a:xfrm>
        <a:prstGeom prst="downArrow">
          <a:avLst/>
        </a:prstGeom>
        <a:solidFill>
          <a:srgbClr val="33CCCC"/>
        </a:solidFill>
        <a:ln w="9525" cmpd="sng">
          <a:noFill/>
        </a:ln>
      </xdr:spPr>
      <xdr:txBody>
        <a:bodyPr vertOverflow="clip" wrap="square" anchor="ctr" vert="vert270"/>
        <a:p>
          <a:pPr algn="ctr">
            <a:defRPr/>
          </a:pPr>
          <a:r>
            <a:rPr lang="en-US" cap="none" sz="1000" b="1" i="0" u="none" baseline="0">
              <a:solidFill>
                <a:srgbClr val="FFFFFF"/>
              </a:solidFill>
              <a:latin typeface="Arial"/>
              <a:ea typeface="Arial"/>
              <a:cs typeface="Arial"/>
            </a:rPr>
            <a:t>Scull down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59</xdr:row>
      <xdr:rowOff>19050</xdr:rowOff>
    </xdr:from>
    <xdr:to>
      <xdr:col>2</xdr:col>
      <xdr:colOff>2609850</xdr:colOff>
      <xdr:row>61</xdr:row>
      <xdr:rowOff>161925</xdr:rowOff>
    </xdr:to>
    <xdr:pic>
      <xdr:nvPicPr>
        <xdr:cNvPr id="1" name="cmd_BusinessCase"/>
        <xdr:cNvPicPr preferRelativeResize="1">
          <a:picLocks noChangeAspect="0"/>
        </xdr:cNvPicPr>
      </xdr:nvPicPr>
      <xdr:blipFill>
        <a:blip r:embed="rId1"/>
        <a:stretch>
          <a:fillRect/>
        </a:stretch>
      </xdr:blipFill>
      <xdr:spPr>
        <a:xfrm>
          <a:off x="485775" y="11763375"/>
          <a:ext cx="2609850" cy="523875"/>
        </a:xfrm>
        <a:prstGeom prst="rect">
          <a:avLst/>
        </a:prstGeom>
        <a:solidFill>
          <a:srgbClr val="FFFFFF"/>
        </a:solidFill>
        <a:ln w="1" cmpd="sng">
          <a:noFill/>
        </a:ln>
      </xdr:spPr>
    </xdr:pic>
    <xdr:clientData/>
  </xdr:twoCellAnchor>
  <xdr:twoCellAnchor editAs="oneCell">
    <xdr:from>
      <xdr:col>2</xdr:col>
      <xdr:colOff>3181350</xdr:colOff>
      <xdr:row>59</xdr:row>
      <xdr:rowOff>9525</xdr:rowOff>
    </xdr:from>
    <xdr:to>
      <xdr:col>6</xdr:col>
      <xdr:colOff>333375</xdr:colOff>
      <xdr:row>61</xdr:row>
      <xdr:rowOff>152400</xdr:rowOff>
    </xdr:to>
    <xdr:pic>
      <xdr:nvPicPr>
        <xdr:cNvPr id="2" name="cmd_BusinessCaseExample"/>
        <xdr:cNvPicPr preferRelativeResize="1">
          <a:picLocks noChangeAspect="0"/>
        </xdr:cNvPicPr>
      </xdr:nvPicPr>
      <xdr:blipFill>
        <a:blip r:embed="rId2"/>
        <a:stretch>
          <a:fillRect/>
        </a:stretch>
      </xdr:blipFill>
      <xdr:spPr>
        <a:xfrm>
          <a:off x="3667125" y="11753850"/>
          <a:ext cx="2609850" cy="523875"/>
        </a:xfrm>
        <a:prstGeom prst="rect">
          <a:avLst/>
        </a:prstGeom>
        <a:solidFill>
          <a:srgbClr val="FFFFFF"/>
        </a:solidFill>
        <a:ln w="1" cmpd="sng">
          <a:noFill/>
        </a:ln>
      </xdr:spPr>
    </xdr:pic>
    <xdr:clientData/>
  </xdr:twoCellAnchor>
  <xdr:twoCellAnchor editAs="oneCell">
    <xdr:from>
      <xdr:col>1</xdr:col>
      <xdr:colOff>257175</xdr:colOff>
      <xdr:row>24</xdr:row>
      <xdr:rowOff>19050</xdr:rowOff>
    </xdr:from>
    <xdr:to>
      <xdr:col>2</xdr:col>
      <xdr:colOff>2857500</xdr:colOff>
      <xdr:row>26</xdr:row>
      <xdr:rowOff>152400</xdr:rowOff>
    </xdr:to>
    <xdr:pic>
      <xdr:nvPicPr>
        <xdr:cNvPr id="3" name="cmd_forwardcosts"/>
        <xdr:cNvPicPr preferRelativeResize="1">
          <a:picLocks noChangeAspect="0"/>
        </xdr:cNvPicPr>
      </xdr:nvPicPr>
      <xdr:blipFill>
        <a:blip r:embed="rId3"/>
        <a:stretch>
          <a:fillRect/>
        </a:stretch>
      </xdr:blipFill>
      <xdr:spPr>
        <a:xfrm>
          <a:off x="485775" y="4848225"/>
          <a:ext cx="2857500" cy="533400"/>
        </a:xfrm>
        <a:prstGeom prst="rect">
          <a:avLst/>
        </a:prstGeom>
        <a:solidFill>
          <a:srgbClr val="FFFFFF"/>
        </a:solidFill>
        <a:ln w="1" cmpd="sng">
          <a:noFill/>
        </a:ln>
      </xdr:spPr>
    </xdr:pic>
    <xdr:clientData/>
  </xdr:twoCellAnchor>
  <xdr:twoCellAnchor editAs="oneCell">
    <xdr:from>
      <xdr:col>7</xdr:col>
      <xdr:colOff>0</xdr:colOff>
      <xdr:row>59</xdr:row>
      <xdr:rowOff>9525</xdr:rowOff>
    </xdr:from>
    <xdr:to>
      <xdr:col>10</xdr:col>
      <xdr:colOff>95250</xdr:colOff>
      <xdr:row>61</xdr:row>
      <xdr:rowOff>152400</xdr:rowOff>
    </xdr:to>
    <xdr:pic>
      <xdr:nvPicPr>
        <xdr:cNvPr id="4" name="cmd_2a_home"/>
        <xdr:cNvPicPr preferRelativeResize="1">
          <a:picLocks noChangeAspect="0"/>
        </xdr:cNvPicPr>
      </xdr:nvPicPr>
      <xdr:blipFill>
        <a:blip r:embed="rId4"/>
        <a:stretch>
          <a:fillRect/>
        </a:stretch>
      </xdr:blipFill>
      <xdr:spPr>
        <a:xfrm>
          <a:off x="6705600" y="11753850"/>
          <a:ext cx="2571750" cy="523875"/>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xdr:row>
      <xdr:rowOff>66675</xdr:rowOff>
    </xdr:from>
    <xdr:to>
      <xdr:col>8</xdr:col>
      <xdr:colOff>295275</xdr:colOff>
      <xdr:row>27</xdr:row>
      <xdr:rowOff>133350</xdr:rowOff>
    </xdr:to>
    <xdr:graphicFrame>
      <xdr:nvGraphicFramePr>
        <xdr:cNvPr id="1" name="Chart 1"/>
        <xdr:cNvGraphicFramePr/>
      </xdr:nvGraphicFramePr>
      <xdr:xfrm>
        <a:off x="666750" y="895350"/>
        <a:ext cx="6981825" cy="3790950"/>
      </xdr:xfrm>
      <a:graphic>
        <a:graphicData uri="http://schemas.openxmlformats.org/drawingml/2006/chart">
          <c:chart xmlns:c="http://schemas.openxmlformats.org/drawingml/2006/chart" r:id="rId1"/>
        </a:graphicData>
      </a:graphic>
    </xdr:graphicFrame>
    <xdr:clientData/>
  </xdr:twoCellAnchor>
  <xdr:twoCellAnchor>
    <xdr:from>
      <xdr:col>10</xdr:col>
      <xdr:colOff>123825</xdr:colOff>
      <xdr:row>4</xdr:row>
      <xdr:rowOff>38100</xdr:rowOff>
    </xdr:from>
    <xdr:to>
      <xdr:col>10</xdr:col>
      <xdr:colOff>466725</xdr:colOff>
      <xdr:row>15</xdr:row>
      <xdr:rowOff>123825</xdr:rowOff>
    </xdr:to>
    <xdr:sp>
      <xdr:nvSpPr>
        <xdr:cNvPr id="2" name="AutoShape 2"/>
        <xdr:cNvSpPr>
          <a:spLocks/>
        </xdr:cNvSpPr>
      </xdr:nvSpPr>
      <xdr:spPr>
        <a:xfrm>
          <a:off x="9229725" y="866775"/>
          <a:ext cx="342900" cy="1866900"/>
        </a:xfrm>
        <a:prstGeom prst="downArrow">
          <a:avLst/>
        </a:prstGeom>
        <a:solidFill>
          <a:srgbClr val="33CCCC"/>
        </a:solidFill>
        <a:ln w="9525" cmpd="sng">
          <a:noFill/>
        </a:ln>
      </xdr:spPr>
      <xdr:txBody>
        <a:bodyPr vertOverflow="clip" wrap="square" anchor="ctr" vert="vert270"/>
        <a:p>
          <a:pPr algn="ctr">
            <a:defRPr/>
          </a:pPr>
          <a:r>
            <a:rPr lang="en-US" cap="none" sz="1000" b="1" i="0" u="none" baseline="0">
              <a:solidFill>
                <a:srgbClr val="FFFFFF"/>
              </a:solidFill>
              <a:latin typeface="Arial"/>
              <a:ea typeface="Arial"/>
              <a:cs typeface="Arial"/>
            </a:rPr>
            <a:t>Scoll down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16</xdr:row>
      <xdr:rowOff>19050</xdr:rowOff>
    </xdr:from>
    <xdr:to>
      <xdr:col>2</xdr:col>
      <xdr:colOff>2857500</xdr:colOff>
      <xdr:row>18</xdr:row>
      <xdr:rowOff>152400</xdr:rowOff>
    </xdr:to>
    <xdr:pic>
      <xdr:nvPicPr>
        <xdr:cNvPr id="1" name="CommandButton3"/>
        <xdr:cNvPicPr preferRelativeResize="1">
          <a:picLocks noChangeAspect="0"/>
        </xdr:cNvPicPr>
      </xdr:nvPicPr>
      <xdr:blipFill>
        <a:blip r:embed="rId1"/>
        <a:stretch>
          <a:fillRect/>
        </a:stretch>
      </xdr:blipFill>
      <xdr:spPr>
        <a:xfrm>
          <a:off x="485775" y="3314700"/>
          <a:ext cx="2857500" cy="533400"/>
        </a:xfrm>
        <a:prstGeom prst="rect">
          <a:avLst/>
        </a:prstGeom>
        <a:solidFill>
          <a:srgbClr val="FFFFFF"/>
        </a:solidFill>
        <a:ln w="1" cmpd="sng">
          <a:noFill/>
        </a:ln>
      </xdr:spPr>
    </xdr:pic>
    <xdr:clientData/>
  </xdr:twoCellAnchor>
  <xdr:twoCellAnchor>
    <xdr:from>
      <xdr:col>1</xdr:col>
      <xdr:colOff>257175</xdr:colOff>
      <xdr:row>52</xdr:row>
      <xdr:rowOff>66675</xdr:rowOff>
    </xdr:from>
    <xdr:to>
      <xdr:col>8</xdr:col>
      <xdr:colOff>295275</xdr:colOff>
      <xdr:row>75</xdr:row>
      <xdr:rowOff>133350</xdr:rowOff>
    </xdr:to>
    <xdr:graphicFrame>
      <xdr:nvGraphicFramePr>
        <xdr:cNvPr id="2" name="Chart 5"/>
        <xdr:cNvGraphicFramePr/>
      </xdr:nvGraphicFramePr>
      <xdr:xfrm>
        <a:off x="485775" y="10506075"/>
        <a:ext cx="7391400" cy="3790950"/>
      </xdr:xfrm>
      <a:graphic>
        <a:graphicData uri="http://schemas.openxmlformats.org/drawingml/2006/chart">
          <c:chart xmlns:c="http://schemas.openxmlformats.org/drawingml/2006/chart" r:id="rId2"/>
        </a:graphicData>
      </a:graphic>
    </xdr:graphicFrame>
    <xdr:clientData/>
  </xdr:twoCellAnchor>
  <xdr:twoCellAnchor>
    <xdr:from>
      <xdr:col>10</xdr:col>
      <xdr:colOff>123825</xdr:colOff>
      <xdr:row>52</xdr:row>
      <xdr:rowOff>38100</xdr:rowOff>
    </xdr:from>
    <xdr:to>
      <xdr:col>10</xdr:col>
      <xdr:colOff>466725</xdr:colOff>
      <xdr:row>63</xdr:row>
      <xdr:rowOff>123825</xdr:rowOff>
    </xdr:to>
    <xdr:sp>
      <xdr:nvSpPr>
        <xdr:cNvPr id="3" name="AutoShape 6"/>
        <xdr:cNvSpPr>
          <a:spLocks/>
        </xdr:cNvSpPr>
      </xdr:nvSpPr>
      <xdr:spPr>
        <a:xfrm>
          <a:off x="9305925" y="10477500"/>
          <a:ext cx="342900" cy="1866900"/>
        </a:xfrm>
        <a:prstGeom prst="downArrow">
          <a:avLst/>
        </a:prstGeom>
        <a:solidFill>
          <a:srgbClr val="33CCCC"/>
        </a:solidFill>
        <a:ln w="9525" cmpd="sng">
          <a:noFill/>
        </a:ln>
      </xdr:spPr>
      <xdr:txBody>
        <a:bodyPr vertOverflow="clip" wrap="square" anchor="ctr" vert="vert270"/>
        <a:p>
          <a:pPr algn="ctr">
            <a:defRPr/>
          </a:pPr>
          <a:r>
            <a:rPr lang="en-US" cap="none" sz="1000" b="1" i="0" u="none" baseline="0">
              <a:solidFill>
                <a:srgbClr val="FFFFFF"/>
              </a:solidFill>
              <a:latin typeface="Arial"/>
              <a:ea typeface="Arial"/>
              <a:cs typeface="Arial"/>
            </a:rPr>
            <a:t>Scull down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123825</xdr:rowOff>
    </xdr:from>
    <xdr:to>
      <xdr:col>1</xdr:col>
      <xdr:colOff>2724150</xdr:colOff>
      <xdr:row>5</xdr:row>
      <xdr:rowOff>66675</xdr:rowOff>
    </xdr:to>
    <xdr:pic>
      <xdr:nvPicPr>
        <xdr:cNvPr id="1" name="cmd_ReturntoCosts"/>
        <xdr:cNvPicPr preferRelativeResize="1">
          <a:picLocks noChangeAspect="0"/>
        </xdr:cNvPicPr>
      </xdr:nvPicPr>
      <xdr:blipFill>
        <a:blip r:embed="rId1"/>
        <a:stretch>
          <a:fillRect/>
        </a:stretch>
      </xdr:blipFill>
      <xdr:spPr>
        <a:xfrm>
          <a:off x="466725" y="609600"/>
          <a:ext cx="2714625" cy="523875"/>
        </a:xfrm>
        <a:prstGeom prst="rect">
          <a:avLst/>
        </a:prstGeom>
        <a:solidFill>
          <a:srgbClr val="FFFFFF"/>
        </a:solidFill>
        <a:ln w="1" cmpd="sng">
          <a:noFill/>
        </a:ln>
      </xdr:spPr>
    </xdr:pic>
    <xdr:clientData/>
  </xdr:twoCellAnchor>
  <xdr:twoCellAnchor editAs="oneCell">
    <xdr:from>
      <xdr:col>1</xdr:col>
      <xdr:colOff>3133725</xdr:colOff>
      <xdr:row>2</xdr:row>
      <xdr:rowOff>104775</xdr:rowOff>
    </xdr:from>
    <xdr:to>
      <xdr:col>2</xdr:col>
      <xdr:colOff>2133600</xdr:colOff>
      <xdr:row>5</xdr:row>
      <xdr:rowOff>38100</xdr:rowOff>
    </xdr:to>
    <xdr:pic>
      <xdr:nvPicPr>
        <xdr:cNvPr id="2" name="cmd_ReturntoBusinessCase"/>
        <xdr:cNvPicPr preferRelativeResize="1">
          <a:picLocks noChangeAspect="0"/>
        </xdr:cNvPicPr>
      </xdr:nvPicPr>
      <xdr:blipFill>
        <a:blip r:embed="rId2"/>
        <a:stretch>
          <a:fillRect/>
        </a:stretch>
      </xdr:blipFill>
      <xdr:spPr>
        <a:xfrm>
          <a:off x="3590925" y="590550"/>
          <a:ext cx="2695575" cy="514350"/>
        </a:xfrm>
        <a:prstGeom prst="rect">
          <a:avLst/>
        </a:prstGeom>
        <a:solidFill>
          <a:srgbClr val="FFFFFF"/>
        </a:solidFill>
        <a:ln w="1" cmpd="sng">
          <a:noFill/>
        </a:ln>
      </xdr:spPr>
    </xdr:pic>
    <xdr:clientData/>
  </xdr:twoCellAnchor>
  <xdr:twoCellAnchor editAs="oneCell">
    <xdr:from>
      <xdr:col>2</xdr:col>
      <xdr:colOff>2600325</xdr:colOff>
      <xdr:row>2</xdr:row>
      <xdr:rowOff>95250</xdr:rowOff>
    </xdr:from>
    <xdr:to>
      <xdr:col>2</xdr:col>
      <xdr:colOff>5276850</xdr:colOff>
      <xdr:row>5</xdr:row>
      <xdr:rowOff>28575</xdr:rowOff>
    </xdr:to>
    <xdr:pic>
      <xdr:nvPicPr>
        <xdr:cNvPr id="3" name="cmd_ReturnHome"/>
        <xdr:cNvPicPr preferRelativeResize="1">
          <a:picLocks noChangeAspect="0"/>
        </xdr:cNvPicPr>
      </xdr:nvPicPr>
      <xdr:blipFill>
        <a:blip r:embed="rId3"/>
        <a:stretch>
          <a:fillRect/>
        </a:stretch>
      </xdr:blipFill>
      <xdr:spPr>
        <a:xfrm>
          <a:off x="6753225" y="581025"/>
          <a:ext cx="2676525" cy="5143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9"/>
    <pageSetUpPr fitToPage="1"/>
  </sheetPr>
  <dimension ref="B2:M25"/>
  <sheetViews>
    <sheetView tabSelected="1" zoomScale="70" zoomScaleNormal="70" workbookViewId="0" topLeftCell="A1">
      <selection activeCell="E34" sqref="E34"/>
    </sheetView>
  </sheetViews>
  <sheetFormatPr defaultColWidth="9.140625" defaultRowHeight="12.75"/>
  <cols>
    <col min="1" max="1" width="4.28125" style="33" customWidth="1"/>
    <col min="2" max="2" width="4.57421875" style="33" customWidth="1"/>
    <col min="3" max="3" width="6.7109375" style="33" customWidth="1"/>
    <col min="4" max="4" width="31.140625" style="33" customWidth="1"/>
    <col min="5" max="5" width="116.28125" style="33" customWidth="1"/>
    <col min="6" max="6" width="6.28125" style="33" customWidth="1"/>
    <col min="7" max="16384" width="9.140625" style="33" customWidth="1"/>
  </cols>
  <sheetData>
    <row r="2" ht="23.25">
      <c r="B2" s="83" t="s">
        <v>53</v>
      </c>
    </row>
    <row r="4" ht="15.75">
      <c r="B4" s="27" t="s">
        <v>80</v>
      </c>
    </row>
    <row r="6" spans="2:13" ht="15" customHeight="1">
      <c r="B6" s="178" t="s">
        <v>134</v>
      </c>
      <c r="C6" s="178"/>
      <c r="D6" s="178"/>
      <c r="E6" s="178"/>
      <c r="F6" s="178"/>
      <c r="G6" s="84"/>
      <c r="H6" s="84"/>
      <c r="I6" s="84"/>
      <c r="J6" s="84"/>
      <c r="K6" s="84"/>
      <c r="L6" s="84"/>
      <c r="M6" s="84"/>
    </row>
    <row r="7" spans="2:13" ht="15">
      <c r="B7" s="178"/>
      <c r="C7" s="178"/>
      <c r="D7" s="178"/>
      <c r="E7" s="178"/>
      <c r="F7" s="178"/>
      <c r="G7" s="84"/>
      <c r="H7" s="84"/>
      <c r="I7" s="84"/>
      <c r="J7" s="84"/>
      <c r="K7" s="84"/>
      <c r="L7" s="84"/>
      <c r="M7" s="84"/>
    </row>
    <row r="9" ht="15">
      <c r="B9" s="33" t="s">
        <v>113</v>
      </c>
    </row>
    <row r="10" ht="15.75" thickBot="1"/>
    <row r="11" spans="2:6" ht="15">
      <c r="B11" s="39"/>
      <c r="C11" s="40"/>
      <c r="D11" s="40"/>
      <c r="E11" s="40"/>
      <c r="F11" s="41"/>
    </row>
    <row r="12" spans="2:6" ht="15">
      <c r="B12" s="42"/>
      <c r="C12" s="6" t="s">
        <v>116</v>
      </c>
      <c r="D12" s="33" t="s">
        <v>54</v>
      </c>
      <c r="E12" s="179" t="s">
        <v>135</v>
      </c>
      <c r="F12" s="43"/>
    </row>
    <row r="13" spans="2:6" ht="15">
      <c r="B13" s="42"/>
      <c r="C13" s="6"/>
      <c r="E13" s="179"/>
      <c r="F13" s="43"/>
    </row>
    <row r="14" spans="2:6" ht="15">
      <c r="B14" s="42"/>
      <c r="C14" s="33" t="s">
        <v>117</v>
      </c>
      <c r="D14" s="33" t="s">
        <v>118</v>
      </c>
      <c r="E14" s="33" t="s">
        <v>136</v>
      </c>
      <c r="F14" s="43"/>
    </row>
    <row r="15" spans="2:6" ht="15">
      <c r="B15" s="42"/>
      <c r="C15" s="33" t="s">
        <v>119</v>
      </c>
      <c r="D15" s="33" t="s">
        <v>120</v>
      </c>
      <c r="E15" s="33" t="s">
        <v>131</v>
      </c>
      <c r="F15" s="43"/>
    </row>
    <row r="16" spans="2:6" ht="15.75" thickBot="1">
      <c r="B16" s="44"/>
      <c r="C16" s="45"/>
      <c r="D16" s="45"/>
      <c r="E16" s="45"/>
      <c r="F16" s="46"/>
    </row>
    <row r="17" ht="15.75" thickBot="1"/>
    <row r="18" spans="2:6" ht="15">
      <c r="B18" s="39"/>
      <c r="C18" s="40"/>
      <c r="D18" s="40"/>
      <c r="E18" s="40"/>
      <c r="F18" s="41"/>
    </row>
    <row r="19" spans="2:6" ht="15">
      <c r="B19" s="42"/>
      <c r="C19" s="33" t="s">
        <v>121</v>
      </c>
      <c r="D19" s="33" t="s">
        <v>79</v>
      </c>
      <c r="E19" s="33" t="s">
        <v>127</v>
      </c>
      <c r="F19" s="43"/>
    </row>
    <row r="20" spans="2:6" ht="15">
      <c r="B20" s="42"/>
      <c r="C20" s="33" t="s">
        <v>122</v>
      </c>
      <c r="D20" s="33" t="s">
        <v>123</v>
      </c>
      <c r="E20" s="33" t="s">
        <v>126</v>
      </c>
      <c r="F20" s="43"/>
    </row>
    <row r="21" spans="2:6" ht="15">
      <c r="B21" s="42"/>
      <c r="C21" s="33" t="s">
        <v>124</v>
      </c>
      <c r="D21" s="33" t="s">
        <v>125</v>
      </c>
      <c r="E21" s="33" t="s">
        <v>132</v>
      </c>
      <c r="F21" s="43"/>
    </row>
    <row r="22" spans="2:6" ht="15.75" thickBot="1">
      <c r="B22" s="44"/>
      <c r="C22" s="45"/>
      <c r="D22" s="45"/>
      <c r="E22" s="45"/>
      <c r="F22" s="46"/>
    </row>
    <row r="25" ht="15.75">
      <c r="B25" s="32" t="s">
        <v>115</v>
      </c>
    </row>
    <row r="28" ht="15"/>
  </sheetData>
  <sheetProtection password="CAA3" sheet="1" objects="1" scenarios="1"/>
  <mergeCells count="2">
    <mergeCell ref="B6:F7"/>
    <mergeCell ref="E12:E13"/>
  </mergeCells>
  <printOptions/>
  <pageMargins left="0.75" right="0.75" top="1" bottom="1" header="0.5" footer="0.5"/>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tabColor indexed="52"/>
    <pageSetUpPr fitToPage="1"/>
  </sheetPr>
  <dimension ref="B2:N80"/>
  <sheetViews>
    <sheetView zoomScale="70" zoomScaleNormal="70" workbookViewId="0" topLeftCell="A1">
      <selection activeCell="D21" sqref="D21"/>
    </sheetView>
  </sheetViews>
  <sheetFormatPr defaultColWidth="9.140625" defaultRowHeight="12.75"/>
  <cols>
    <col min="1" max="1" width="3.8515625" style="5" customWidth="1"/>
    <col min="2" max="2" width="4.140625" style="5" customWidth="1"/>
    <col min="3" max="3" width="4.7109375" style="6" customWidth="1"/>
    <col min="4" max="4" width="71.28125" style="5" customWidth="1"/>
    <col min="5" max="5" width="6.00390625" style="5" customWidth="1"/>
    <col min="6" max="6" width="20.57421875" style="5" customWidth="1"/>
    <col min="7" max="7" width="8.8515625" style="104" customWidth="1"/>
    <col min="8" max="16384" width="9.140625" style="5" customWidth="1"/>
  </cols>
  <sheetData>
    <row r="2" ht="23.25">
      <c r="B2" s="102" t="s">
        <v>54</v>
      </c>
    </row>
    <row r="3" ht="15">
      <c r="B3" s="6"/>
    </row>
    <row r="4" ht="15">
      <c r="B4" s="6" t="s">
        <v>137</v>
      </c>
    </row>
    <row r="5" ht="15">
      <c r="B5" s="6"/>
    </row>
    <row r="6" spans="2:14" ht="15.75">
      <c r="B6" s="4" t="s">
        <v>9</v>
      </c>
      <c r="D6" s="6"/>
      <c r="E6" s="14" t="s">
        <v>138</v>
      </c>
      <c r="H6" s="6"/>
      <c r="I6" s="6"/>
      <c r="J6" s="6"/>
      <c r="K6" s="6"/>
      <c r="L6" s="6"/>
      <c r="M6" s="6"/>
      <c r="N6" s="6"/>
    </row>
    <row r="7" spans="2:14" ht="15.75">
      <c r="B7" s="4" t="s">
        <v>56</v>
      </c>
      <c r="D7" s="6"/>
      <c r="E7" s="14" t="s">
        <v>138</v>
      </c>
      <c r="F7" s="6"/>
      <c r="H7" s="6"/>
      <c r="I7" s="6"/>
      <c r="J7" s="6"/>
      <c r="K7" s="6"/>
      <c r="L7" s="6"/>
      <c r="M7" s="6"/>
      <c r="N7" s="6"/>
    </row>
    <row r="8" spans="2:14" ht="15.75">
      <c r="B8" s="4" t="s">
        <v>57</v>
      </c>
      <c r="D8" s="6"/>
      <c r="E8" s="14" t="s">
        <v>138</v>
      </c>
      <c r="F8" s="14"/>
      <c r="H8" s="6"/>
      <c r="I8" s="6"/>
      <c r="J8" s="6"/>
      <c r="K8" s="6"/>
      <c r="L8" s="6"/>
      <c r="M8" s="6"/>
      <c r="N8" s="6"/>
    </row>
    <row r="9" spans="2:5" ht="15.75">
      <c r="B9" s="4" t="s">
        <v>67</v>
      </c>
      <c r="E9" s="14" t="s">
        <v>138</v>
      </c>
    </row>
    <row r="10" spans="2:5" ht="15.75">
      <c r="B10" s="4" t="s">
        <v>39</v>
      </c>
      <c r="E10" s="14" t="s">
        <v>138</v>
      </c>
    </row>
    <row r="11" ht="15.75">
      <c r="B11" s="4"/>
    </row>
    <row r="12" ht="15.75">
      <c r="B12" s="103" t="s">
        <v>114</v>
      </c>
    </row>
    <row r="13" ht="15.75">
      <c r="B13" s="103" t="s">
        <v>8</v>
      </c>
    </row>
    <row r="14" ht="15.75">
      <c r="B14" s="103" t="s">
        <v>112</v>
      </c>
    </row>
    <row r="15" ht="15.75">
      <c r="B15" s="103" t="s">
        <v>159</v>
      </c>
    </row>
    <row r="16" ht="15.75">
      <c r="B16" s="103"/>
    </row>
    <row r="17" ht="15.75" thickBot="1"/>
    <row r="18" spans="2:7" ht="15">
      <c r="B18" s="47"/>
      <c r="C18" s="48"/>
      <c r="D18" s="49"/>
      <c r="E18" s="49"/>
      <c r="F18" s="49"/>
      <c r="G18" s="105"/>
    </row>
    <row r="19" spans="2:7" ht="15.75">
      <c r="B19" s="51"/>
      <c r="C19" s="4" t="s">
        <v>61</v>
      </c>
      <c r="G19" s="85"/>
    </row>
    <row r="20" spans="2:7" ht="16.5" thickBot="1">
      <c r="B20" s="51"/>
      <c r="G20" s="106"/>
    </row>
    <row r="21" spans="2:7" ht="16.5" thickBot="1">
      <c r="B21" s="51"/>
      <c r="C21" s="7">
        <v>1</v>
      </c>
      <c r="D21" s="5" t="s">
        <v>179</v>
      </c>
      <c r="F21" s="126"/>
      <c r="G21" s="106" t="s">
        <v>138</v>
      </c>
    </row>
    <row r="22" spans="2:7" ht="16.5" thickBot="1">
      <c r="B22" s="51"/>
      <c r="F22" s="9"/>
      <c r="G22" s="106"/>
    </row>
    <row r="23" spans="2:7" ht="16.5" thickBot="1">
      <c r="B23" s="51"/>
      <c r="C23" s="6">
        <v>2</v>
      </c>
      <c r="D23" s="5" t="s">
        <v>90</v>
      </c>
      <c r="F23" s="126"/>
      <c r="G23" s="106" t="s">
        <v>138</v>
      </c>
    </row>
    <row r="24" spans="2:7" ht="16.5" thickBot="1">
      <c r="B24" s="51"/>
      <c r="F24" s="9"/>
      <c r="G24" s="106"/>
    </row>
    <row r="25" spans="2:7" ht="16.5" thickBot="1">
      <c r="B25" s="51"/>
      <c r="C25" s="6">
        <v>3</v>
      </c>
      <c r="D25" s="5" t="s">
        <v>147</v>
      </c>
      <c r="F25" s="126">
        <v>228</v>
      </c>
      <c r="G25" s="106" t="s">
        <v>138</v>
      </c>
    </row>
    <row r="26" spans="2:7" ht="15.75" thickBot="1">
      <c r="B26" s="53"/>
      <c r="C26" s="54"/>
      <c r="D26" s="55"/>
      <c r="E26" s="55"/>
      <c r="F26" s="56"/>
      <c r="G26" s="107"/>
    </row>
    <row r="27" ht="15.75" thickBot="1">
      <c r="F27" s="9"/>
    </row>
    <row r="28" spans="2:7" ht="15">
      <c r="B28" s="47"/>
      <c r="C28" s="48"/>
      <c r="D28" s="49"/>
      <c r="E28" s="49"/>
      <c r="F28" s="58"/>
      <c r="G28" s="105"/>
    </row>
    <row r="29" spans="2:7" ht="15.75">
      <c r="B29" s="51"/>
      <c r="C29" s="4" t="s">
        <v>111</v>
      </c>
      <c r="F29" s="9"/>
      <c r="G29" s="85"/>
    </row>
    <row r="30" spans="2:7" ht="15.75" thickBot="1">
      <c r="B30" s="51"/>
      <c r="F30" s="9"/>
      <c r="G30" s="85"/>
    </row>
    <row r="31" spans="2:7" ht="16.5" thickBot="1">
      <c r="B31" s="51"/>
      <c r="C31" s="6" t="s">
        <v>58</v>
      </c>
      <c r="D31" s="5" t="s">
        <v>168</v>
      </c>
      <c r="F31" s="126"/>
      <c r="G31" s="106" t="s">
        <v>138</v>
      </c>
    </row>
    <row r="32" spans="2:7" ht="16.5" thickBot="1">
      <c r="B32" s="51"/>
      <c r="C32" s="14" t="s">
        <v>60</v>
      </c>
      <c r="F32" s="9"/>
      <c r="G32" s="106"/>
    </row>
    <row r="33" spans="2:7" ht="16.5" thickBot="1">
      <c r="B33" s="51"/>
      <c r="C33" s="6" t="s">
        <v>59</v>
      </c>
      <c r="D33" s="5" t="s">
        <v>171</v>
      </c>
      <c r="F33" s="127"/>
      <c r="G33" s="106" t="s">
        <v>138</v>
      </c>
    </row>
    <row r="34" spans="2:7" ht="16.5" thickBot="1">
      <c r="B34" s="51"/>
      <c r="F34" s="9"/>
      <c r="G34" s="106"/>
    </row>
    <row r="35" spans="2:7" ht="16.5" thickBot="1">
      <c r="B35" s="51"/>
      <c r="C35" s="6">
        <v>5</v>
      </c>
      <c r="D35" s="5" t="s">
        <v>151</v>
      </c>
      <c r="F35" s="128">
        <v>1</v>
      </c>
      <c r="G35" s="106" t="s">
        <v>138</v>
      </c>
    </row>
    <row r="36" spans="2:7" ht="15.75">
      <c r="B36" s="51"/>
      <c r="G36" s="106"/>
    </row>
    <row r="37" spans="2:7" s="26" customFormat="1" ht="15.75">
      <c r="B37" s="59"/>
      <c r="C37" s="23" t="s">
        <v>66</v>
      </c>
      <c r="F37" s="25">
        <f>IF(F31&gt;0,F21*(F31/F25)*F23*F35,F21*F33*F23*F35)</f>
        <v>0</v>
      </c>
      <c r="G37" s="106" t="s">
        <v>138</v>
      </c>
    </row>
    <row r="38" spans="2:7" ht="15.75" thickBot="1">
      <c r="B38" s="53"/>
      <c r="C38" s="54"/>
      <c r="D38" s="55"/>
      <c r="E38" s="55"/>
      <c r="F38" s="55"/>
      <c r="G38" s="107"/>
    </row>
    <row r="39" ht="15.75" thickBot="1"/>
    <row r="40" spans="2:7" ht="15">
      <c r="B40" s="47"/>
      <c r="C40" s="48"/>
      <c r="D40" s="49"/>
      <c r="E40" s="49"/>
      <c r="F40" s="49"/>
      <c r="G40" s="105"/>
    </row>
    <row r="41" spans="2:7" ht="15.75">
      <c r="B41" s="51"/>
      <c r="C41" s="4" t="s">
        <v>62</v>
      </c>
      <c r="G41" s="85"/>
    </row>
    <row r="42" spans="2:7" ht="16.5" thickBot="1">
      <c r="B42" s="51"/>
      <c r="C42" s="4"/>
      <c r="G42" s="85"/>
    </row>
    <row r="43" spans="2:7" ht="16.5" thickBot="1">
      <c r="B43" s="51"/>
      <c r="C43" s="6" t="s">
        <v>71</v>
      </c>
      <c r="D43" s="5" t="s">
        <v>169</v>
      </c>
      <c r="F43" s="126"/>
      <c r="G43" s="106" t="s">
        <v>138</v>
      </c>
    </row>
    <row r="44" spans="2:7" ht="16.5" thickBot="1">
      <c r="B44" s="51"/>
      <c r="C44" s="14" t="s">
        <v>60</v>
      </c>
      <c r="F44" s="9"/>
      <c r="G44" s="106"/>
    </row>
    <row r="45" spans="2:7" ht="16.5" thickBot="1">
      <c r="B45" s="51"/>
      <c r="C45" s="6" t="s">
        <v>72</v>
      </c>
      <c r="D45" s="5" t="s">
        <v>172</v>
      </c>
      <c r="F45" s="127"/>
      <c r="G45" s="106" t="s">
        <v>138</v>
      </c>
    </row>
    <row r="46" spans="2:7" ht="15.75">
      <c r="B46" s="51"/>
      <c r="F46" s="9"/>
      <c r="G46" s="106"/>
    </row>
    <row r="47" spans="2:7" s="26" customFormat="1" ht="15.75">
      <c r="B47" s="59"/>
      <c r="C47" s="23" t="s">
        <v>73</v>
      </c>
      <c r="F47" s="25">
        <f>IF(F43&gt;0,F21*(F43/F25)*F23,F21*F45*F23)</f>
        <v>0</v>
      </c>
      <c r="G47" s="106" t="s">
        <v>138</v>
      </c>
    </row>
    <row r="48" spans="2:7" ht="15.75" thickBot="1">
      <c r="B48" s="53"/>
      <c r="C48" s="54"/>
      <c r="D48" s="55"/>
      <c r="E48" s="55"/>
      <c r="F48" s="55"/>
      <c r="G48" s="107"/>
    </row>
    <row r="49" ht="15.75" thickBot="1"/>
    <row r="50" spans="2:7" ht="15">
      <c r="B50" s="47"/>
      <c r="C50" s="48"/>
      <c r="D50" s="49"/>
      <c r="E50" s="49"/>
      <c r="F50" s="49"/>
      <c r="G50" s="105"/>
    </row>
    <row r="51" spans="2:7" ht="15.75">
      <c r="B51" s="51"/>
      <c r="C51" s="4" t="s">
        <v>63</v>
      </c>
      <c r="G51" s="85"/>
    </row>
    <row r="52" spans="2:7" ht="15.75" thickBot="1">
      <c r="B52" s="51"/>
      <c r="G52" s="85"/>
    </row>
    <row r="53" spans="2:7" ht="16.5" thickBot="1">
      <c r="B53" s="51"/>
      <c r="C53" s="6">
        <v>6</v>
      </c>
      <c r="D53" s="5" t="s">
        <v>38</v>
      </c>
      <c r="F53" s="129"/>
      <c r="G53" s="106" t="s">
        <v>138</v>
      </c>
    </row>
    <row r="54" spans="2:7" ht="16.5" thickBot="1">
      <c r="B54" s="51"/>
      <c r="G54" s="106"/>
    </row>
    <row r="55" spans="2:7" ht="16.5" thickBot="1">
      <c r="B55" s="51"/>
      <c r="C55" s="6">
        <v>7</v>
      </c>
      <c r="D55" s="5" t="s">
        <v>64</v>
      </c>
      <c r="F55" s="130"/>
      <c r="G55" s="106" t="s">
        <v>138</v>
      </c>
    </row>
    <row r="56" spans="2:7" ht="15.75">
      <c r="B56" s="51"/>
      <c r="G56" s="106"/>
    </row>
    <row r="57" spans="2:7" s="26" customFormat="1" ht="15.75">
      <c r="B57" s="59"/>
      <c r="C57" s="23" t="s">
        <v>65</v>
      </c>
      <c r="F57" s="25">
        <f>F53*F21*F55</f>
        <v>0</v>
      </c>
      <c r="G57" s="106" t="s">
        <v>138</v>
      </c>
    </row>
    <row r="58" spans="2:7" ht="16.5" thickBot="1">
      <c r="B58" s="53"/>
      <c r="C58" s="61"/>
      <c r="D58" s="55"/>
      <c r="E58" s="55"/>
      <c r="F58" s="55"/>
      <c r="G58" s="107"/>
    </row>
    <row r="59" ht="15.75" thickBot="1"/>
    <row r="60" spans="2:7" ht="15">
      <c r="B60" s="47"/>
      <c r="C60" s="48"/>
      <c r="D60" s="49"/>
      <c r="E60" s="49"/>
      <c r="F60" s="49"/>
      <c r="G60" s="105"/>
    </row>
    <row r="61" spans="2:7" ht="15.75">
      <c r="B61" s="51"/>
      <c r="C61" s="4" t="s">
        <v>175</v>
      </c>
      <c r="G61" s="85"/>
    </row>
    <row r="62" spans="2:7" ht="15.75" thickBot="1">
      <c r="B62" s="51"/>
      <c r="G62" s="85"/>
    </row>
    <row r="63" spans="2:7" ht="16.5" thickBot="1">
      <c r="B63" s="51"/>
      <c r="C63" s="6">
        <v>8</v>
      </c>
      <c r="D63" s="5" t="s">
        <v>173</v>
      </c>
      <c r="F63" s="131"/>
      <c r="G63" s="106" t="s">
        <v>138</v>
      </c>
    </row>
    <row r="64" spans="2:7" ht="16.5" thickBot="1">
      <c r="B64" s="51"/>
      <c r="G64" s="106"/>
    </row>
    <row r="65" spans="2:7" ht="16.5" thickBot="1">
      <c r="B65" s="51"/>
      <c r="C65" s="6">
        <v>9</v>
      </c>
      <c r="D65" s="5" t="s">
        <v>70</v>
      </c>
      <c r="F65" s="130"/>
      <c r="G65" s="106" t="s">
        <v>138</v>
      </c>
    </row>
    <row r="66" spans="2:7" ht="15.75">
      <c r="B66" s="51"/>
      <c r="G66" s="106"/>
    </row>
    <row r="67" spans="2:7" s="26" customFormat="1" ht="15.75">
      <c r="B67" s="59"/>
      <c r="C67" s="23" t="s">
        <v>68</v>
      </c>
      <c r="F67" s="25">
        <f>(F63*F65)</f>
        <v>0</v>
      </c>
      <c r="G67" s="106" t="s">
        <v>138</v>
      </c>
    </row>
    <row r="68" spans="2:7" ht="16.5" thickBot="1">
      <c r="B68" s="53"/>
      <c r="C68" s="54"/>
      <c r="D68" s="55"/>
      <c r="E68" s="55"/>
      <c r="F68" s="55"/>
      <c r="G68" s="125"/>
    </row>
    <row r="69" ht="15.75" thickBot="1"/>
    <row r="70" spans="2:7" ht="15">
      <c r="B70" s="47"/>
      <c r="C70" s="48"/>
      <c r="D70" s="49"/>
      <c r="E70" s="49"/>
      <c r="F70" s="49"/>
      <c r="G70" s="105"/>
    </row>
    <row r="71" spans="2:7" ht="15.75">
      <c r="B71" s="51"/>
      <c r="C71" s="4" t="s">
        <v>39</v>
      </c>
      <c r="G71" s="106" t="s">
        <v>138</v>
      </c>
    </row>
    <row r="72" spans="2:12" ht="16.5" thickBot="1">
      <c r="B72" s="51"/>
      <c r="G72" s="85"/>
      <c r="L72" s="14"/>
    </row>
    <row r="73" spans="2:7" ht="15.75" thickBot="1">
      <c r="B73" s="51"/>
      <c r="C73" s="6">
        <v>10</v>
      </c>
      <c r="D73" s="5" t="s">
        <v>76</v>
      </c>
      <c r="F73" s="132"/>
      <c r="G73" s="85"/>
    </row>
    <row r="74" spans="2:7" ht="15.75" thickBot="1">
      <c r="B74" s="51"/>
      <c r="G74" s="85"/>
    </row>
    <row r="75" spans="2:7" ht="15.75" thickBot="1">
      <c r="B75" s="51"/>
      <c r="C75" s="6">
        <v>11</v>
      </c>
      <c r="D75" s="5" t="s">
        <v>42</v>
      </c>
      <c r="F75" s="131"/>
      <c r="G75" s="85"/>
    </row>
    <row r="76" spans="2:7" ht="15.75" thickBot="1">
      <c r="B76" s="51"/>
      <c r="G76" s="85"/>
    </row>
    <row r="77" spans="2:7" ht="15.75" thickBot="1">
      <c r="B77" s="51"/>
      <c r="C77" s="6">
        <v>12</v>
      </c>
      <c r="D77" s="5" t="s">
        <v>43</v>
      </c>
      <c r="F77" s="130"/>
      <c r="G77" s="85"/>
    </row>
    <row r="78" spans="2:7" ht="15">
      <c r="B78" s="51"/>
      <c r="G78" s="85"/>
    </row>
    <row r="79" spans="2:7" s="26" customFormat="1" ht="15.75">
      <c r="B79" s="59"/>
      <c r="C79" s="23" t="str">
        <f>CONCATENATE("Cost of ",F73)</f>
        <v>Cost of </v>
      </c>
      <c r="F79" s="25">
        <f>F75*F77</f>
        <v>0</v>
      </c>
      <c r="G79" s="108"/>
    </row>
    <row r="80" spans="2:7" ht="15.75" thickBot="1">
      <c r="B80" s="53"/>
      <c r="C80" s="54"/>
      <c r="D80" s="55"/>
      <c r="E80" s="55"/>
      <c r="F80" s="55"/>
      <c r="G80" s="107"/>
    </row>
    <row r="83" ht="15"/>
    <row r="84" ht="15"/>
  </sheetData>
  <sheetProtection password="CAA3" sheet="1" objects="1" scenarios="1"/>
  <hyperlinks>
    <hyperlink ref="E6" location="G_SicknessAbsence" display="?"/>
    <hyperlink ref="E7" location="G_Presenteeism" display="?"/>
    <hyperlink ref="E8" location="G_LabourTurnover" display="?"/>
    <hyperlink ref="E9" location="G_Insurance" display="?"/>
    <hyperlink ref="E10" location="G_Other" display="?"/>
    <hyperlink ref="G21" location="G_NoOfEmployees" display="?"/>
    <hyperlink ref="G23" location="G_Wages" display="?"/>
    <hyperlink ref="G25" location="G_WorkingDays" display="?"/>
    <hyperlink ref="G31" location="G_AbsenceDays" display="?"/>
    <hyperlink ref="G33" location="G_AbsenceProp" display="?"/>
    <hyperlink ref="G35" location="G_AbsenceAdj" display="?"/>
    <hyperlink ref="G37" location="G_CostOfAbsence" display="?"/>
    <hyperlink ref="G43" location="G_PresenteeismDays" display="?"/>
    <hyperlink ref="G45" location="G_PresenteeismProp" display="?"/>
    <hyperlink ref="G47" location="G_PresenteeismCost" display="?"/>
    <hyperlink ref="G53" location="G_Turnover" display="?"/>
    <hyperlink ref="G55" location="G_CostofTurnover" display="?"/>
    <hyperlink ref="G57" location="G_TotalCostOfTurnover" display="?"/>
    <hyperlink ref="G63" location="G_Claims" display="?"/>
    <hyperlink ref="G65" location="G_ClaimCosts" display="?"/>
    <hyperlink ref="G67" location="G_TotalClaimCosts" display="?"/>
    <hyperlink ref="G71" location="G_OtherCosts" display="?"/>
  </hyperlinks>
  <printOptions/>
  <pageMargins left="0.78" right="0.75" top="0.71" bottom="0.66" header="0.5" footer="0.5"/>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sheetPr codeName="Sheet3">
    <tabColor indexed="52"/>
    <pageSetUpPr fitToPage="1"/>
  </sheetPr>
  <dimension ref="B2:F36"/>
  <sheetViews>
    <sheetView zoomScale="70" zoomScaleNormal="70" workbookViewId="0" topLeftCell="A1">
      <selection activeCell="A1" sqref="A1"/>
    </sheetView>
  </sheetViews>
  <sheetFormatPr defaultColWidth="9.140625" defaultRowHeight="12.75"/>
  <cols>
    <col min="1" max="2" width="5.00390625" style="1" customWidth="1"/>
    <col min="3" max="3" width="76.28125" style="1" customWidth="1"/>
    <col min="4" max="4" width="13.7109375" style="1" customWidth="1"/>
    <col min="5" max="5" width="9.140625" style="1" customWidth="1"/>
    <col min="6" max="6" width="3.57421875" style="1" customWidth="1"/>
    <col min="7" max="16384" width="9.140625" style="1" customWidth="1"/>
  </cols>
  <sheetData>
    <row r="2" ht="23.25">
      <c r="B2" s="21" t="s">
        <v>96</v>
      </c>
    </row>
    <row r="3" ht="16.5" thickBot="1">
      <c r="B3" s="34"/>
    </row>
    <row r="4" spans="2:6" ht="15">
      <c r="B4" s="39"/>
      <c r="C4" s="40"/>
      <c r="D4" s="40"/>
      <c r="E4" s="40"/>
      <c r="F4" s="41"/>
    </row>
    <row r="5" spans="2:6" ht="15">
      <c r="B5" s="42"/>
      <c r="C5" s="33"/>
      <c r="D5" s="33"/>
      <c r="E5" s="33"/>
      <c r="F5" s="43"/>
    </row>
    <row r="6" spans="2:6" ht="15">
      <c r="B6" s="42"/>
      <c r="C6" s="33"/>
      <c r="D6" s="33"/>
      <c r="E6" s="33"/>
      <c r="F6" s="43"/>
    </row>
    <row r="7" spans="2:6" ht="15">
      <c r="B7" s="42"/>
      <c r="C7" s="33"/>
      <c r="D7" s="33"/>
      <c r="E7" s="33"/>
      <c r="F7" s="43"/>
    </row>
    <row r="8" spans="2:6" ht="15">
      <c r="B8" s="42"/>
      <c r="C8" s="33"/>
      <c r="D8" s="33"/>
      <c r="E8" s="33"/>
      <c r="F8" s="43"/>
    </row>
    <row r="9" spans="2:6" ht="15">
      <c r="B9" s="42"/>
      <c r="C9" s="33"/>
      <c r="D9" s="33"/>
      <c r="E9" s="33"/>
      <c r="F9" s="43"/>
    </row>
    <row r="10" spans="2:6" ht="15">
      <c r="B10" s="42"/>
      <c r="C10" s="33"/>
      <c r="D10" s="33"/>
      <c r="E10" s="33"/>
      <c r="F10" s="43"/>
    </row>
    <row r="11" spans="2:6" ht="15">
      <c r="B11" s="42"/>
      <c r="C11" s="33"/>
      <c r="D11" s="33"/>
      <c r="E11" s="33"/>
      <c r="F11" s="43"/>
    </row>
    <row r="12" spans="2:6" ht="15">
      <c r="B12" s="42"/>
      <c r="C12" s="33"/>
      <c r="D12" s="33"/>
      <c r="E12" s="33"/>
      <c r="F12" s="43"/>
    </row>
    <row r="13" spans="2:6" ht="15">
      <c r="B13" s="42"/>
      <c r="C13" s="33"/>
      <c r="D13" s="33"/>
      <c r="E13" s="33"/>
      <c r="F13" s="43"/>
    </row>
    <row r="14" spans="2:6" ht="15">
      <c r="B14" s="42"/>
      <c r="C14" s="33"/>
      <c r="D14" s="33"/>
      <c r="E14" s="33"/>
      <c r="F14" s="43"/>
    </row>
    <row r="15" spans="2:6" ht="15">
      <c r="B15" s="42"/>
      <c r="C15" s="33"/>
      <c r="D15" s="33"/>
      <c r="E15" s="33"/>
      <c r="F15" s="43"/>
    </row>
    <row r="16" spans="2:6" ht="15">
      <c r="B16" s="42"/>
      <c r="C16" s="33"/>
      <c r="D16" s="33"/>
      <c r="E16" s="33"/>
      <c r="F16" s="43"/>
    </row>
    <row r="17" spans="2:6" ht="15">
      <c r="B17" s="42"/>
      <c r="C17" s="33"/>
      <c r="D17" s="33"/>
      <c r="E17" s="33"/>
      <c r="F17" s="43"/>
    </row>
    <row r="18" spans="2:6" ht="15">
      <c r="B18" s="42"/>
      <c r="C18" s="33"/>
      <c r="D18" s="33"/>
      <c r="E18" s="33"/>
      <c r="F18" s="43"/>
    </row>
    <row r="19" spans="2:6" ht="15">
      <c r="B19" s="42"/>
      <c r="C19" s="33"/>
      <c r="D19" s="33"/>
      <c r="E19" s="33"/>
      <c r="F19" s="43"/>
    </row>
    <row r="20" spans="2:6" ht="15">
      <c r="B20" s="42"/>
      <c r="C20" s="33"/>
      <c r="D20" s="33"/>
      <c r="E20" s="33"/>
      <c r="F20" s="43"/>
    </row>
    <row r="21" spans="2:6" ht="15">
      <c r="B21" s="42"/>
      <c r="C21" s="33"/>
      <c r="D21" s="33"/>
      <c r="E21" s="33"/>
      <c r="F21" s="43"/>
    </row>
    <row r="22" spans="2:6" ht="15">
      <c r="B22" s="42"/>
      <c r="C22" s="33"/>
      <c r="D22" s="33"/>
      <c r="E22" s="33"/>
      <c r="F22" s="43"/>
    </row>
    <row r="23" spans="2:6" ht="15">
      <c r="B23" s="42"/>
      <c r="C23" s="33"/>
      <c r="D23" s="33"/>
      <c r="E23" s="33"/>
      <c r="F23" s="43"/>
    </row>
    <row r="24" spans="2:6" ht="15">
      <c r="B24" s="42"/>
      <c r="C24" s="33"/>
      <c r="D24" s="33"/>
      <c r="E24" s="33"/>
      <c r="F24" s="43"/>
    </row>
    <row r="25" spans="2:6" ht="15">
      <c r="B25" s="42"/>
      <c r="C25" s="33"/>
      <c r="D25" s="33"/>
      <c r="E25" s="33"/>
      <c r="F25" s="43"/>
    </row>
    <row r="26" spans="2:6" ht="15.75">
      <c r="B26" s="42"/>
      <c r="C26" s="17" t="s">
        <v>77</v>
      </c>
      <c r="D26" s="18"/>
      <c r="E26" s="18"/>
      <c r="F26" s="43"/>
    </row>
    <row r="27" spans="2:6" ht="15">
      <c r="B27" s="42"/>
      <c r="C27" s="33"/>
      <c r="D27" s="33"/>
      <c r="E27" s="33"/>
      <c r="F27" s="43"/>
    </row>
    <row r="28" spans="2:6" ht="15">
      <c r="B28" s="42"/>
      <c r="C28" s="6" t="s">
        <v>55</v>
      </c>
      <c r="D28" s="35">
        <f>'1a. What are my costs'!F37</f>
        <v>0</v>
      </c>
      <c r="E28" s="36" t="e">
        <f>D28/$D$34</f>
        <v>#DIV/0!</v>
      </c>
      <c r="F28" s="43"/>
    </row>
    <row r="29" spans="2:6" ht="15">
      <c r="B29" s="42"/>
      <c r="C29" s="6" t="s">
        <v>56</v>
      </c>
      <c r="D29" s="35">
        <f>'1a. What are my costs'!F47</f>
        <v>0</v>
      </c>
      <c r="E29" s="36" t="e">
        <f>D29/$D$34</f>
        <v>#DIV/0!</v>
      </c>
      <c r="F29" s="43"/>
    </row>
    <row r="30" spans="2:6" ht="15">
      <c r="B30" s="42"/>
      <c r="C30" s="6" t="s">
        <v>57</v>
      </c>
      <c r="D30" s="35">
        <f>'1a. What are my costs'!F57</f>
        <v>0</v>
      </c>
      <c r="E30" s="36" t="e">
        <f>D30/$D$34</f>
        <v>#DIV/0!</v>
      </c>
      <c r="F30" s="43"/>
    </row>
    <row r="31" spans="2:6" ht="15">
      <c r="B31" s="42"/>
      <c r="C31" s="6" t="s">
        <v>174</v>
      </c>
      <c r="D31" s="35">
        <f>'1a. What are my costs'!F67</f>
        <v>0</v>
      </c>
      <c r="E31" s="36" t="e">
        <f>D31/$D$34</f>
        <v>#DIV/0!</v>
      </c>
      <c r="F31" s="43"/>
    </row>
    <row r="32" spans="2:6" ht="15">
      <c r="B32" s="42"/>
      <c r="C32" s="6" t="s">
        <v>74</v>
      </c>
      <c r="D32" s="35">
        <f>'1a. What are my costs'!F79</f>
        <v>0</v>
      </c>
      <c r="E32" s="36" t="e">
        <f>D32/$D$34</f>
        <v>#DIV/0!</v>
      </c>
      <c r="F32" s="43"/>
    </row>
    <row r="33" spans="2:6" ht="15">
      <c r="B33" s="42"/>
      <c r="C33" s="6"/>
      <c r="D33" s="35"/>
      <c r="E33" s="33"/>
      <c r="F33" s="43"/>
    </row>
    <row r="34" spans="2:6" ht="15.75">
      <c r="B34" s="42"/>
      <c r="C34" s="4" t="s">
        <v>78</v>
      </c>
      <c r="D34" s="37">
        <f>SUM(D28:D32)</f>
        <v>0</v>
      </c>
      <c r="E34" s="38" t="e">
        <f>D34/$D$34</f>
        <v>#DIV/0!</v>
      </c>
      <c r="F34" s="43"/>
    </row>
    <row r="35" spans="2:6" ht="15">
      <c r="B35" s="42"/>
      <c r="C35" s="19"/>
      <c r="D35" s="19"/>
      <c r="E35" s="19"/>
      <c r="F35" s="43"/>
    </row>
    <row r="36" spans="2:6" ht="15.75" thickBot="1">
      <c r="B36" s="44"/>
      <c r="C36" s="45"/>
      <c r="D36" s="45"/>
      <c r="E36" s="45"/>
      <c r="F36" s="46"/>
    </row>
    <row r="39" ht="15"/>
    <row r="40" ht="15"/>
  </sheetData>
  <sheetProtection password="CAA3" sheet="1" objects="1" scenarios="1"/>
  <printOptions/>
  <pageMargins left="0.75" right="0.75" top="1" bottom="1"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6">
    <tabColor indexed="52"/>
  </sheetPr>
  <dimension ref="B2:G104"/>
  <sheetViews>
    <sheetView zoomScale="70" zoomScaleNormal="70" workbookViewId="0" topLeftCell="A1">
      <selection activeCell="A1" sqref="A1"/>
    </sheetView>
  </sheetViews>
  <sheetFormatPr defaultColWidth="9.140625" defaultRowHeight="12.75"/>
  <cols>
    <col min="1" max="1" width="3.8515625" style="3" customWidth="1"/>
    <col min="2" max="2" width="4.140625" style="3" customWidth="1"/>
    <col min="3" max="3" width="4.7109375" style="2" customWidth="1"/>
    <col min="4" max="4" width="86.140625" style="3" customWidth="1"/>
    <col min="5" max="5" width="20.57421875" style="3" customWidth="1"/>
    <col min="6" max="6" width="12.7109375" style="3" customWidth="1"/>
    <col min="7" max="16384" width="9.140625" style="3" customWidth="1"/>
  </cols>
  <sheetData>
    <row r="2" ht="23.25">
      <c r="B2" s="21" t="s">
        <v>93</v>
      </c>
    </row>
    <row r="3" ht="15.75" thickBot="1"/>
    <row r="4" spans="2:7" ht="15">
      <c r="B4" s="47"/>
      <c r="C4" s="48"/>
      <c r="D4" s="49"/>
      <c r="E4" s="49"/>
      <c r="F4" s="49"/>
      <c r="G4" s="50"/>
    </row>
    <row r="5" spans="2:7" ht="15.75">
      <c r="B5" s="51"/>
      <c r="C5" s="4" t="s">
        <v>61</v>
      </c>
      <c r="D5" s="5"/>
      <c r="E5" s="5"/>
      <c r="F5" s="5"/>
      <c r="G5" s="52"/>
    </row>
    <row r="6" spans="2:7" ht="15.75" thickBot="1">
      <c r="B6" s="51"/>
      <c r="C6" s="6"/>
      <c r="D6" s="5"/>
      <c r="E6" s="5"/>
      <c r="F6" s="5"/>
      <c r="G6" s="52"/>
    </row>
    <row r="7" spans="2:7" ht="15.75" thickBot="1">
      <c r="B7" s="51"/>
      <c r="C7" s="7">
        <v>1</v>
      </c>
      <c r="D7" s="5" t="s">
        <v>179</v>
      </c>
      <c r="E7" s="8">
        <v>20</v>
      </c>
      <c r="F7" s="5"/>
      <c r="G7" s="52"/>
    </row>
    <row r="8" spans="2:7" ht="15.75" thickBot="1">
      <c r="B8" s="51"/>
      <c r="C8" s="6"/>
      <c r="D8" s="5"/>
      <c r="E8" s="9"/>
      <c r="F8" s="5"/>
      <c r="G8" s="52"/>
    </row>
    <row r="9" spans="2:7" ht="15.75" thickBot="1">
      <c r="B9" s="51"/>
      <c r="C9" s="6">
        <v>2</v>
      </c>
      <c r="D9" s="5" t="s">
        <v>90</v>
      </c>
      <c r="E9" s="8">
        <v>25000</v>
      </c>
      <c r="F9" s="5"/>
      <c r="G9" s="52"/>
    </row>
    <row r="10" spans="2:7" ht="15.75" thickBot="1">
      <c r="B10" s="51"/>
      <c r="C10" s="6"/>
      <c r="D10" s="5"/>
      <c r="E10" s="9"/>
      <c r="F10" s="5"/>
      <c r="G10" s="52"/>
    </row>
    <row r="11" spans="2:7" ht="15.75" thickBot="1">
      <c r="B11" s="51"/>
      <c r="C11" s="6">
        <v>3</v>
      </c>
      <c r="D11" s="5" t="s">
        <v>147</v>
      </c>
      <c r="E11" s="8">
        <v>228</v>
      </c>
      <c r="F11" s="5"/>
      <c r="G11" s="52"/>
    </row>
    <row r="12" spans="2:7" ht="15.75" thickBot="1">
      <c r="B12" s="53"/>
      <c r="C12" s="54"/>
      <c r="D12" s="55"/>
      <c r="E12" s="56"/>
      <c r="F12" s="55"/>
      <c r="G12" s="57"/>
    </row>
    <row r="13" ht="15.75" thickBot="1">
      <c r="E13" s="10"/>
    </row>
    <row r="14" spans="2:7" ht="15">
      <c r="B14" s="47"/>
      <c r="C14" s="48"/>
      <c r="D14" s="49"/>
      <c r="E14" s="58"/>
      <c r="F14" s="49"/>
      <c r="G14" s="50"/>
    </row>
    <row r="15" spans="2:7" ht="15.75">
      <c r="B15" s="51"/>
      <c r="C15" s="4" t="s">
        <v>111</v>
      </c>
      <c r="D15" s="5"/>
      <c r="E15" s="9"/>
      <c r="F15" s="5"/>
      <c r="G15" s="52"/>
    </row>
    <row r="16" spans="2:7" ht="15.75" thickBot="1">
      <c r="B16" s="51"/>
      <c r="C16" s="6"/>
      <c r="D16" s="5"/>
      <c r="E16" s="9"/>
      <c r="F16" s="5"/>
      <c r="G16" s="52"/>
    </row>
    <row r="17" spans="2:7" ht="15.75" thickBot="1">
      <c r="B17" s="51"/>
      <c r="C17" s="6" t="s">
        <v>58</v>
      </c>
      <c r="D17" s="5" t="s">
        <v>168</v>
      </c>
      <c r="E17" s="8">
        <v>8</v>
      </c>
      <c r="F17" s="5"/>
      <c r="G17" s="52"/>
    </row>
    <row r="18" spans="2:7" ht="16.5" thickBot="1">
      <c r="B18" s="51"/>
      <c r="C18" s="14" t="s">
        <v>60</v>
      </c>
      <c r="D18" s="5"/>
      <c r="E18" s="9"/>
      <c r="F18" s="5"/>
      <c r="G18" s="52"/>
    </row>
    <row r="19" spans="2:7" ht="15.75" thickBot="1">
      <c r="B19" s="51"/>
      <c r="C19" s="6" t="s">
        <v>59</v>
      </c>
      <c r="D19" s="5" t="s">
        <v>171</v>
      </c>
      <c r="E19" s="15"/>
      <c r="F19" s="5"/>
      <c r="G19" s="52"/>
    </row>
    <row r="20" spans="2:7" ht="15.75" thickBot="1">
      <c r="B20" s="51"/>
      <c r="C20" s="6"/>
      <c r="D20" s="5"/>
      <c r="E20" s="9"/>
      <c r="F20" s="5"/>
      <c r="G20" s="52"/>
    </row>
    <row r="21" spans="2:7" ht="15.75" thickBot="1">
      <c r="B21" s="51"/>
      <c r="C21" s="6">
        <v>5</v>
      </c>
      <c r="D21" s="5" t="s">
        <v>151</v>
      </c>
      <c r="E21" s="16">
        <v>1</v>
      </c>
      <c r="F21" s="5"/>
      <c r="G21" s="52"/>
    </row>
    <row r="22" spans="2:7" ht="15">
      <c r="B22" s="51"/>
      <c r="C22" s="6"/>
      <c r="D22" s="5"/>
      <c r="E22" s="5"/>
      <c r="F22" s="5"/>
      <c r="G22" s="52"/>
    </row>
    <row r="23" spans="2:7" s="24" customFormat="1" ht="15.75">
      <c r="B23" s="59"/>
      <c r="C23" s="23" t="s">
        <v>66</v>
      </c>
      <c r="D23" s="26"/>
      <c r="E23" s="25">
        <f>IF(E17&gt;0,E7*(E17/E11)*E9*E21,E7*E19*E9*E21)</f>
        <v>17543.859649122805</v>
      </c>
      <c r="F23" s="26"/>
      <c r="G23" s="60"/>
    </row>
    <row r="24" spans="2:7" ht="15.75" thickBot="1">
      <c r="B24" s="53"/>
      <c r="C24" s="54"/>
      <c r="D24" s="55"/>
      <c r="E24" s="55"/>
      <c r="F24" s="55"/>
      <c r="G24" s="57"/>
    </row>
    <row r="25" ht="15.75" thickBot="1"/>
    <row r="26" spans="2:7" ht="15">
      <c r="B26" s="47"/>
      <c r="C26" s="48"/>
      <c r="D26" s="49"/>
      <c r="E26" s="49"/>
      <c r="F26" s="49"/>
      <c r="G26" s="50"/>
    </row>
    <row r="27" spans="2:7" ht="15.75">
      <c r="B27" s="51"/>
      <c r="C27" s="4" t="s">
        <v>62</v>
      </c>
      <c r="D27" s="5"/>
      <c r="E27" s="5"/>
      <c r="F27" s="5"/>
      <c r="G27" s="52"/>
    </row>
    <row r="28" spans="2:7" ht="16.5" thickBot="1">
      <c r="B28" s="51"/>
      <c r="C28" s="4"/>
      <c r="D28" s="5"/>
      <c r="E28" s="5"/>
      <c r="F28" s="5"/>
      <c r="G28" s="52"/>
    </row>
    <row r="29" spans="2:7" ht="15.75" thickBot="1">
      <c r="B29" s="51"/>
      <c r="C29" s="6" t="s">
        <v>71</v>
      </c>
      <c r="D29" s="5" t="s">
        <v>169</v>
      </c>
      <c r="E29" s="8">
        <v>8</v>
      </c>
      <c r="F29" s="5"/>
      <c r="G29" s="52"/>
    </row>
    <row r="30" spans="2:7" ht="16.5" thickBot="1">
      <c r="B30" s="51"/>
      <c r="C30" s="14" t="s">
        <v>60</v>
      </c>
      <c r="D30" s="5"/>
      <c r="E30" s="9"/>
      <c r="F30" s="5"/>
      <c r="G30" s="52"/>
    </row>
    <row r="31" spans="2:7" ht="15.75" thickBot="1">
      <c r="B31" s="51"/>
      <c r="C31" s="6" t="s">
        <v>72</v>
      </c>
      <c r="D31" s="5" t="s">
        <v>172</v>
      </c>
      <c r="E31" s="15"/>
      <c r="F31" s="5"/>
      <c r="G31" s="52"/>
    </row>
    <row r="32" spans="2:7" ht="15">
      <c r="B32" s="51"/>
      <c r="C32" s="6"/>
      <c r="D32" s="5"/>
      <c r="E32" s="9"/>
      <c r="F32" s="5"/>
      <c r="G32" s="52"/>
    </row>
    <row r="33" spans="2:7" s="24" customFormat="1" ht="15.75">
      <c r="B33" s="59"/>
      <c r="C33" s="23" t="s">
        <v>73</v>
      </c>
      <c r="D33" s="26"/>
      <c r="E33" s="25">
        <f>IF(E29&gt;0,E7*(E29/E11)*E9,E7*E31*E9)</f>
        <v>17543.859649122805</v>
      </c>
      <c r="F33" s="26"/>
      <c r="G33" s="60"/>
    </row>
    <row r="34" spans="2:7" ht="15.75" thickBot="1">
      <c r="B34" s="53"/>
      <c r="C34" s="54"/>
      <c r="D34" s="55"/>
      <c r="E34" s="55"/>
      <c r="F34" s="55"/>
      <c r="G34" s="57"/>
    </row>
    <row r="35" spans="2:7" ht="15.75" thickBot="1">
      <c r="B35" s="5"/>
      <c r="C35" s="6"/>
      <c r="D35" s="5"/>
      <c r="E35" s="5"/>
      <c r="F35" s="5"/>
      <c r="G35" s="5"/>
    </row>
    <row r="36" spans="2:7" ht="15">
      <c r="B36" s="47"/>
      <c r="C36" s="48"/>
      <c r="D36" s="49"/>
      <c r="E36" s="49"/>
      <c r="F36" s="49"/>
      <c r="G36" s="50"/>
    </row>
    <row r="37" spans="2:7" ht="15.75">
      <c r="B37" s="51"/>
      <c r="C37" s="4" t="s">
        <v>63</v>
      </c>
      <c r="D37" s="5"/>
      <c r="E37" s="5"/>
      <c r="F37" s="5"/>
      <c r="G37" s="52"/>
    </row>
    <row r="38" spans="2:7" ht="15.75" thickBot="1">
      <c r="B38" s="51"/>
      <c r="C38" s="6"/>
      <c r="D38" s="5"/>
      <c r="E38" s="5"/>
      <c r="F38" s="5"/>
      <c r="G38" s="52"/>
    </row>
    <row r="39" spans="2:7" ht="15.75" thickBot="1">
      <c r="B39" s="51"/>
      <c r="C39" s="6">
        <v>6</v>
      </c>
      <c r="D39" s="5" t="s">
        <v>38</v>
      </c>
      <c r="E39" s="12">
        <v>0.05</v>
      </c>
      <c r="F39" s="5"/>
      <c r="G39" s="52"/>
    </row>
    <row r="40" spans="2:7" ht="15.75" thickBot="1">
      <c r="B40" s="51"/>
      <c r="C40" s="6"/>
      <c r="D40" s="5"/>
      <c r="E40" s="5"/>
      <c r="F40" s="5"/>
      <c r="G40" s="52"/>
    </row>
    <row r="41" spans="2:7" ht="15.75" thickBot="1">
      <c r="B41" s="51"/>
      <c r="C41" s="6">
        <v>7</v>
      </c>
      <c r="D41" s="5" t="s">
        <v>64</v>
      </c>
      <c r="E41" s="13">
        <v>12500</v>
      </c>
      <c r="F41" s="5"/>
      <c r="G41" s="52"/>
    </row>
    <row r="42" spans="2:7" ht="15">
      <c r="B42" s="51"/>
      <c r="C42" s="6"/>
      <c r="D42" s="5"/>
      <c r="E42" s="5"/>
      <c r="F42" s="5"/>
      <c r="G42" s="52"/>
    </row>
    <row r="43" spans="2:7" s="24" customFormat="1" ht="15.75">
      <c r="B43" s="59"/>
      <c r="C43" s="23" t="s">
        <v>65</v>
      </c>
      <c r="D43" s="26"/>
      <c r="E43" s="25">
        <f>E39*E41*E7</f>
        <v>12500</v>
      </c>
      <c r="F43" s="26"/>
      <c r="G43" s="60"/>
    </row>
    <row r="44" spans="2:7" ht="16.5" thickBot="1">
      <c r="B44" s="53"/>
      <c r="C44" s="61"/>
      <c r="D44" s="55"/>
      <c r="E44" s="55"/>
      <c r="F44" s="55"/>
      <c r="G44" s="57"/>
    </row>
    <row r="45" spans="2:7" ht="15.75" thickBot="1">
      <c r="B45" s="5"/>
      <c r="C45" s="6"/>
      <c r="D45" s="5"/>
      <c r="E45" s="5"/>
      <c r="F45" s="5"/>
      <c r="G45" s="5"/>
    </row>
    <row r="46" spans="2:7" ht="15">
      <c r="B46" s="47"/>
      <c r="C46" s="48"/>
      <c r="D46" s="49"/>
      <c r="E46" s="49"/>
      <c r="F46" s="49"/>
      <c r="G46" s="50"/>
    </row>
    <row r="47" spans="2:7" ht="15.75">
      <c r="B47" s="51"/>
      <c r="C47" s="4" t="s">
        <v>175</v>
      </c>
      <c r="D47" s="5"/>
      <c r="E47" s="5"/>
      <c r="F47" s="5"/>
      <c r="G47" s="52"/>
    </row>
    <row r="48" spans="2:7" ht="15.75" thickBot="1">
      <c r="B48" s="51"/>
      <c r="C48" s="6"/>
      <c r="D48" s="5"/>
      <c r="E48" s="5"/>
      <c r="F48" s="5"/>
      <c r="G48" s="52"/>
    </row>
    <row r="49" spans="2:7" ht="15.75" thickBot="1">
      <c r="B49" s="51"/>
      <c r="C49" s="6">
        <v>8</v>
      </c>
      <c r="D49" s="5" t="s">
        <v>69</v>
      </c>
      <c r="E49" s="11">
        <v>2</v>
      </c>
      <c r="F49" s="5"/>
      <c r="G49" s="52"/>
    </row>
    <row r="50" spans="2:7" ht="15.75" thickBot="1">
      <c r="B50" s="51"/>
      <c r="C50" s="6"/>
      <c r="D50" s="5"/>
      <c r="E50" s="5"/>
      <c r="F50" s="5"/>
      <c r="G50" s="52"/>
    </row>
    <row r="51" spans="2:7" ht="15.75" thickBot="1">
      <c r="B51" s="51"/>
      <c r="C51" s="6">
        <v>9</v>
      </c>
      <c r="D51" s="5" t="s">
        <v>70</v>
      </c>
      <c r="E51" s="13">
        <v>200</v>
      </c>
      <c r="F51" s="5"/>
      <c r="G51" s="52"/>
    </row>
    <row r="52" spans="2:7" ht="15">
      <c r="B52" s="51"/>
      <c r="C52" s="6"/>
      <c r="D52" s="5"/>
      <c r="E52" s="5"/>
      <c r="F52" s="5"/>
      <c r="G52" s="52"/>
    </row>
    <row r="53" spans="2:7" s="24" customFormat="1" ht="15.75">
      <c r="B53" s="59"/>
      <c r="C53" s="23" t="s">
        <v>68</v>
      </c>
      <c r="D53" s="26"/>
      <c r="E53" s="25">
        <f>(E49*E51)</f>
        <v>400</v>
      </c>
      <c r="F53" s="26"/>
      <c r="G53" s="60"/>
    </row>
    <row r="54" spans="2:7" ht="15.75" thickBot="1">
      <c r="B54" s="53"/>
      <c r="C54" s="54"/>
      <c r="D54" s="55"/>
      <c r="E54" s="55"/>
      <c r="F54" s="55"/>
      <c r="G54" s="57"/>
    </row>
    <row r="55" spans="2:7" ht="15.75" thickBot="1">
      <c r="B55" s="5"/>
      <c r="C55" s="6"/>
      <c r="D55" s="5"/>
      <c r="E55" s="5"/>
      <c r="F55" s="5"/>
      <c r="G55" s="5"/>
    </row>
    <row r="56" spans="2:7" ht="15">
      <c r="B56" s="47"/>
      <c r="C56" s="48"/>
      <c r="D56" s="49"/>
      <c r="E56" s="49"/>
      <c r="F56" s="49"/>
      <c r="G56" s="50"/>
    </row>
    <row r="57" spans="2:7" ht="15.75">
      <c r="B57" s="51"/>
      <c r="C57" s="4" t="s">
        <v>75</v>
      </c>
      <c r="D57" s="5"/>
      <c r="E57" s="5"/>
      <c r="F57" s="5"/>
      <c r="G57" s="52"/>
    </row>
    <row r="58" spans="2:7" ht="15">
      <c r="B58" s="51"/>
      <c r="C58" s="6"/>
      <c r="D58" s="5"/>
      <c r="E58" s="5"/>
      <c r="F58" s="5"/>
      <c r="G58" s="52"/>
    </row>
    <row r="59" spans="2:7" ht="15">
      <c r="B59" s="51"/>
      <c r="C59" s="6">
        <v>10</v>
      </c>
      <c r="D59" s="5" t="s">
        <v>76</v>
      </c>
      <c r="E59" s="62" t="s">
        <v>7</v>
      </c>
      <c r="F59" s="5"/>
      <c r="G59" s="52"/>
    </row>
    <row r="60" spans="2:7" ht="15.75" thickBot="1">
      <c r="B60" s="51"/>
      <c r="C60" s="6"/>
      <c r="D60" s="5"/>
      <c r="E60" s="5"/>
      <c r="F60" s="5"/>
      <c r="G60" s="52"/>
    </row>
    <row r="61" spans="2:7" ht="15.75" thickBot="1">
      <c r="B61" s="51"/>
      <c r="C61" s="6">
        <v>11</v>
      </c>
      <c r="D61" s="5" t="s">
        <v>42</v>
      </c>
      <c r="E61" s="11">
        <v>1</v>
      </c>
      <c r="F61" s="5"/>
      <c r="G61" s="52"/>
    </row>
    <row r="62" spans="2:7" ht="15.75" thickBot="1">
      <c r="B62" s="51"/>
      <c r="C62" s="6"/>
      <c r="D62" s="5"/>
      <c r="E62" s="5"/>
      <c r="F62" s="5"/>
      <c r="G62" s="52"/>
    </row>
    <row r="63" spans="2:7" ht="15.75" thickBot="1">
      <c r="B63" s="51"/>
      <c r="C63" s="6">
        <v>12</v>
      </c>
      <c r="D63" s="5" t="s">
        <v>43</v>
      </c>
      <c r="E63" s="13">
        <v>250</v>
      </c>
      <c r="F63" s="5"/>
      <c r="G63" s="52"/>
    </row>
    <row r="64" spans="2:7" ht="15">
      <c r="B64" s="51"/>
      <c r="C64" s="6"/>
      <c r="D64" s="5"/>
      <c r="E64" s="5"/>
      <c r="F64" s="5"/>
      <c r="G64" s="52"/>
    </row>
    <row r="65" spans="2:7" s="24" customFormat="1" ht="15.75">
      <c r="B65" s="59"/>
      <c r="C65" s="23" t="str">
        <f>CONCATENATE("Cost of ",E59)</f>
        <v>Cost of Occupational Health Assessment</v>
      </c>
      <c r="D65" s="26"/>
      <c r="E65" s="25">
        <f>E61*E63</f>
        <v>250</v>
      </c>
      <c r="F65" s="26"/>
      <c r="G65" s="60"/>
    </row>
    <row r="66" spans="2:7" ht="15.75" thickBot="1">
      <c r="B66" s="53"/>
      <c r="C66" s="54"/>
      <c r="D66" s="55"/>
      <c r="E66" s="55"/>
      <c r="F66" s="55"/>
      <c r="G66" s="57"/>
    </row>
    <row r="70" ht="15.75" thickBot="1"/>
    <row r="71" spans="2:7" ht="15">
      <c r="B71" s="47"/>
      <c r="C71" s="48"/>
      <c r="D71" s="49"/>
      <c r="E71" s="49"/>
      <c r="F71" s="49"/>
      <c r="G71" s="50"/>
    </row>
    <row r="72" spans="2:7" s="1" customFormat="1" ht="15">
      <c r="B72" s="42"/>
      <c r="C72" s="33"/>
      <c r="D72" s="33"/>
      <c r="E72" s="33"/>
      <c r="F72" s="33"/>
      <c r="G72" s="43"/>
    </row>
    <row r="73" spans="2:7" s="1" customFormat="1" ht="15">
      <c r="B73" s="42"/>
      <c r="C73" s="33"/>
      <c r="D73" s="33"/>
      <c r="E73" s="33"/>
      <c r="F73" s="33"/>
      <c r="G73" s="43"/>
    </row>
    <row r="74" spans="2:7" s="1" customFormat="1" ht="15">
      <c r="B74" s="42"/>
      <c r="C74" s="33"/>
      <c r="D74" s="33"/>
      <c r="E74" s="33"/>
      <c r="F74" s="33"/>
      <c r="G74" s="43"/>
    </row>
    <row r="75" spans="2:7" s="1" customFormat="1" ht="15">
      <c r="B75" s="42"/>
      <c r="C75" s="33"/>
      <c r="D75" s="33"/>
      <c r="E75" s="33"/>
      <c r="F75" s="33"/>
      <c r="G75" s="43"/>
    </row>
    <row r="76" spans="2:7" s="1" customFormat="1" ht="15">
      <c r="B76" s="42"/>
      <c r="C76" s="33"/>
      <c r="D76" s="33"/>
      <c r="E76" s="33"/>
      <c r="F76" s="33"/>
      <c r="G76" s="43"/>
    </row>
    <row r="77" spans="2:7" s="1" customFormat="1" ht="15">
      <c r="B77" s="42"/>
      <c r="C77" s="33"/>
      <c r="D77" s="33"/>
      <c r="E77" s="33"/>
      <c r="F77" s="33"/>
      <c r="G77" s="43"/>
    </row>
    <row r="78" spans="2:7" s="1" customFormat="1" ht="15">
      <c r="B78" s="42"/>
      <c r="C78" s="33"/>
      <c r="D78" s="33"/>
      <c r="E78" s="33"/>
      <c r="F78" s="33"/>
      <c r="G78" s="43"/>
    </row>
    <row r="79" spans="2:7" s="1" customFormat="1" ht="15">
      <c r="B79" s="42"/>
      <c r="C79" s="33"/>
      <c r="D79" s="33"/>
      <c r="E79" s="33"/>
      <c r="F79" s="33"/>
      <c r="G79" s="43"/>
    </row>
    <row r="80" spans="2:7" s="1" customFormat="1" ht="15">
      <c r="B80" s="42"/>
      <c r="C80" s="33"/>
      <c r="D80" s="33"/>
      <c r="E80" s="33"/>
      <c r="F80" s="33"/>
      <c r="G80" s="43"/>
    </row>
    <row r="81" spans="2:7" s="1" customFormat="1" ht="15">
      <c r="B81" s="42"/>
      <c r="C81" s="33"/>
      <c r="D81" s="33"/>
      <c r="E81" s="33"/>
      <c r="F81" s="33"/>
      <c r="G81" s="43"/>
    </row>
    <row r="82" spans="2:7" s="1" customFormat="1" ht="15">
      <c r="B82" s="42"/>
      <c r="C82" s="33"/>
      <c r="D82" s="33"/>
      <c r="E82" s="33"/>
      <c r="F82" s="33"/>
      <c r="G82" s="43"/>
    </row>
    <row r="83" spans="2:7" s="1" customFormat="1" ht="15">
      <c r="B83" s="42"/>
      <c r="C83" s="33"/>
      <c r="D83" s="33"/>
      <c r="E83" s="33"/>
      <c r="F83" s="33"/>
      <c r="G83" s="43"/>
    </row>
    <row r="84" spans="2:7" s="1" customFormat="1" ht="15">
      <c r="B84" s="42"/>
      <c r="C84" s="33"/>
      <c r="D84" s="33"/>
      <c r="E84" s="33"/>
      <c r="F84" s="33"/>
      <c r="G84" s="43"/>
    </row>
    <row r="85" spans="2:7" s="1" customFormat="1" ht="15">
      <c r="B85" s="42"/>
      <c r="C85" s="33"/>
      <c r="D85" s="33"/>
      <c r="E85" s="33"/>
      <c r="F85" s="33"/>
      <c r="G85" s="43"/>
    </row>
    <row r="86" spans="2:7" s="1" customFormat="1" ht="15">
      <c r="B86" s="42"/>
      <c r="C86" s="33"/>
      <c r="D86" s="33"/>
      <c r="E86" s="33"/>
      <c r="F86" s="33"/>
      <c r="G86" s="43"/>
    </row>
    <row r="87" spans="2:7" s="1" customFormat="1" ht="15">
      <c r="B87" s="42"/>
      <c r="C87" s="33"/>
      <c r="D87" s="33"/>
      <c r="E87" s="33"/>
      <c r="F87" s="33"/>
      <c r="G87" s="43"/>
    </row>
    <row r="88" spans="2:7" s="1" customFormat="1" ht="15">
      <c r="B88" s="42"/>
      <c r="C88" s="33"/>
      <c r="D88" s="33"/>
      <c r="E88" s="33"/>
      <c r="F88" s="33"/>
      <c r="G88" s="43"/>
    </row>
    <row r="89" spans="2:7" s="1" customFormat="1" ht="15">
      <c r="B89" s="42"/>
      <c r="C89" s="33"/>
      <c r="D89" s="33"/>
      <c r="E89" s="33"/>
      <c r="F89" s="33"/>
      <c r="G89" s="43"/>
    </row>
    <row r="90" spans="2:7" s="1" customFormat="1" ht="15">
      <c r="B90" s="42"/>
      <c r="C90" s="33"/>
      <c r="D90" s="33"/>
      <c r="E90" s="33"/>
      <c r="F90" s="33"/>
      <c r="G90" s="43"/>
    </row>
    <row r="91" spans="2:7" s="1" customFormat="1" ht="15">
      <c r="B91" s="42"/>
      <c r="C91" s="33"/>
      <c r="D91" s="33"/>
      <c r="E91" s="33"/>
      <c r="F91" s="33"/>
      <c r="G91" s="43"/>
    </row>
    <row r="92" spans="2:7" s="1" customFormat="1" ht="15">
      <c r="B92" s="42"/>
      <c r="C92" s="33"/>
      <c r="D92" s="33"/>
      <c r="E92" s="33"/>
      <c r="F92" s="33"/>
      <c r="G92" s="43"/>
    </row>
    <row r="93" spans="2:7" s="1" customFormat="1" ht="15">
      <c r="B93" s="42"/>
      <c r="C93" s="33"/>
      <c r="D93" s="33"/>
      <c r="E93" s="33"/>
      <c r="F93" s="33"/>
      <c r="G93" s="43"/>
    </row>
    <row r="94" spans="2:7" s="1" customFormat="1" ht="15.75">
      <c r="B94" s="42"/>
      <c r="C94" s="33"/>
      <c r="D94" s="17" t="s">
        <v>77</v>
      </c>
      <c r="E94" s="18"/>
      <c r="F94" s="18"/>
      <c r="G94" s="43"/>
    </row>
    <row r="95" spans="2:7" s="1" customFormat="1" ht="15">
      <c r="B95" s="42"/>
      <c r="C95" s="33"/>
      <c r="D95" s="33"/>
      <c r="E95" s="33"/>
      <c r="F95" s="33"/>
      <c r="G95" s="43"/>
    </row>
    <row r="96" spans="2:7" s="1" customFormat="1" ht="15">
      <c r="B96" s="42"/>
      <c r="C96" s="33"/>
      <c r="D96" s="6" t="s">
        <v>55</v>
      </c>
      <c r="E96" s="35">
        <f>E23</f>
        <v>17543.859649122805</v>
      </c>
      <c r="F96" s="36">
        <f>E96/$E$102</f>
        <v>0.3636958775072284</v>
      </c>
      <c r="G96" s="43"/>
    </row>
    <row r="97" spans="2:7" s="1" customFormat="1" ht="15">
      <c r="B97" s="42"/>
      <c r="C97" s="33"/>
      <c r="D97" s="6" t="s">
        <v>56</v>
      </c>
      <c r="E97" s="35">
        <f>E33</f>
        <v>17543.859649122805</v>
      </c>
      <c r="F97" s="36">
        <f aca="true" t="shared" si="0" ref="F97:F102">E97/$E$102</f>
        <v>0.3636958775072284</v>
      </c>
      <c r="G97" s="43"/>
    </row>
    <row r="98" spans="2:7" s="1" customFormat="1" ht="15">
      <c r="B98" s="42"/>
      <c r="C98" s="33"/>
      <c r="D98" s="6" t="s">
        <v>57</v>
      </c>
      <c r="E98" s="35">
        <f>E43</f>
        <v>12500</v>
      </c>
      <c r="F98" s="36">
        <f t="shared" si="0"/>
        <v>0.2591333127239003</v>
      </c>
      <c r="G98" s="43"/>
    </row>
    <row r="99" spans="2:7" s="1" customFormat="1" ht="15">
      <c r="B99" s="42"/>
      <c r="C99" s="33"/>
      <c r="D99" s="6" t="s">
        <v>174</v>
      </c>
      <c r="E99" s="35">
        <f>E53</f>
        <v>400</v>
      </c>
      <c r="F99" s="36">
        <f t="shared" si="0"/>
        <v>0.00829226600716481</v>
      </c>
      <c r="G99" s="43"/>
    </row>
    <row r="100" spans="2:7" s="1" customFormat="1" ht="15">
      <c r="B100" s="42"/>
      <c r="C100" s="33"/>
      <c r="D100" s="6" t="s">
        <v>74</v>
      </c>
      <c r="E100" s="35">
        <f>E65</f>
        <v>250</v>
      </c>
      <c r="F100" s="36">
        <f t="shared" si="0"/>
        <v>0.005182666254478006</v>
      </c>
      <c r="G100" s="43"/>
    </row>
    <row r="101" spans="2:7" s="1" customFormat="1" ht="15">
      <c r="B101" s="42"/>
      <c r="C101" s="33"/>
      <c r="D101" s="6"/>
      <c r="E101" s="35"/>
      <c r="F101" s="33"/>
      <c r="G101" s="43"/>
    </row>
    <row r="102" spans="2:7" s="1" customFormat="1" ht="15.75">
      <c r="B102" s="42"/>
      <c r="C102" s="33"/>
      <c r="D102" s="4" t="s">
        <v>78</v>
      </c>
      <c r="E102" s="37">
        <f>SUM(E96:E100)</f>
        <v>48237.71929824561</v>
      </c>
      <c r="F102" s="38">
        <f t="shared" si="0"/>
        <v>1</v>
      </c>
      <c r="G102" s="43"/>
    </row>
    <row r="103" spans="2:7" s="1" customFormat="1" ht="15">
      <c r="B103" s="42"/>
      <c r="C103" s="33"/>
      <c r="D103" s="19"/>
      <c r="E103" s="19"/>
      <c r="F103" s="19"/>
      <c r="G103" s="43"/>
    </row>
    <row r="104" spans="2:7" ht="15.75" thickBot="1">
      <c r="B104" s="53"/>
      <c r="C104" s="54"/>
      <c r="D104" s="55"/>
      <c r="E104" s="55"/>
      <c r="F104" s="55"/>
      <c r="G104" s="57"/>
    </row>
    <row r="107" ht="15"/>
    <row r="108" ht="15"/>
  </sheetData>
  <sheetProtection password="CAA3" sheet="1" objects="1" scenarios="1"/>
  <printOptions/>
  <pageMargins left="0.75" right="0.75" top="1" bottom="1" header="0.5" footer="0.5"/>
  <pageSetup horizontalDpi="600" verticalDpi="600" orientation="portrait" paperSize="9" scale="59" r:id="rId2"/>
  <rowBreaks count="1" manualBreakCount="1">
    <brk id="68" min="1" max="8" man="1"/>
  </rowBreaks>
  <drawing r:id="rId1"/>
</worksheet>
</file>

<file path=xl/worksheets/sheet5.xml><?xml version="1.0" encoding="utf-8"?>
<worksheet xmlns="http://schemas.openxmlformats.org/spreadsheetml/2006/main" xmlns:r="http://schemas.openxmlformats.org/officeDocument/2006/relationships">
  <sheetPr codeName="Sheet4">
    <tabColor indexed="43"/>
    <pageSetUpPr fitToPage="1"/>
  </sheetPr>
  <dimension ref="B2:P69"/>
  <sheetViews>
    <sheetView zoomScale="65" zoomScaleNormal="65" workbookViewId="0" topLeftCell="A1">
      <selection activeCell="A1" sqref="A1"/>
    </sheetView>
  </sheetViews>
  <sheetFormatPr defaultColWidth="9.140625" defaultRowHeight="12.75"/>
  <cols>
    <col min="1" max="1" width="3.421875" style="1" customWidth="1"/>
    <col min="2" max="2" width="3.8515625" style="1" customWidth="1"/>
    <col min="3" max="3" width="48.8515625" style="1" customWidth="1"/>
    <col min="4" max="4" width="7.140625" style="1" customWidth="1"/>
    <col min="5" max="5" width="14.421875" style="1" bestFit="1" customWidth="1"/>
    <col min="6" max="8" width="11.421875" style="1" bestFit="1" customWidth="1"/>
    <col min="9" max="15" width="12.8515625" style="1" bestFit="1" customWidth="1"/>
    <col min="16" max="16" width="7.57421875" style="1" customWidth="1"/>
    <col min="17" max="16384" width="9.140625" style="1" customWidth="1"/>
  </cols>
  <sheetData>
    <row r="2" ht="23.25">
      <c r="B2" s="20" t="s">
        <v>79</v>
      </c>
    </row>
    <row r="4" ht="15">
      <c r="B4" s="2" t="s">
        <v>13</v>
      </c>
    </row>
    <row r="5" ht="15">
      <c r="B5" s="2"/>
    </row>
    <row r="6" ht="15.75">
      <c r="B6" s="82" t="s">
        <v>114</v>
      </c>
    </row>
    <row r="7" ht="15.75">
      <c r="B7" s="82" t="s">
        <v>8</v>
      </c>
    </row>
    <row r="8" ht="15.75">
      <c r="B8" s="82" t="s">
        <v>112</v>
      </c>
    </row>
    <row r="9" ht="15.75">
      <c r="B9" s="82" t="s">
        <v>10</v>
      </c>
    </row>
    <row r="10" ht="15">
      <c r="B10" s="2"/>
    </row>
    <row r="11" ht="15.75" thickBot="1">
      <c r="B11" s="2"/>
    </row>
    <row r="12" spans="2:9" ht="15">
      <c r="B12" s="39"/>
      <c r="C12" s="40"/>
      <c r="D12" s="40"/>
      <c r="E12" s="40"/>
      <c r="F12" s="40"/>
      <c r="G12" s="40"/>
      <c r="H12" s="40"/>
      <c r="I12" s="41"/>
    </row>
    <row r="13" spans="2:9" ht="15.75">
      <c r="B13" s="42"/>
      <c r="C13" s="27" t="s">
        <v>86</v>
      </c>
      <c r="D13" s="27"/>
      <c r="E13" s="33"/>
      <c r="F13" s="33"/>
      <c r="G13" s="33"/>
      <c r="H13" s="33"/>
      <c r="I13" s="43"/>
    </row>
    <row r="14" spans="2:9" ht="16.5" thickBot="1">
      <c r="B14" s="42"/>
      <c r="C14" s="27"/>
      <c r="D14" s="27"/>
      <c r="E14" s="33"/>
      <c r="F14" s="33"/>
      <c r="G14" s="33"/>
      <c r="H14" s="33"/>
      <c r="I14" s="43"/>
    </row>
    <row r="15" spans="2:9" ht="15.75" thickBot="1">
      <c r="B15" s="42"/>
      <c r="C15" s="33" t="s">
        <v>87</v>
      </c>
      <c r="D15" s="33"/>
      <c r="E15" s="135"/>
      <c r="F15" s="99"/>
      <c r="G15" s="99"/>
      <c r="H15" s="100"/>
      <c r="I15" s="43"/>
    </row>
    <row r="16" spans="2:9" ht="15.75" thickBot="1">
      <c r="B16" s="42"/>
      <c r="C16" s="33"/>
      <c r="D16" s="33"/>
      <c r="E16" s="33"/>
      <c r="F16" s="33"/>
      <c r="G16" s="33"/>
      <c r="H16" s="33"/>
      <c r="I16" s="43"/>
    </row>
    <row r="17" spans="2:11" ht="16.5" thickBot="1">
      <c r="B17" s="42"/>
      <c r="C17" s="33" t="s">
        <v>166</v>
      </c>
      <c r="D17" s="33"/>
      <c r="E17" s="136">
        <v>2</v>
      </c>
      <c r="F17" s="134" t="s">
        <v>138</v>
      </c>
      <c r="G17" s="33"/>
      <c r="H17" s="33"/>
      <c r="I17" s="43"/>
      <c r="K17" s="133"/>
    </row>
    <row r="18" spans="2:9" ht="15.75" thickBot="1">
      <c r="B18" s="42"/>
      <c r="C18" s="176" t="s">
        <v>177</v>
      </c>
      <c r="D18" s="33"/>
      <c r="E18" s="33"/>
      <c r="F18" s="33"/>
      <c r="G18" s="33"/>
      <c r="H18" s="33"/>
      <c r="I18" s="43"/>
    </row>
    <row r="19" spans="2:9" ht="16.5" thickBot="1">
      <c r="B19" s="42"/>
      <c r="C19" s="33" t="s">
        <v>48</v>
      </c>
      <c r="D19" s="33"/>
      <c r="E19" s="137">
        <v>0.07</v>
      </c>
      <c r="F19" s="134" t="s">
        <v>138</v>
      </c>
      <c r="G19" s="33"/>
      <c r="H19" s="33"/>
      <c r="I19" s="43"/>
    </row>
    <row r="20" spans="2:9" ht="15.75" thickBot="1">
      <c r="B20" s="44"/>
      <c r="C20" s="45"/>
      <c r="D20" s="45"/>
      <c r="E20" s="45"/>
      <c r="F20" s="45"/>
      <c r="G20" s="45"/>
      <c r="H20" s="45"/>
      <c r="I20" s="46"/>
    </row>
    <row r="21" ht="15.75" thickBot="1"/>
    <row r="22" spans="2:16" ht="15">
      <c r="B22" s="39"/>
      <c r="C22" s="40"/>
      <c r="D22" s="40"/>
      <c r="E22" s="40"/>
      <c r="F22" s="40"/>
      <c r="G22" s="40"/>
      <c r="H22" s="40"/>
      <c r="I22" s="40"/>
      <c r="J22" s="40"/>
      <c r="K22" s="40"/>
      <c r="L22" s="40"/>
      <c r="M22" s="40"/>
      <c r="N22" s="40"/>
      <c r="O22" s="40"/>
      <c r="P22" s="41"/>
    </row>
    <row r="23" spans="2:16" ht="15.75">
      <c r="B23" s="42"/>
      <c r="C23" s="27" t="s">
        <v>88</v>
      </c>
      <c r="D23" s="27"/>
      <c r="E23" s="33"/>
      <c r="F23" s="63"/>
      <c r="G23" s="33"/>
      <c r="H23" s="33"/>
      <c r="I23" s="33"/>
      <c r="J23" s="33"/>
      <c r="K23" s="33"/>
      <c r="L23" s="33"/>
      <c r="M23" s="33"/>
      <c r="N23" s="33"/>
      <c r="O23" s="33"/>
      <c r="P23" s="43"/>
    </row>
    <row r="24" spans="2:16" ht="15.75">
      <c r="B24" s="42"/>
      <c r="C24" s="27"/>
      <c r="D24" s="27"/>
      <c r="E24" s="33"/>
      <c r="F24" s="63"/>
      <c r="G24" s="33"/>
      <c r="H24" s="33"/>
      <c r="I24" s="33"/>
      <c r="J24" s="33"/>
      <c r="K24" s="33"/>
      <c r="L24" s="33"/>
      <c r="M24" s="33"/>
      <c r="N24" s="33"/>
      <c r="O24" s="33"/>
      <c r="P24" s="43"/>
    </row>
    <row r="25" spans="2:16" ht="15.75">
      <c r="B25" s="42"/>
      <c r="C25" s="27"/>
      <c r="D25" s="27"/>
      <c r="E25" s="33"/>
      <c r="F25" s="33"/>
      <c r="G25" s="33"/>
      <c r="H25" s="33"/>
      <c r="I25" s="33"/>
      <c r="J25" s="33"/>
      <c r="K25" s="33"/>
      <c r="L25" s="33"/>
      <c r="M25" s="33"/>
      <c r="N25" s="33"/>
      <c r="O25" s="33"/>
      <c r="P25" s="43"/>
    </row>
    <row r="26" spans="2:16" ht="15.75">
      <c r="B26" s="42"/>
      <c r="C26" s="101"/>
      <c r="D26" s="134" t="s">
        <v>138</v>
      </c>
      <c r="E26" s="63"/>
      <c r="F26" s="63"/>
      <c r="G26" s="63"/>
      <c r="H26" s="64"/>
      <c r="I26" s="33"/>
      <c r="J26" s="33"/>
      <c r="K26" s="33"/>
      <c r="L26" s="33"/>
      <c r="M26" s="33"/>
      <c r="N26" s="33"/>
      <c r="O26" s="33"/>
      <c r="P26" s="43"/>
    </row>
    <row r="27" spans="2:16" ht="15">
      <c r="B27" s="42"/>
      <c r="C27" s="33"/>
      <c r="D27" s="33"/>
      <c r="E27" s="63"/>
      <c r="F27" s="63"/>
      <c r="G27" s="64"/>
      <c r="H27" s="33"/>
      <c r="I27" s="33"/>
      <c r="J27" s="33"/>
      <c r="K27" s="33"/>
      <c r="L27" s="33"/>
      <c r="M27" s="33"/>
      <c r="N27" s="33"/>
      <c r="O27" s="33"/>
      <c r="P27" s="43"/>
    </row>
    <row r="28" spans="2:16" ht="15">
      <c r="B28" s="42"/>
      <c r="C28" s="33"/>
      <c r="D28" s="33"/>
      <c r="E28" s="63"/>
      <c r="F28" s="63"/>
      <c r="G28" s="64"/>
      <c r="H28" s="33"/>
      <c r="I28" s="33"/>
      <c r="J28" s="33"/>
      <c r="K28" s="33"/>
      <c r="L28" s="33"/>
      <c r="M28" s="33"/>
      <c r="N28" s="33"/>
      <c r="O28" s="33"/>
      <c r="P28" s="43"/>
    </row>
    <row r="29" spans="2:16" ht="15.75">
      <c r="B29" s="42"/>
      <c r="C29" s="177" t="s">
        <v>178</v>
      </c>
      <c r="D29" s="33"/>
      <c r="E29" s="63"/>
      <c r="F29" s="63"/>
      <c r="G29" s="64"/>
      <c r="H29" s="33"/>
      <c r="I29" s="33"/>
      <c r="J29" s="33"/>
      <c r="K29" s="33"/>
      <c r="L29" s="33"/>
      <c r="M29" s="33"/>
      <c r="N29" s="33"/>
      <c r="O29" s="33"/>
      <c r="P29" s="43"/>
    </row>
    <row r="30" spans="2:16" ht="15">
      <c r="B30" s="42"/>
      <c r="C30" s="33"/>
      <c r="D30" s="33"/>
      <c r="E30" s="33"/>
      <c r="F30" s="33"/>
      <c r="G30" s="33"/>
      <c r="H30" s="33"/>
      <c r="I30" s="33"/>
      <c r="J30" s="33"/>
      <c r="K30" s="33"/>
      <c r="L30" s="33"/>
      <c r="M30" s="33"/>
      <c r="N30" s="33"/>
      <c r="O30" s="33"/>
      <c r="P30" s="43"/>
    </row>
    <row r="31" spans="2:16" ht="15.75">
      <c r="B31" s="42"/>
      <c r="C31" s="33"/>
      <c r="D31" s="33"/>
      <c r="E31" s="180" t="s">
        <v>81</v>
      </c>
      <c r="F31" s="180"/>
      <c r="G31" s="180"/>
      <c r="H31" s="180"/>
      <c r="I31" s="180"/>
      <c r="J31" s="180"/>
      <c r="K31" s="180"/>
      <c r="L31" s="180"/>
      <c r="M31" s="180"/>
      <c r="N31" s="180"/>
      <c r="O31" s="180"/>
      <c r="P31" s="43"/>
    </row>
    <row r="32" spans="2:16" ht="15.75">
      <c r="B32" s="42"/>
      <c r="C32" s="33"/>
      <c r="D32" s="33"/>
      <c r="E32" s="65"/>
      <c r="F32" s="65"/>
      <c r="G32" s="65"/>
      <c r="H32" s="65"/>
      <c r="I32" s="65"/>
      <c r="J32" s="65"/>
      <c r="K32" s="65"/>
      <c r="L32" s="65"/>
      <c r="M32" s="65"/>
      <c r="N32" s="65"/>
      <c r="O32" s="65"/>
      <c r="P32" s="43"/>
    </row>
    <row r="33" spans="2:16" ht="15.75">
      <c r="B33" s="42"/>
      <c r="C33" s="33"/>
      <c r="D33" s="33"/>
      <c r="E33" s="65">
        <v>0</v>
      </c>
      <c r="F33" s="65">
        <v>1</v>
      </c>
      <c r="G33" s="65">
        <v>2</v>
      </c>
      <c r="H33" s="65">
        <v>3</v>
      </c>
      <c r="I33" s="65">
        <v>4</v>
      </c>
      <c r="J33" s="65">
        <v>5</v>
      </c>
      <c r="K33" s="65">
        <v>6</v>
      </c>
      <c r="L33" s="65">
        <v>7</v>
      </c>
      <c r="M33" s="65">
        <v>8</v>
      </c>
      <c r="N33" s="65">
        <v>9</v>
      </c>
      <c r="O33" s="65">
        <v>10</v>
      </c>
      <c r="P33" s="43"/>
    </row>
    <row r="34" spans="2:16" ht="15.75">
      <c r="B34" s="42"/>
      <c r="C34" s="27" t="s">
        <v>61</v>
      </c>
      <c r="D34" s="27"/>
      <c r="E34" s="33"/>
      <c r="F34" s="33"/>
      <c r="G34" s="33"/>
      <c r="H34" s="33"/>
      <c r="I34" s="33"/>
      <c r="J34" s="33"/>
      <c r="K34" s="33"/>
      <c r="L34" s="33"/>
      <c r="M34" s="33"/>
      <c r="N34" s="33"/>
      <c r="O34" s="33"/>
      <c r="P34" s="43"/>
    </row>
    <row r="35" spans="2:16" ht="15.75">
      <c r="B35" s="42"/>
      <c r="C35" s="33" t="s">
        <v>142</v>
      </c>
      <c r="D35" s="134" t="s">
        <v>138</v>
      </c>
      <c r="E35" s="138"/>
      <c r="F35" s="138"/>
      <c r="G35" s="138"/>
      <c r="H35" s="154"/>
      <c r="I35" s="154"/>
      <c r="J35" s="154"/>
      <c r="K35" s="154"/>
      <c r="L35" s="154"/>
      <c r="M35" s="154"/>
      <c r="N35" s="154"/>
      <c r="O35" s="154"/>
      <c r="P35" s="43"/>
    </row>
    <row r="36" spans="2:16" ht="15.75">
      <c r="B36" s="42"/>
      <c r="C36" s="33" t="s">
        <v>90</v>
      </c>
      <c r="D36" s="134" t="s">
        <v>138</v>
      </c>
      <c r="E36" s="139"/>
      <c r="F36" s="139"/>
      <c r="G36" s="139"/>
      <c r="H36" s="153"/>
      <c r="I36" s="153"/>
      <c r="J36" s="153"/>
      <c r="K36" s="153"/>
      <c r="L36" s="153"/>
      <c r="M36" s="153"/>
      <c r="N36" s="153"/>
      <c r="O36" s="153"/>
      <c r="P36" s="43"/>
    </row>
    <row r="37" spans="2:16" ht="15.75">
      <c r="B37" s="42"/>
      <c r="C37" s="33" t="s">
        <v>89</v>
      </c>
      <c r="D37" s="134" t="s">
        <v>138</v>
      </c>
      <c r="E37" s="138">
        <v>228</v>
      </c>
      <c r="F37" s="138">
        <v>228</v>
      </c>
      <c r="G37" s="138">
        <v>228</v>
      </c>
      <c r="H37" s="154">
        <v>228</v>
      </c>
      <c r="I37" s="154">
        <v>228</v>
      </c>
      <c r="J37" s="154">
        <v>228</v>
      </c>
      <c r="K37" s="154">
        <v>228</v>
      </c>
      <c r="L37" s="154">
        <v>228</v>
      </c>
      <c r="M37" s="154">
        <v>228</v>
      </c>
      <c r="N37" s="154">
        <v>228</v>
      </c>
      <c r="O37" s="154">
        <v>228</v>
      </c>
      <c r="P37" s="43"/>
    </row>
    <row r="38" spans="2:16" ht="15">
      <c r="B38" s="42"/>
      <c r="C38" s="33"/>
      <c r="D38" s="33"/>
      <c r="E38" s="33"/>
      <c r="F38" s="33"/>
      <c r="G38" s="33"/>
      <c r="H38" s="33"/>
      <c r="I38" s="33"/>
      <c r="J38" s="33"/>
      <c r="K38" s="33"/>
      <c r="L38" s="33"/>
      <c r="M38" s="33"/>
      <c r="N38" s="33"/>
      <c r="O38" s="33"/>
      <c r="P38" s="43"/>
    </row>
    <row r="39" spans="2:16" ht="15.75">
      <c r="B39" s="42"/>
      <c r="C39" s="27" t="s">
        <v>83</v>
      </c>
      <c r="D39" s="27"/>
      <c r="E39" s="33"/>
      <c r="F39" s="33"/>
      <c r="G39" s="33"/>
      <c r="H39" s="33"/>
      <c r="I39" s="33"/>
      <c r="J39" s="33"/>
      <c r="K39" s="33"/>
      <c r="L39" s="33"/>
      <c r="M39" s="33"/>
      <c r="N39" s="33"/>
      <c r="O39" s="33"/>
      <c r="P39" s="43"/>
    </row>
    <row r="40" spans="2:16" ht="15.75">
      <c r="B40" s="42"/>
      <c r="C40" s="33" t="s">
        <v>82</v>
      </c>
      <c r="D40" s="134" t="s">
        <v>138</v>
      </c>
      <c r="E40" s="144"/>
      <c r="F40" s="35"/>
      <c r="G40" s="35"/>
      <c r="H40" s="35"/>
      <c r="I40" s="35"/>
      <c r="J40" s="35"/>
      <c r="K40" s="35"/>
      <c r="L40" s="35"/>
      <c r="M40" s="35"/>
      <c r="N40" s="35"/>
      <c r="O40" s="35"/>
      <c r="P40" s="43"/>
    </row>
    <row r="41" spans="2:16" ht="15.75">
      <c r="B41" s="42"/>
      <c r="C41" s="33" t="s">
        <v>84</v>
      </c>
      <c r="D41" s="134" t="s">
        <v>138</v>
      </c>
      <c r="E41" s="139"/>
      <c r="F41" s="139"/>
      <c r="G41" s="139"/>
      <c r="H41" s="153"/>
      <c r="I41" s="153"/>
      <c r="J41" s="153"/>
      <c r="K41" s="153"/>
      <c r="L41" s="153"/>
      <c r="M41" s="153"/>
      <c r="N41" s="153"/>
      <c r="O41" s="153"/>
      <c r="P41" s="43"/>
    </row>
    <row r="42" spans="2:16" ht="15.75">
      <c r="B42" s="42"/>
      <c r="C42" s="33" t="s">
        <v>170</v>
      </c>
      <c r="D42" s="134" t="s">
        <v>138</v>
      </c>
      <c r="E42" s="139"/>
      <c r="F42" s="139"/>
      <c r="G42" s="139"/>
      <c r="H42" s="153"/>
      <c r="I42" s="153"/>
      <c r="J42" s="153"/>
      <c r="K42" s="153"/>
      <c r="L42" s="153"/>
      <c r="M42" s="153"/>
      <c r="N42" s="153"/>
      <c r="O42" s="153"/>
      <c r="P42" s="43"/>
    </row>
    <row r="43" spans="2:16" ht="15">
      <c r="B43" s="42"/>
      <c r="C43" s="33"/>
      <c r="D43" s="33"/>
      <c r="E43" s="33"/>
      <c r="F43" s="33"/>
      <c r="G43" s="33"/>
      <c r="H43" s="33"/>
      <c r="I43" s="33"/>
      <c r="J43" s="33"/>
      <c r="K43" s="33"/>
      <c r="L43" s="33"/>
      <c r="M43" s="33"/>
      <c r="N43" s="33"/>
      <c r="O43" s="33"/>
      <c r="P43" s="43"/>
    </row>
    <row r="44" spans="2:16" ht="15.75">
      <c r="B44" s="42"/>
      <c r="C44" s="27" t="s">
        <v>94</v>
      </c>
      <c r="D44" s="27"/>
      <c r="E44" s="33"/>
      <c r="F44" s="33"/>
      <c r="G44" s="33"/>
      <c r="H44" s="33"/>
      <c r="I44" s="33"/>
      <c r="J44" s="33"/>
      <c r="K44" s="33"/>
      <c r="L44" s="33"/>
      <c r="M44" s="33"/>
      <c r="N44" s="33"/>
      <c r="O44" s="33"/>
      <c r="P44" s="43"/>
    </row>
    <row r="45" spans="2:16" ht="15.75">
      <c r="B45" s="42"/>
      <c r="C45" s="32" t="s">
        <v>2</v>
      </c>
      <c r="D45" s="27"/>
      <c r="E45" s="33"/>
      <c r="F45" s="33"/>
      <c r="G45" s="33"/>
      <c r="H45" s="33"/>
      <c r="I45" s="33"/>
      <c r="J45" s="33"/>
      <c r="K45" s="33"/>
      <c r="L45" s="33"/>
      <c r="M45" s="33"/>
      <c r="N45" s="33"/>
      <c r="O45" s="33"/>
      <c r="P45" s="43"/>
    </row>
    <row r="46" spans="2:16" ht="15.75">
      <c r="B46" s="42"/>
      <c r="C46" s="27"/>
      <c r="D46" s="27"/>
      <c r="E46" s="33"/>
      <c r="F46" s="33"/>
      <c r="G46" s="33"/>
      <c r="H46" s="33"/>
      <c r="I46" s="33"/>
      <c r="J46" s="33"/>
      <c r="K46" s="33"/>
      <c r="L46" s="33"/>
      <c r="M46" s="33"/>
      <c r="N46" s="33"/>
      <c r="O46" s="33"/>
      <c r="P46" s="43"/>
    </row>
    <row r="47" spans="2:16" ht="15.75">
      <c r="B47" s="42"/>
      <c r="C47" s="33" t="s">
        <v>22</v>
      </c>
      <c r="D47" s="134" t="s">
        <v>138</v>
      </c>
      <c r="E47" s="162"/>
      <c r="F47" s="162"/>
      <c r="G47" s="162"/>
      <c r="H47" s="174"/>
      <c r="I47" s="174"/>
      <c r="J47" s="174"/>
      <c r="K47" s="168"/>
      <c r="L47" s="168"/>
      <c r="M47" s="168"/>
      <c r="N47" s="168"/>
      <c r="O47" s="168"/>
      <c r="P47" s="43"/>
    </row>
    <row r="48" spans="2:16" ht="15.75">
      <c r="B48" s="42"/>
      <c r="C48" s="66" t="s">
        <v>52</v>
      </c>
      <c r="D48" s="134" t="s">
        <v>138</v>
      </c>
      <c r="E48" s="142"/>
      <c r="F48" s="142"/>
      <c r="G48" s="142"/>
      <c r="H48" s="169"/>
      <c r="I48" s="169"/>
      <c r="J48" s="169"/>
      <c r="K48" s="169"/>
      <c r="L48" s="169"/>
      <c r="M48" s="169"/>
      <c r="N48" s="169"/>
      <c r="O48" s="169"/>
      <c r="P48" s="43"/>
    </row>
    <row r="49" spans="2:16" ht="15.75">
      <c r="B49" s="42"/>
      <c r="C49" s="33" t="s">
        <v>151</v>
      </c>
      <c r="D49" s="134" t="s">
        <v>138</v>
      </c>
      <c r="E49" s="140">
        <v>1</v>
      </c>
      <c r="F49" s="140">
        <v>1</v>
      </c>
      <c r="G49" s="140">
        <v>1</v>
      </c>
      <c r="H49" s="152">
        <v>1</v>
      </c>
      <c r="I49" s="152">
        <v>1</v>
      </c>
      <c r="J49" s="152">
        <v>1</v>
      </c>
      <c r="K49" s="152">
        <v>1</v>
      </c>
      <c r="L49" s="152">
        <v>1</v>
      </c>
      <c r="M49" s="152">
        <v>1</v>
      </c>
      <c r="N49" s="152">
        <v>1</v>
      </c>
      <c r="O49" s="152">
        <v>1</v>
      </c>
      <c r="P49" s="43"/>
    </row>
    <row r="50" spans="2:16" ht="15.75">
      <c r="B50" s="42"/>
      <c r="C50" s="33" t="s">
        <v>37</v>
      </c>
      <c r="D50" s="134" t="s">
        <v>138</v>
      </c>
      <c r="E50" s="141"/>
      <c r="F50" s="141"/>
      <c r="G50" s="141"/>
      <c r="H50" s="168"/>
      <c r="I50" s="168"/>
      <c r="J50" s="168"/>
      <c r="K50" s="168"/>
      <c r="L50" s="168"/>
      <c r="M50" s="168"/>
      <c r="N50" s="168"/>
      <c r="O50" s="168"/>
      <c r="P50" s="43"/>
    </row>
    <row r="51" spans="2:16" ht="15.75">
      <c r="B51" s="42"/>
      <c r="C51" s="66" t="s">
        <v>52</v>
      </c>
      <c r="D51" s="134" t="s">
        <v>138</v>
      </c>
      <c r="E51" s="142"/>
      <c r="F51" s="142"/>
      <c r="G51" s="142"/>
      <c r="H51" s="169"/>
      <c r="I51" s="169"/>
      <c r="J51" s="169"/>
      <c r="K51" s="169"/>
      <c r="L51" s="169"/>
      <c r="M51" s="169"/>
      <c r="N51" s="169"/>
      <c r="O51" s="169"/>
      <c r="P51" s="43"/>
    </row>
    <row r="52" spans="2:16" ht="15.75">
      <c r="B52" s="42"/>
      <c r="C52" s="5" t="s">
        <v>38</v>
      </c>
      <c r="D52" s="134" t="s">
        <v>138</v>
      </c>
      <c r="E52" s="142"/>
      <c r="F52" s="142"/>
      <c r="G52" s="142"/>
      <c r="H52" s="169"/>
      <c r="I52" s="169"/>
      <c r="J52" s="169"/>
      <c r="K52" s="169"/>
      <c r="L52" s="169"/>
      <c r="M52" s="169"/>
      <c r="N52" s="169"/>
      <c r="O52" s="169"/>
      <c r="P52" s="43"/>
    </row>
    <row r="53" spans="2:16" ht="15.75">
      <c r="B53" s="42"/>
      <c r="C53" s="5" t="s">
        <v>64</v>
      </c>
      <c r="D53" s="134" t="s">
        <v>138</v>
      </c>
      <c r="E53" s="139"/>
      <c r="F53" s="139"/>
      <c r="G53" s="139"/>
      <c r="H53" s="153"/>
      <c r="I53" s="153"/>
      <c r="J53" s="153"/>
      <c r="K53" s="153"/>
      <c r="L53" s="153"/>
      <c r="M53" s="153"/>
      <c r="N53" s="153"/>
      <c r="O53" s="153"/>
      <c r="P53" s="43"/>
    </row>
    <row r="54" spans="2:16" ht="15.75">
      <c r="B54" s="42"/>
      <c r="C54" s="5" t="s">
        <v>69</v>
      </c>
      <c r="D54" s="134" t="s">
        <v>138</v>
      </c>
      <c r="E54" s="138"/>
      <c r="F54" s="138"/>
      <c r="G54" s="138"/>
      <c r="H54" s="154"/>
      <c r="I54" s="154"/>
      <c r="J54" s="154"/>
      <c r="K54" s="154"/>
      <c r="L54" s="154"/>
      <c r="M54" s="154"/>
      <c r="N54" s="154"/>
      <c r="O54" s="154"/>
      <c r="P54" s="43"/>
    </row>
    <row r="55" spans="2:16" ht="15.75">
      <c r="B55" s="42"/>
      <c r="C55" s="5" t="s">
        <v>70</v>
      </c>
      <c r="D55" s="134" t="s">
        <v>138</v>
      </c>
      <c r="E55" s="139"/>
      <c r="F55" s="139"/>
      <c r="G55" s="139"/>
      <c r="H55" s="153"/>
      <c r="I55" s="153"/>
      <c r="J55" s="153"/>
      <c r="K55" s="153"/>
      <c r="L55" s="153"/>
      <c r="M55" s="153"/>
      <c r="N55" s="153"/>
      <c r="O55" s="153"/>
      <c r="P55" s="43"/>
    </row>
    <row r="56" spans="2:16" ht="15.75">
      <c r="B56" s="42"/>
      <c r="C56" s="33" t="s">
        <v>152</v>
      </c>
      <c r="D56" s="134" t="s">
        <v>138</v>
      </c>
      <c r="E56" s="138"/>
      <c r="F56" s="138"/>
      <c r="G56" s="138"/>
      <c r="H56" s="154"/>
      <c r="I56" s="154"/>
      <c r="J56" s="154"/>
      <c r="K56" s="154"/>
      <c r="L56" s="154"/>
      <c r="M56" s="154"/>
      <c r="N56" s="154"/>
      <c r="O56" s="154"/>
      <c r="P56" s="43"/>
    </row>
    <row r="57" spans="2:16" ht="15.75">
      <c r="B57" s="42"/>
      <c r="C57" s="33" t="s">
        <v>153</v>
      </c>
      <c r="D57" s="134" t="s">
        <v>138</v>
      </c>
      <c r="E57" s="139"/>
      <c r="F57" s="139"/>
      <c r="G57" s="139"/>
      <c r="H57" s="153"/>
      <c r="I57" s="153"/>
      <c r="J57" s="153"/>
      <c r="K57" s="153"/>
      <c r="L57" s="153"/>
      <c r="M57" s="153"/>
      <c r="N57" s="153"/>
      <c r="O57" s="153"/>
      <c r="P57" s="43"/>
    </row>
    <row r="58" spans="2:16" ht="15.75" thickBot="1">
      <c r="B58" s="44"/>
      <c r="C58" s="45"/>
      <c r="D58" s="45"/>
      <c r="E58" s="45"/>
      <c r="F58" s="45"/>
      <c r="G58" s="45"/>
      <c r="H58" s="45"/>
      <c r="I58" s="45"/>
      <c r="J58" s="45"/>
      <c r="K58" s="45"/>
      <c r="L58" s="45"/>
      <c r="M58" s="45"/>
      <c r="N58" s="45"/>
      <c r="O58" s="45"/>
      <c r="P58" s="46"/>
    </row>
    <row r="60" ht="15"/>
    <row r="61" ht="15"/>
    <row r="62" ht="15"/>
    <row r="65" spans="5:15" ht="15">
      <c r="E65" s="149"/>
      <c r="F65" s="149"/>
      <c r="G65" s="149"/>
      <c r="H65" s="149"/>
      <c r="I65" s="149"/>
      <c r="J65" s="149"/>
      <c r="K65" s="149"/>
      <c r="L65" s="149"/>
      <c r="M65" s="149"/>
      <c r="N65" s="149"/>
      <c r="O65" s="149"/>
    </row>
    <row r="66" spans="5:15" ht="15">
      <c r="E66" s="149"/>
      <c r="F66" s="149"/>
      <c r="G66" s="149"/>
      <c r="H66" s="149"/>
      <c r="I66" s="149"/>
      <c r="J66" s="149"/>
      <c r="K66" s="149"/>
      <c r="L66" s="149"/>
      <c r="M66" s="149"/>
      <c r="N66" s="149"/>
      <c r="O66" s="149"/>
    </row>
    <row r="67" spans="5:15" ht="15">
      <c r="E67" s="150"/>
      <c r="F67" s="150"/>
      <c r="G67" s="150"/>
      <c r="H67" s="150"/>
      <c r="I67" s="150"/>
      <c r="J67" s="150"/>
      <c r="K67" s="150"/>
      <c r="L67" s="150"/>
      <c r="M67" s="150"/>
      <c r="N67" s="150"/>
      <c r="O67" s="150"/>
    </row>
    <row r="69" spans="5:15" ht="15">
      <c r="E69" s="150"/>
      <c r="F69" s="150"/>
      <c r="G69" s="150"/>
      <c r="H69" s="150"/>
      <c r="I69" s="150"/>
      <c r="J69" s="150"/>
      <c r="K69" s="150"/>
      <c r="L69" s="150"/>
      <c r="M69" s="150"/>
      <c r="N69" s="150"/>
      <c r="O69" s="150"/>
    </row>
  </sheetData>
  <sheetProtection password="CAA3" sheet="1" objects="1" scenarios="1"/>
  <mergeCells count="1">
    <mergeCell ref="E31:O31"/>
  </mergeCells>
  <dataValidations count="1">
    <dataValidation type="whole" allowBlank="1" showInputMessage="1" showErrorMessage="1" errorTitle="Data Validation..." error="Length of poject must be between 1 and 10 years" sqref="E17">
      <formula1>1</formula1>
      <formula2>10</formula2>
    </dataValidation>
  </dataValidations>
  <hyperlinks>
    <hyperlink ref="F17" location="G_ProjectLength" display="?"/>
    <hyperlink ref="F19" location="G_DiscountRate" display="?"/>
    <hyperlink ref="D26" location="G_ForwardCosts" display="?"/>
    <hyperlink ref="D35" location="G_BC_NoOfEmployees" display="?"/>
    <hyperlink ref="D36" location="G_BC_Wages" display="?"/>
    <hyperlink ref="D37" location="G_BC_WorkingDays" display="?"/>
    <hyperlink ref="D40" location="G_BC_StartupCosts" display="?"/>
    <hyperlink ref="D41" location="G_BC_RunningCosts" display="?"/>
    <hyperlink ref="D42" location="G_BC_OtherCosts" display="?"/>
    <hyperlink ref="D47" location="G_BC_AbsemceDays" display="?"/>
    <hyperlink ref="D48" location="G_BC_AbsenceProp" display="?"/>
    <hyperlink ref="D49" location="G_BC_AbsenceAdj" display="?"/>
    <hyperlink ref="D50" location="G_BC_PresenteeismDays" display="?"/>
    <hyperlink ref="D51" location="G_BC_PresenteeismProp" display="?"/>
    <hyperlink ref="D52" location="G_BC_Turnover" display="?"/>
    <hyperlink ref="D53" location="G_BC_TurnoverCost" display="?"/>
    <hyperlink ref="D54" location="G_BC_Claims" display="?"/>
    <hyperlink ref="D55" location="G_BC_ClaimsCost" display="?"/>
    <hyperlink ref="D56" location="G_BC_Othervolumes" display="?"/>
    <hyperlink ref="D57" location="G_BC_OtherIndicatorCosts" display="?"/>
  </hyperlinks>
  <printOptions/>
  <pageMargins left="0.75" right="0.75" top="0.58" bottom="0.6" header="0.5" footer="0.5"/>
  <pageSetup fitToHeight="1" fitToWidth="1" horizontalDpi="600" verticalDpi="600" orientation="landscape" paperSize="9" scale="54" r:id="rId2"/>
  <drawing r:id="rId1"/>
</worksheet>
</file>

<file path=xl/worksheets/sheet6.xml><?xml version="1.0" encoding="utf-8"?>
<worksheet xmlns="http://schemas.openxmlformats.org/spreadsheetml/2006/main" xmlns:r="http://schemas.openxmlformats.org/officeDocument/2006/relationships">
  <sheetPr codeName="Sheet5">
    <tabColor indexed="43"/>
    <pageSetUpPr fitToPage="1"/>
  </sheetPr>
  <dimension ref="A2:Q75"/>
  <sheetViews>
    <sheetView zoomScale="65" zoomScaleNormal="65" workbookViewId="0" topLeftCell="A1">
      <selection activeCell="A1" sqref="A1"/>
    </sheetView>
  </sheetViews>
  <sheetFormatPr defaultColWidth="9.140625" defaultRowHeight="12.75"/>
  <cols>
    <col min="1" max="2" width="5.28125" style="28" customWidth="1"/>
    <col min="3" max="3" width="43.140625" style="28" bestFit="1" customWidth="1"/>
    <col min="4" max="4" width="4.00390625" style="28" customWidth="1"/>
    <col min="5" max="15" width="13.140625" style="28" customWidth="1"/>
    <col min="16" max="16" width="15.28125" style="28" customWidth="1"/>
    <col min="17" max="17" width="3.8515625" style="28" customWidth="1"/>
    <col min="18" max="16384" width="9.140625" style="28" customWidth="1"/>
  </cols>
  <sheetData>
    <row r="2" ht="23.25">
      <c r="B2" s="20" t="s">
        <v>97</v>
      </c>
    </row>
    <row r="3" s="1" customFormat="1" ht="15.75">
      <c r="B3" s="67"/>
    </row>
    <row r="4" ht="13.5" thickBot="1">
      <c r="J4" s="29"/>
    </row>
    <row r="5" spans="2:10" ht="12.75">
      <c r="B5" s="68"/>
      <c r="C5" s="69"/>
      <c r="D5" s="69"/>
      <c r="E5" s="69"/>
      <c r="F5" s="69"/>
      <c r="G5" s="69"/>
      <c r="H5" s="69"/>
      <c r="I5" s="70"/>
      <c r="J5" s="29"/>
    </row>
    <row r="6" spans="2:10" ht="12.75">
      <c r="B6" s="71"/>
      <c r="C6" s="29"/>
      <c r="D6" s="29"/>
      <c r="E6" s="29"/>
      <c r="F6" s="29"/>
      <c r="G6" s="29"/>
      <c r="H6" s="29"/>
      <c r="I6" s="72"/>
      <c r="J6" s="29"/>
    </row>
    <row r="7" spans="2:10" ht="12.75">
      <c r="B7" s="71"/>
      <c r="C7" s="29"/>
      <c r="D7" s="29"/>
      <c r="E7" s="29"/>
      <c r="F7" s="29"/>
      <c r="G7" s="29"/>
      <c r="H7" s="29"/>
      <c r="I7" s="72"/>
      <c r="J7" s="29"/>
    </row>
    <row r="8" spans="2:10" ht="12.75">
      <c r="B8" s="71"/>
      <c r="C8" s="29"/>
      <c r="D8" s="29"/>
      <c r="E8" s="29"/>
      <c r="F8" s="29"/>
      <c r="G8" s="29"/>
      <c r="H8" s="29"/>
      <c r="I8" s="72"/>
      <c r="J8" s="29"/>
    </row>
    <row r="9" spans="2:10" ht="12.75">
      <c r="B9" s="71"/>
      <c r="C9" s="29"/>
      <c r="D9" s="29"/>
      <c r="E9" s="29"/>
      <c r="F9" s="29"/>
      <c r="G9" s="29"/>
      <c r="H9" s="29"/>
      <c r="I9" s="72"/>
      <c r="J9" s="29"/>
    </row>
    <row r="10" spans="2:10" ht="12.75">
      <c r="B10" s="71"/>
      <c r="C10" s="29"/>
      <c r="D10" s="29"/>
      <c r="E10" s="29"/>
      <c r="F10" s="29"/>
      <c r="G10" s="29"/>
      <c r="H10" s="29"/>
      <c r="I10" s="72"/>
      <c r="J10" s="29"/>
    </row>
    <row r="11" spans="2:10" ht="12.75">
      <c r="B11" s="71"/>
      <c r="C11" s="29"/>
      <c r="D11" s="29"/>
      <c r="E11" s="29"/>
      <c r="F11" s="29"/>
      <c r="G11" s="29"/>
      <c r="H11" s="29"/>
      <c r="I11" s="72"/>
      <c r="J11" s="29"/>
    </row>
    <row r="12" spans="2:10" ht="12.75">
      <c r="B12" s="71"/>
      <c r="C12" s="29"/>
      <c r="D12" s="29"/>
      <c r="E12" s="29"/>
      <c r="F12" s="29"/>
      <c r="G12" s="29"/>
      <c r="H12" s="29"/>
      <c r="I12" s="72"/>
      <c r="J12" s="29"/>
    </row>
    <row r="13" spans="2:10" ht="12.75">
      <c r="B13" s="71"/>
      <c r="C13" s="29"/>
      <c r="D13" s="29"/>
      <c r="E13" s="29"/>
      <c r="F13" s="29"/>
      <c r="G13" s="29"/>
      <c r="H13" s="29"/>
      <c r="I13" s="72"/>
      <c r="J13" s="29"/>
    </row>
    <row r="14" spans="2:10" ht="12.75">
      <c r="B14" s="71"/>
      <c r="C14" s="29"/>
      <c r="D14" s="29"/>
      <c r="E14" s="29"/>
      <c r="F14" s="29"/>
      <c r="G14" s="29"/>
      <c r="H14" s="29"/>
      <c r="I14" s="72"/>
      <c r="J14" s="29"/>
    </row>
    <row r="15" spans="2:10" ht="12.75">
      <c r="B15" s="71"/>
      <c r="C15" s="29"/>
      <c r="D15" s="29"/>
      <c r="E15" s="29"/>
      <c r="F15" s="29"/>
      <c r="G15" s="29"/>
      <c r="H15" s="29"/>
      <c r="I15" s="72"/>
      <c r="J15" s="29"/>
    </row>
    <row r="16" spans="2:10" ht="12.75">
      <c r="B16" s="71"/>
      <c r="C16" s="29"/>
      <c r="D16" s="29"/>
      <c r="E16" s="29"/>
      <c r="F16" s="29"/>
      <c r="G16" s="29"/>
      <c r="H16" s="29"/>
      <c r="I16" s="72"/>
      <c r="J16" s="29"/>
    </row>
    <row r="17" spans="2:10" ht="12.75">
      <c r="B17" s="71"/>
      <c r="C17" s="29"/>
      <c r="D17" s="29"/>
      <c r="E17" s="29"/>
      <c r="F17" s="29"/>
      <c r="G17" s="29"/>
      <c r="H17" s="29"/>
      <c r="I17" s="72"/>
      <c r="J17" s="29"/>
    </row>
    <row r="18" spans="2:10" ht="12.75">
      <c r="B18" s="71"/>
      <c r="C18" s="29"/>
      <c r="D18" s="29"/>
      <c r="E18" s="29"/>
      <c r="F18" s="29"/>
      <c r="G18" s="29"/>
      <c r="H18" s="29"/>
      <c r="I18" s="72"/>
      <c r="J18" s="29"/>
    </row>
    <row r="19" spans="2:10" ht="12.75">
      <c r="B19" s="71"/>
      <c r="C19" s="29"/>
      <c r="D19" s="29"/>
      <c r="E19" s="29"/>
      <c r="F19" s="29"/>
      <c r="G19" s="29"/>
      <c r="H19" s="29"/>
      <c r="I19" s="72"/>
      <c r="J19" s="29"/>
    </row>
    <row r="20" spans="2:10" ht="12.75">
      <c r="B20" s="71"/>
      <c r="C20" s="29"/>
      <c r="D20" s="29"/>
      <c r="E20" s="29"/>
      <c r="F20" s="29"/>
      <c r="G20" s="29"/>
      <c r="H20" s="29"/>
      <c r="I20" s="72"/>
      <c r="J20" s="29"/>
    </row>
    <row r="21" spans="2:10" ht="12.75">
      <c r="B21" s="71"/>
      <c r="C21" s="29"/>
      <c r="D21" s="29"/>
      <c r="E21" s="29"/>
      <c r="F21" s="29"/>
      <c r="G21" s="29"/>
      <c r="H21" s="29"/>
      <c r="I21" s="72"/>
      <c r="J21" s="29"/>
    </row>
    <row r="22" spans="2:10" ht="12.75">
      <c r="B22" s="71"/>
      <c r="C22" s="29"/>
      <c r="D22" s="29"/>
      <c r="E22" s="29"/>
      <c r="F22" s="29"/>
      <c r="G22" s="29"/>
      <c r="H22" s="29"/>
      <c r="I22" s="72"/>
      <c r="J22" s="29"/>
    </row>
    <row r="23" spans="2:10" ht="12.75">
      <c r="B23" s="71"/>
      <c r="C23" s="29"/>
      <c r="D23" s="29"/>
      <c r="E23" s="29"/>
      <c r="F23" s="29"/>
      <c r="G23" s="29"/>
      <c r="H23" s="29"/>
      <c r="I23" s="72"/>
      <c r="J23" s="29"/>
    </row>
    <row r="24" spans="2:10" ht="12.75">
      <c r="B24" s="71"/>
      <c r="C24" s="29"/>
      <c r="D24" s="29"/>
      <c r="E24" s="29"/>
      <c r="F24" s="29"/>
      <c r="G24" s="29"/>
      <c r="H24" s="29"/>
      <c r="I24" s="72"/>
      <c r="J24" s="29"/>
    </row>
    <row r="25" spans="2:10" ht="12.75">
      <c r="B25" s="71"/>
      <c r="C25" s="29"/>
      <c r="D25" s="29"/>
      <c r="E25" s="29"/>
      <c r="F25" s="29"/>
      <c r="G25" s="29"/>
      <c r="H25" s="29"/>
      <c r="I25" s="72"/>
      <c r="J25" s="29"/>
    </row>
    <row r="26" spans="2:10" ht="12.75">
      <c r="B26" s="71"/>
      <c r="C26" s="29"/>
      <c r="D26" s="29"/>
      <c r="E26" s="29"/>
      <c r="F26" s="29"/>
      <c r="G26" s="29"/>
      <c r="H26" s="29"/>
      <c r="I26" s="72"/>
      <c r="J26" s="29"/>
    </row>
    <row r="27" spans="2:10" ht="12.75">
      <c r="B27" s="71"/>
      <c r="C27" s="29"/>
      <c r="D27" s="29"/>
      <c r="E27" s="29"/>
      <c r="F27" s="29"/>
      <c r="G27" s="29"/>
      <c r="H27" s="29"/>
      <c r="I27" s="72"/>
      <c r="J27" s="29"/>
    </row>
    <row r="28" spans="2:10" ht="12.75">
      <c r="B28" s="71"/>
      <c r="C28" s="29"/>
      <c r="D28" s="29"/>
      <c r="E28" s="29"/>
      <c r="F28" s="29"/>
      <c r="G28" s="29"/>
      <c r="H28" s="29"/>
      <c r="I28" s="72"/>
      <c r="J28" s="29"/>
    </row>
    <row r="29" spans="2:10" ht="12.75">
      <c r="B29" s="71"/>
      <c r="C29" s="29"/>
      <c r="D29" s="29"/>
      <c r="E29" s="29"/>
      <c r="F29" s="29"/>
      <c r="G29" s="29"/>
      <c r="H29" s="29"/>
      <c r="I29" s="72"/>
      <c r="J29" s="29"/>
    </row>
    <row r="30" spans="2:10" ht="12.75">
      <c r="B30" s="71"/>
      <c r="C30" s="29"/>
      <c r="D30" s="29"/>
      <c r="E30" s="29"/>
      <c r="F30" s="29"/>
      <c r="G30" s="29"/>
      <c r="H30" s="29"/>
      <c r="I30" s="72"/>
      <c r="J30" s="29"/>
    </row>
    <row r="31" spans="2:15" ht="15.75">
      <c r="B31" s="71"/>
      <c r="C31" s="17" t="s">
        <v>110</v>
      </c>
      <c r="D31" s="17"/>
      <c r="E31" s="18"/>
      <c r="F31" s="33"/>
      <c r="G31" s="33"/>
      <c r="H31" s="33"/>
      <c r="I31" s="43"/>
      <c r="J31" s="1"/>
      <c r="K31" s="1"/>
      <c r="L31" s="1"/>
      <c r="M31" s="1"/>
      <c r="N31" s="1"/>
      <c r="O31" s="1"/>
    </row>
    <row r="32" spans="2:15" ht="15.75">
      <c r="B32" s="71"/>
      <c r="C32" s="27"/>
      <c r="D32" s="27"/>
      <c r="E32" s="33"/>
      <c r="F32" s="33"/>
      <c r="G32" s="33"/>
      <c r="H32" s="33"/>
      <c r="I32" s="43"/>
      <c r="J32" s="1"/>
      <c r="K32" s="1"/>
      <c r="L32" s="1"/>
      <c r="M32" s="1"/>
      <c r="N32" s="1"/>
      <c r="O32" s="1"/>
    </row>
    <row r="33" spans="2:15" ht="15.75">
      <c r="B33" s="71"/>
      <c r="C33" s="73" t="s">
        <v>106</v>
      </c>
      <c r="D33" s="73"/>
      <c r="E33" s="157">
        <f>P53-ABS(P61)</f>
        <v>0</v>
      </c>
      <c r="F33" s="134" t="s">
        <v>138</v>
      </c>
      <c r="G33" s="134"/>
      <c r="H33" s="33"/>
      <c r="I33" s="43"/>
      <c r="J33" s="33"/>
      <c r="K33" s="33"/>
      <c r="L33" s="33"/>
      <c r="M33" s="33"/>
      <c r="N33" s="33"/>
      <c r="O33" s="33"/>
    </row>
    <row r="34" spans="2:15" ht="15.75">
      <c r="B34" s="71"/>
      <c r="C34" s="73" t="s">
        <v>107</v>
      </c>
      <c r="D34" s="73"/>
      <c r="E34" s="151" t="e">
        <f>P53/ABS(P61)</f>
        <v>#DIV/0!</v>
      </c>
      <c r="F34" s="134" t="s">
        <v>138</v>
      </c>
      <c r="G34" s="134"/>
      <c r="H34" s="33"/>
      <c r="I34" s="43"/>
      <c r="J34" s="33"/>
      <c r="K34" s="33"/>
      <c r="L34" s="33"/>
      <c r="M34" s="33"/>
      <c r="N34" s="33"/>
      <c r="O34" s="33"/>
    </row>
    <row r="35" spans="2:15" ht="15.75">
      <c r="B35" s="71"/>
      <c r="C35" s="73" t="s">
        <v>108</v>
      </c>
      <c r="D35" s="73"/>
      <c r="E35" s="156" t="e">
        <f ca="1">(HLOOKUP(1,E74:O75,2,FALSE)-1)+((OFFSET(E66,0,(HLOOKUP(1,E74:O75,2,FALSE)-1)))/(OFFSET(E66,0,(HLOOKUP(1,E74:O75,2,FALSE)-1))-OFFSET(E66,0,(HLOOKUP(1,E74:O75,2,FALSE)))))</f>
        <v>#DIV/0!</v>
      </c>
      <c r="F35" s="134" t="s">
        <v>138</v>
      </c>
      <c r="G35" s="134"/>
      <c r="H35" s="33"/>
      <c r="I35" s="43"/>
      <c r="J35" s="33"/>
      <c r="K35" s="33"/>
      <c r="L35" s="33"/>
      <c r="M35" s="33"/>
      <c r="N35" s="33"/>
      <c r="O35" s="33"/>
    </row>
    <row r="36" spans="2:15" ht="15.75">
      <c r="B36" s="71"/>
      <c r="C36" s="73" t="s">
        <v>109</v>
      </c>
      <c r="D36" s="73"/>
      <c r="E36" s="151" t="e">
        <f>IRR(E64:O64)</f>
        <v>#NUM!</v>
      </c>
      <c r="F36" s="134" t="s">
        <v>138</v>
      </c>
      <c r="G36" s="134"/>
      <c r="H36" s="33"/>
      <c r="I36" s="43"/>
      <c r="J36" s="33"/>
      <c r="K36" s="33"/>
      <c r="L36" s="33"/>
      <c r="M36" s="33"/>
      <c r="N36" s="33"/>
      <c r="O36" s="33"/>
    </row>
    <row r="37" spans="2:9" s="1" customFormat="1" ht="15">
      <c r="B37" s="42"/>
      <c r="C37" s="19"/>
      <c r="D37" s="19"/>
      <c r="E37" s="19"/>
      <c r="F37" s="33"/>
      <c r="G37" s="33"/>
      <c r="H37" s="33"/>
      <c r="I37" s="43"/>
    </row>
    <row r="38" spans="2:9" s="1" customFormat="1" ht="15.75" thickBot="1">
      <c r="B38" s="44"/>
      <c r="C38" s="45"/>
      <c r="D38" s="45"/>
      <c r="E38" s="45"/>
      <c r="F38" s="45"/>
      <c r="G38" s="45"/>
      <c r="H38" s="45"/>
      <c r="I38" s="46"/>
    </row>
    <row r="39" spans="2:9" s="1" customFormat="1" ht="15">
      <c r="B39" s="33"/>
      <c r="C39" s="33"/>
      <c r="D39" s="33"/>
      <c r="E39" s="33"/>
      <c r="F39" s="33"/>
      <c r="G39" s="33"/>
      <c r="H39" s="33"/>
      <c r="I39" s="33"/>
    </row>
    <row r="40" spans="3:5" s="1" customFormat="1" ht="15.75" thickBot="1">
      <c r="C40" s="33"/>
      <c r="D40" s="33"/>
      <c r="E40" s="33"/>
    </row>
    <row r="41" spans="2:17" s="1" customFormat="1" ht="15">
      <c r="B41" s="39"/>
      <c r="C41" s="40"/>
      <c r="D41" s="40"/>
      <c r="E41" s="40"/>
      <c r="F41" s="40"/>
      <c r="G41" s="40"/>
      <c r="H41" s="40"/>
      <c r="I41" s="40"/>
      <c r="J41" s="40"/>
      <c r="K41" s="40"/>
      <c r="L41" s="40"/>
      <c r="M41" s="40"/>
      <c r="N41" s="40"/>
      <c r="O41" s="40"/>
      <c r="P41" s="40"/>
      <c r="Q41" s="41"/>
    </row>
    <row r="42" spans="2:17" s="1" customFormat="1" ht="15.75">
      <c r="B42" s="42"/>
      <c r="C42" s="27" t="s">
        <v>88</v>
      </c>
      <c r="D42" s="27"/>
      <c r="E42" s="33"/>
      <c r="F42" s="33"/>
      <c r="G42" s="33"/>
      <c r="H42" s="33"/>
      <c r="I42" s="33"/>
      <c r="J42" s="33"/>
      <c r="K42" s="33"/>
      <c r="L42" s="33"/>
      <c r="M42" s="33"/>
      <c r="N42" s="33"/>
      <c r="O42" s="33"/>
      <c r="P42" s="33"/>
      <c r="Q42" s="43"/>
    </row>
    <row r="43" spans="2:17" s="1" customFormat="1" ht="15.75">
      <c r="B43" s="42"/>
      <c r="C43" s="33"/>
      <c r="D43" s="33"/>
      <c r="E43" s="181" t="s">
        <v>81</v>
      </c>
      <c r="F43" s="181"/>
      <c r="G43" s="181"/>
      <c r="H43" s="181"/>
      <c r="I43" s="181"/>
      <c r="J43" s="181"/>
      <c r="K43" s="181"/>
      <c r="L43" s="181"/>
      <c r="M43" s="181"/>
      <c r="N43" s="181"/>
      <c r="O43" s="181"/>
      <c r="P43" s="33"/>
      <c r="Q43" s="43"/>
    </row>
    <row r="44" spans="2:17" s="1" customFormat="1" ht="15.75">
      <c r="B44" s="42"/>
      <c r="C44" s="33"/>
      <c r="D44" s="33"/>
      <c r="E44" s="74"/>
      <c r="F44" s="74"/>
      <c r="G44" s="74"/>
      <c r="H44" s="74"/>
      <c r="I44" s="74"/>
      <c r="J44" s="74"/>
      <c r="K44" s="74"/>
      <c r="L44" s="74"/>
      <c r="M44" s="74"/>
      <c r="N44" s="74"/>
      <c r="O44" s="74"/>
      <c r="P44" s="33"/>
      <c r="Q44" s="43"/>
    </row>
    <row r="45" spans="2:17" s="1" customFormat="1" ht="15.75">
      <c r="B45" s="42"/>
      <c r="C45" s="33"/>
      <c r="D45" s="33"/>
      <c r="E45" s="74">
        <v>0</v>
      </c>
      <c r="F45" s="74">
        <v>1</v>
      </c>
      <c r="G45" s="74">
        <v>2</v>
      </c>
      <c r="H45" s="74">
        <v>3</v>
      </c>
      <c r="I45" s="74">
        <v>4</v>
      </c>
      <c r="J45" s="74">
        <v>5</v>
      </c>
      <c r="K45" s="74">
        <v>6</v>
      </c>
      <c r="L45" s="74">
        <v>7</v>
      </c>
      <c r="M45" s="74">
        <v>8</v>
      </c>
      <c r="N45" s="74">
        <v>9</v>
      </c>
      <c r="O45" s="74">
        <v>10</v>
      </c>
      <c r="P45" s="74" t="s">
        <v>78</v>
      </c>
      <c r="Q45" s="43"/>
    </row>
    <row r="46" spans="2:17" ht="15.75">
      <c r="B46" s="71"/>
      <c r="C46" s="27" t="s">
        <v>154</v>
      </c>
      <c r="D46" s="27"/>
      <c r="E46" s="33"/>
      <c r="F46" s="33"/>
      <c r="G46" s="33"/>
      <c r="H46" s="33"/>
      <c r="I46" s="33"/>
      <c r="J46" s="33"/>
      <c r="K46" s="33"/>
      <c r="L46" s="33"/>
      <c r="M46" s="33"/>
      <c r="N46" s="33"/>
      <c r="O46" s="33"/>
      <c r="P46" s="29"/>
      <c r="Q46" s="72"/>
    </row>
    <row r="47" spans="2:17" ht="15">
      <c r="B47" s="71"/>
      <c r="C47" s="33" t="s">
        <v>55</v>
      </c>
      <c r="D47" s="33"/>
      <c r="E47" s="145">
        <f>IF(AbsenceDays0&gt;0,(HeadCount0*(AbsenceDays0/WorkingDays0)*Wages0*Multiplier0)-(HeadCount0*(AbsenceDays0/WorkingDays0)*Wages0*Multiplier0),(HeadCount0*AbsenceRate0*Wages0*Multiplier0)-(HeadCount0*AbsenceRate0*Wages0*Multiplier0))</f>
        <v>0</v>
      </c>
      <c r="F47" s="139">
        <f>IF(AbsenceDays0&gt;0,(HeadCount1*(AbsenceDays0/WorkingDays1)*Wages1*Multiplier1)-(HeadCount1*(AbsenceDays1/WorkingDays1)*Wages1*Multiplier1),(HeadCount1*AbsenceRate0*Wages1*Multiplier1)-(HeadCount1*AbsenceRate1*Wages1*Multiplier1))</f>
        <v>0</v>
      </c>
      <c r="G47" s="139">
        <f>IF(AbsenceDays0&gt;0,(HeadCount2*(AbsenceDays0/WorkingDays2)*Wages2*Multiplier2)-(HeadCount2*(AbsenceDays2/WorkingDays2)*Wages2*Multiplier2),(HeadCount2*AbsenceRate0*Wages2*Multiplier2)-(HeadCount2*AbsenceRate2*Wages2*Multiplier2))</f>
        <v>0</v>
      </c>
      <c r="H47" s="153">
        <f>IF(AbsenceDays0&gt;0,(HeadCount3*(AbsenceDays0/WorkingDays3)*Wages3*Multiplier3)-(HeadCount3*(AbsenceDays3/WorkingDays3)*Wages3*Multiplier3),(HeadCount3*AbsenceRate0*Wages3*Multiplier3)-(HeadCount3*AbsenceRate3*Wages3*Multiplier3))</f>
        <v>0</v>
      </c>
      <c r="I47" s="153">
        <f>IF(AbsenceDays0&gt;0,(HeadCount4*(AbsenceDays0/WorkingDays4)*Wages4*Multiplier4)-(HeadCount4*(AbsenceDays4/WorkingDays4)*Wages4*Multiplier4),(HeadCount4*AbsenceRate0*Wages4*Multiplier4)-(HeadCount4*AbsenceRate4*Wages4*Multiplier4))</f>
        <v>0</v>
      </c>
      <c r="J47" s="153">
        <f>IF(AbsenceDays0&gt;0,(HeadCount5*(AbsenceDays0/WorkingDays5)*Wages5*Multiplier5)-(HeadCount5*(AbsenceDays5/WorkingDays5)*Wages5*Multiplier5),(HeadCount5*AbsenceRate0*Wages5*Multiplier5)-(HeadCount5*AbsenceRate5*Wages5*Multiplier5))</f>
        <v>0</v>
      </c>
      <c r="K47" s="153">
        <f>IF(AbsenceDays0&gt;0,(HeadCount6*(AbsenceDays0/WorkingDays6)*Wages6*Multiplier6)-(HeadCount6*(AbsenceDays6/WorkingDays6)*Wages6*Multiplier6),(HeadCount6*AbsenceRate0*Wages6*Multiplier6)-(HeadCount6*AbsenceRate6*Wages6*Multiplier6))</f>
        <v>0</v>
      </c>
      <c r="L47" s="153">
        <f>IF(AbsenceDays0&gt;0,(HeadCount7*(AbsenceDays0/WorkingDays7)*Wages7*Multiplier7)-(HeadCount7*(AbsenceDays7/WorkingDays7)*Wages7*Multiplier7),(HeadCount7*AbsenceRate0*Wages7*Multiplier7)-(HeadCount7*AbsenceRate7*Wages7*Multiplier7))</f>
        <v>0</v>
      </c>
      <c r="M47" s="153">
        <f>IF(AbsenceDays0&gt;0,(HeadCount8*(AbsenceDays0/WorkingDays8)*Wages8*Multiplier8)-(HeadCount8*(AbsenceDays8/WorkingDays8)*Wages8*Multiplier8),(HeadCount8*AbsenceRate0*Wages8*Multiplier8)-(HeadCount8*AbsenceRate8*Wages8*Multiplier8))</f>
        <v>0</v>
      </c>
      <c r="N47" s="153">
        <f>IF(AbsenceDays0&gt;0,(HeadCount9*(AbsenceDays0/WorkingDays9)*Wages9*Multiplier9)-(HeadCount9*(AbsenceDays9/WorkingDays9)*Wages9*Multiplier9),(HeadCount9*AbsenceRate0*Wages9*Multiplier9)-(HeadCount9*AbsenceRate9*Wages9*Multiplier9))</f>
        <v>0</v>
      </c>
      <c r="O47" s="153">
        <f>IF(AbsenceDays0&gt;0,(HeadCount10*(AbsenceDays0/WorkingDays10)*Wages10*Multiplier10)-(HeadCount10*(AbsenceDays10/WorkingDays10)*Wages10*Multiplier10),(HeadCount10*AbsenceRate0*Wages10*Multiplier10)-(HeadCount10*AbsenceRate10*Wages10*Multiplier10))</f>
        <v>0</v>
      </c>
      <c r="P47" s="170">
        <f aca="true" t="shared" si="0" ref="P47:P53">SUM(E47:O47)</f>
        <v>0</v>
      </c>
      <c r="Q47" s="72"/>
    </row>
    <row r="48" spans="2:17" ht="15">
      <c r="B48" s="71"/>
      <c r="C48" s="73" t="s">
        <v>56</v>
      </c>
      <c r="D48" s="73"/>
      <c r="E48" s="145">
        <f>IF(PresenteeismDays0&gt;0,(HeadCount0*(PresenteeismDays0/WorkingDays0)*Wages0)-(HeadCount0*(PresenteeismDays0/WorkingDays0)*Wages0),(HeadCount0*PresenteeismRate0*Wages0)-(HeadCount0*PresenteeismRate0*Wages0))</f>
        <v>0</v>
      </c>
      <c r="F48" s="139">
        <f>IF(PresenteeismDays0&gt;0,(HeadCount1*(PresenteeismDays0/WorkingDays1)*Wages1)-(HeadCount1*(PresenteeismDays1/WorkingDays1)*Wages1),(HeadCount1*PresenteeismRate0*Wages1)-(HeadCount1*PresenteeismRate1*Wages1))</f>
        <v>0</v>
      </c>
      <c r="G48" s="139">
        <f>IF(PresenteeismDays0&gt;0,(HeadCount2*(PresenteeismDays0/WorkingDays2)*Wages2)-(HeadCount2*(PresenteeismDays2/WorkingDays2)*Wages2),(HeadCount2*PresenteeismRate0*Wages2)-(HeadCount2*PresenteeismRate2*Wages2))</f>
        <v>0</v>
      </c>
      <c r="H48" s="153">
        <f>IF(PresenteeismDays0&gt;0,(HeadCount3*(PresenteeismDays0/WorkingDays3)*Wages3)-(HeadCount3*(PresenteeismDays3/WorkingDays3)*Wages3),(HeadCount3*PresenteeismRate0*Wages3)-(HeadCount3*PresenteeismRate3*Wages3))</f>
        <v>0</v>
      </c>
      <c r="I48" s="153">
        <f>IF(PresenteeismDays0&gt;0,(HeadCount4*(PresenteeismDays0/WorkingDays4)*Wages4)-(HeadCount4*(PresenteeismDays4/WorkingDays4)*Wages4),(HeadCount4*PresenteeismRate0*Wages4)-(HeadCount4*PresenteeismRate4*Wages4))</f>
        <v>0</v>
      </c>
      <c r="J48" s="153">
        <f>IF(PresenteeismDays0&gt;0,(HeadCount5*(PresenteeismDays0/WorkingDays5)*Wages5)-(HeadCount5*(PresenteeismDays5/WorkingDays5)*Wages5),(HeadCount5*PresenteeismRate0*Wages5)-(HeadCount5*PresenteeismRate5*Wages5))</f>
        <v>0</v>
      </c>
      <c r="K48" s="153">
        <f>IF(PresenteeismDays0&gt;0,(HeadCount6*(PresenteeismDays0/WorkingDays6)*Wages6)-(HeadCount6*(PresenteeismDays6/WorkingDays6)*Wages6),(HeadCount6*PresenteeismRate0*Wages6)-(HeadCount6*PresenteeismRate6*Wages6))</f>
        <v>0</v>
      </c>
      <c r="L48" s="153">
        <f>IF(PresenteeismDays0&gt;0,(HeadCount7*(PresenteeismDays0/WorkingDays7)*Wages7)-(HeadCount7*(PresenteeismDays7/WorkingDays7)*Wages7),(HeadCount7*PresenteeismRate0*Wages7)-(HeadCount7*PresenteeismRate7*Wages7))</f>
        <v>0</v>
      </c>
      <c r="M48" s="153">
        <f>IF(PresenteeismDays0&gt;0,(HeadCount8*(PresenteeismDays0/WorkingDays8)*Wages8)-(HeadCount8*(PresenteeismDays8/WorkingDays8)*Wages8),(HeadCount8*PresenteeismRate0*Wages8)-(HeadCount8*PresenteeismRate8*Wages8))</f>
        <v>0</v>
      </c>
      <c r="N48" s="153">
        <f>IF(PresenteeismDays0&gt;0,(HeadCount9*(PresenteeismDays0/WorkingDays9)*Wages9)-(HeadCount9*(PresenteeismDays9/WorkingDays9)*Wages9),(HeadCount9*PresenteeismRate0*Wages9)-(HeadCount9*PresenteeismRate9*Wages9))</f>
        <v>0</v>
      </c>
      <c r="O48" s="153">
        <f>IF(PresenteeismDays0&gt;0,(HeadCount10*(PresenteeismDays0/WorkingDays10)*Wages10)-(HeadCount10*(PresenteeismDays10/WorkingDays10)*Wages10),(HeadCount10*PresenteeismRate0*Wages10)-(HeadCount10*PresenteeismRate10*Wages10))</f>
        <v>0</v>
      </c>
      <c r="P48" s="170">
        <f t="shared" si="0"/>
        <v>0</v>
      </c>
      <c r="Q48" s="72"/>
    </row>
    <row r="49" spans="2:17" ht="15">
      <c r="B49" s="71"/>
      <c r="C49" s="33" t="s">
        <v>95</v>
      </c>
      <c r="D49" s="33"/>
      <c r="E49" s="145">
        <f>(HeadCount0*Turnover0*TurnoverCost0)-(HeadCount0*Turnover0*TurnoverCost0)</f>
        <v>0</v>
      </c>
      <c r="F49" s="139">
        <f>(HeadCount1*Turnover0*TurnoverCost1)-(HeadCount1*Turnover1*TurnoverCost1)</f>
        <v>0</v>
      </c>
      <c r="G49" s="139">
        <f>(HeadCount2*Turnover0*TurnoverCost2)-(HeadCount2*Turnover2*TurnoverCost2)</f>
        <v>0</v>
      </c>
      <c r="H49" s="153">
        <f>(HeadCount3*Turnover0*TurnoverCost3)-(HeadCount3*Turnover3*TurnoverCost3)</f>
        <v>0</v>
      </c>
      <c r="I49" s="153">
        <f>(HeadCount4*Turnover0*TurnoverCost4)-(HeadCount4*Turnover4*TurnoverCost4)</f>
        <v>0</v>
      </c>
      <c r="J49" s="153">
        <f>(HeadCount5*Turnover0*TurnoverCost5)-(HeadCount5*Turnover5*TurnoverCost5)</f>
        <v>0</v>
      </c>
      <c r="K49" s="153">
        <f>(HeadCount6*Turnover0*TurnoverCost6)-(HeadCount6*Turnover6*TurnoverCost6)</f>
        <v>0</v>
      </c>
      <c r="L49" s="153">
        <f>(HeadCount7*Turnover0*TurnoverCost7)-(HeadCount7*Turnover7*TurnoverCost7)</f>
        <v>0</v>
      </c>
      <c r="M49" s="153">
        <f>(HeadCount8*Turnover0*TurnoverCost8)-(HeadCount8*Turnover8*TurnoverCost8)</f>
        <v>0</v>
      </c>
      <c r="N49" s="153">
        <f>(HeadCount9*Turnover0*TurnoverCost9)-(HeadCount9*Turnover9*TurnoverCost9)</f>
        <v>0</v>
      </c>
      <c r="O49" s="153">
        <f>(HeadCount10*Turnover0*TurnoverCost10)-(HeadCount10*Turnover10*TurnoverCost10)</f>
        <v>0</v>
      </c>
      <c r="P49" s="170">
        <f t="shared" si="0"/>
        <v>0</v>
      </c>
      <c r="Q49" s="72"/>
    </row>
    <row r="50" spans="2:17" ht="15">
      <c r="B50" s="71"/>
      <c r="C50" s="33" t="s">
        <v>174</v>
      </c>
      <c r="D50" s="33"/>
      <c r="E50" s="145">
        <f>(Claims0*ClaimCosts0)-(Claims0*ClaimCosts0)</f>
        <v>0</v>
      </c>
      <c r="F50" s="139">
        <f>(Claims0*ClaimCosts1)+(Claims1*ClaimCosts1)</f>
        <v>0</v>
      </c>
      <c r="G50" s="139">
        <f>(Claims0*ClaimCosts2)-(Claims2*ClaimCosts2)</f>
        <v>0</v>
      </c>
      <c r="H50" s="153">
        <f>(Claims0*ClaimCosts3)-(Claims3*ClaimCosts3)</f>
        <v>0</v>
      </c>
      <c r="I50" s="153">
        <f>(Claims0*ClaimCosts4)-(Claims4*ClaimCosts4)</f>
        <v>0</v>
      </c>
      <c r="J50" s="153">
        <f>(Claims0*ClaimCosts5)-(Claims5*ClaimCosts5)</f>
        <v>0</v>
      </c>
      <c r="K50" s="153">
        <f>(Claims0*ClaimCosts6)-(Claims6*ClaimCosts6)</f>
        <v>0</v>
      </c>
      <c r="L50" s="153">
        <f>(Claims0*ClaimCosts7)-(Claims7*ClaimCosts7)</f>
        <v>0</v>
      </c>
      <c r="M50" s="153">
        <f>(Claims0*ClaimCosts8)-(Claims8*ClaimCosts8)</f>
        <v>0</v>
      </c>
      <c r="N50" s="153">
        <f>(Claims0*ClaimCosts9)-(Claims9*ClaimCosts9)</f>
        <v>0</v>
      </c>
      <c r="O50" s="153">
        <f>(Claims0*ClaimCosts10)-(Claims10*ClaimCosts10)</f>
        <v>0</v>
      </c>
      <c r="P50" s="170">
        <f t="shared" si="0"/>
        <v>0</v>
      </c>
      <c r="Q50" s="72"/>
    </row>
    <row r="51" spans="2:17" s="1" customFormat="1" ht="15">
      <c r="B51" s="42"/>
      <c r="C51" s="33" t="s">
        <v>74</v>
      </c>
      <c r="D51" s="33"/>
      <c r="E51" s="145">
        <f>(Other0*OtherIndicatorCosts0)-(Other0*OtherIndicatorCosts0)</f>
        <v>0</v>
      </c>
      <c r="F51" s="139">
        <f>(Other0*OtherIndicatorCosts1)-(Other1*OtherIndicatorCosts1)</f>
        <v>0</v>
      </c>
      <c r="G51" s="139">
        <f>(Other0*OtherIndicatorCosts2)-(Other2*OtherIndicatorCosts2)</f>
        <v>0</v>
      </c>
      <c r="H51" s="153">
        <f>(Other0*OtherIndicatorCosts3)-(Other3*OtherIndicatorCosts3)</f>
        <v>0</v>
      </c>
      <c r="I51" s="153">
        <f>(Other0*OtherIndicatorCosts4)-(Other4*OtherIndicatorCosts4)</f>
        <v>0</v>
      </c>
      <c r="J51" s="153">
        <f>(Other0*OtherIndicatorCosts5)-(Other5*OtherIndicatorCosts5)</f>
        <v>0</v>
      </c>
      <c r="K51" s="153">
        <f>(Other0*OtherIndicatorCosts6)-(Other6*OtherIndicatorCosts6)</f>
        <v>0</v>
      </c>
      <c r="L51" s="153">
        <f>(Other0*OtherIndicatorCosts7)-(Other7*OtherIndicatorCosts7)</f>
        <v>0</v>
      </c>
      <c r="M51" s="153">
        <f>(Other0*OtherIndicatorCosts8)-(Other8*OtherIndicatorCosts8)</f>
        <v>0</v>
      </c>
      <c r="N51" s="153">
        <f>(Other0*OtherIndicatorCosts9)-(Other9*OtherIndicatorCosts9)</f>
        <v>0</v>
      </c>
      <c r="O51" s="153">
        <f>(Other0*OtherIndicatorCosts10)-(Other10*OtherIndicatorCosts10)</f>
        <v>0</v>
      </c>
      <c r="P51" s="171">
        <f t="shared" si="0"/>
        <v>0</v>
      </c>
      <c r="Q51" s="43"/>
    </row>
    <row r="52" spans="2:17" s="30" customFormat="1" ht="15.75">
      <c r="B52" s="75"/>
      <c r="C52" s="32" t="s">
        <v>98</v>
      </c>
      <c r="D52" s="32"/>
      <c r="E52" s="146">
        <f>SUM(E47:E51)</f>
        <v>0</v>
      </c>
      <c r="F52" s="175">
        <f aca="true" t="shared" si="1" ref="F52:N52">SUM(F47:F51)</f>
        <v>0</v>
      </c>
      <c r="G52" s="175">
        <f t="shared" si="1"/>
        <v>0</v>
      </c>
      <c r="H52" s="173">
        <f t="shared" si="1"/>
        <v>0</v>
      </c>
      <c r="I52" s="173">
        <f t="shared" si="1"/>
        <v>0</v>
      </c>
      <c r="J52" s="173">
        <f t="shared" si="1"/>
        <v>0</v>
      </c>
      <c r="K52" s="173">
        <f t="shared" si="1"/>
        <v>0</v>
      </c>
      <c r="L52" s="173">
        <f t="shared" si="1"/>
        <v>0</v>
      </c>
      <c r="M52" s="173">
        <f t="shared" si="1"/>
        <v>0</v>
      </c>
      <c r="N52" s="173">
        <f t="shared" si="1"/>
        <v>0</v>
      </c>
      <c r="O52" s="173">
        <f>SUM(O47:O51)</f>
        <v>0</v>
      </c>
      <c r="P52" s="172">
        <f t="shared" si="0"/>
        <v>0</v>
      </c>
      <c r="Q52" s="76"/>
    </row>
    <row r="53" spans="2:17" s="30" customFormat="1" ht="15.75">
      <c r="B53" s="75"/>
      <c r="C53" s="32" t="s">
        <v>99</v>
      </c>
      <c r="D53" s="134" t="s">
        <v>138</v>
      </c>
      <c r="E53" s="146">
        <f aca="true" t="shared" si="2" ref="E53:O53">E52/((1+DiscountRate)^E45)</f>
        <v>0</v>
      </c>
      <c r="F53" s="175">
        <f t="shared" si="2"/>
        <v>0</v>
      </c>
      <c r="G53" s="175">
        <f t="shared" si="2"/>
        <v>0</v>
      </c>
      <c r="H53" s="173">
        <f t="shared" si="2"/>
        <v>0</v>
      </c>
      <c r="I53" s="173">
        <f t="shared" si="2"/>
        <v>0</v>
      </c>
      <c r="J53" s="173">
        <f t="shared" si="2"/>
        <v>0</v>
      </c>
      <c r="K53" s="173">
        <f t="shared" si="2"/>
        <v>0</v>
      </c>
      <c r="L53" s="173">
        <f t="shared" si="2"/>
        <v>0</v>
      </c>
      <c r="M53" s="173">
        <f t="shared" si="2"/>
        <v>0</v>
      </c>
      <c r="N53" s="173">
        <f t="shared" si="2"/>
        <v>0</v>
      </c>
      <c r="O53" s="173">
        <f t="shared" si="2"/>
        <v>0</v>
      </c>
      <c r="P53" s="172">
        <f t="shared" si="0"/>
        <v>0</v>
      </c>
      <c r="Q53" s="76"/>
    </row>
    <row r="54" spans="2:17" ht="12.75">
      <c r="B54" s="71"/>
      <c r="C54" s="29"/>
      <c r="D54" s="29"/>
      <c r="E54" s="29"/>
      <c r="F54" s="29"/>
      <c r="G54" s="29"/>
      <c r="H54" s="29"/>
      <c r="I54" s="29"/>
      <c r="J54" s="29"/>
      <c r="K54" s="29"/>
      <c r="L54" s="29"/>
      <c r="M54" s="29"/>
      <c r="N54" s="29"/>
      <c r="O54" s="29"/>
      <c r="P54" s="86"/>
      <c r="Q54" s="72"/>
    </row>
    <row r="55" spans="2:17" ht="12.75">
      <c r="B55" s="71"/>
      <c r="C55" s="29"/>
      <c r="D55" s="29"/>
      <c r="E55" s="29"/>
      <c r="F55" s="29"/>
      <c r="G55" s="29"/>
      <c r="H55" s="29"/>
      <c r="I55" s="29"/>
      <c r="J55" s="29"/>
      <c r="K55" s="29"/>
      <c r="L55" s="29"/>
      <c r="M55" s="29"/>
      <c r="N55" s="29"/>
      <c r="O55" s="29"/>
      <c r="P55" s="29"/>
      <c r="Q55" s="72"/>
    </row>
    <row r="56" spans="2:17" ht="15.75">
      <c r="B56" s="71"/>
      <c r="C56" s="27" t="s">
        <v>83</v>
      </c>
      <c r="D56" s="27"/>
      <c r="E56" s="29"/>
      <c r="F56" s="29"/>
      <c r="G56" s="29"/>
      <c r="H56" s="29"/>
      <c r="I56" s="29"/>
      <c r="J56" s="29"/>
      <c r="K56" s="29"/>
      <c r="L56" s="29"/>
      <c r="M56" s="29"/>
      <c r="N56" s="29"/>
      <c r="O56" s="29"/>
      <c r="P56" s="29"/>
      <c r="Q56" s="72"/>
    </row>
    <row r="57" spans="2:17" ht="15">
      <c r="B57" s="71"/>
      <c r="C57" s="33" t="s">
        <v>82</v>
      </c>
      <c r="D57" s="33"/>
      <c r="E57" s="145">
        <f>-StartUpCosts</f>
        <v>0</v>
      </c>
      <c r="F57" s="35"/>
      <c r="G57" s="35"/>
      <c r="H57" s="35"/>
      <c r="I57" s="35"/>
      <c r="J57" s="35"/>
      <c r="K57" s="35"/>
      <c r="L57" s="35"/>
      <c r="M57" s="35"/>
      <c r="N57" s="35"/>
      <c r="O57" s="35"/>
      <c r="P57" s="170">
        <f>E57</f>
        <v>0</v>
      </c>
      <c r="Q57" s="72"/>
    </row>
    <row r="58" spans="2:17" ht="15">
      <c r="B58" s="71"/>
      <c r="C58" s="33" t="s">
        <v>84</v>
      </c>
      <c r="D58" s="33"/>
      <c r="E58" s="145">
        <f>-RunningCosts0</f>
        <v>0</v>
      </c>
      <c r="F58" s="139">
        <f>-RunningCosts1</f>
        <v>0</v>
      </c>
      <c r="G58" s="139">
        <f>-RunningCosts2</f>
        <v>0</v>
      </c>
      <c r="H58" s="153">
        <f>-RunningCosts3</f>
        <v>0</v>
      </c>
      <c r="I58" s="153">
        <f>-RunningCosts4</f>
        <v>0</v>
      </c>
      <c r="J58" s="153">
        <f>-RunningCosts5</f>
        <v>0</v>
      </c>
      <c r="K58" s="153">
        <f>-RunningCosts6</f>
        <v>0</v>
      </c>
      <c r="L58" s="153">
        <f>-RunningCosts7</f>
        <v>0</v>
      </c>
      <c r="M58" s="153">
        <f>-RunningCosts8</f>
        <v>0</v>
      </c>
      <c r="N58" s="153">
        <f>-RunningCosts9</f>
        <v>0</v>
      </c>
      <c r="O58" s="153">
        <f>-RunningCosts10</f>
        <v>0</v>
      </c>
      <c r="P58" s="170">
        <f>SUM(E58:O58)</f>
        <v>0</v>
      </c>
      <c r="Q58" s="72"/>
    </row>
    <row r="59" spans="2:17" ht="15">
      <c r="B59" s="71"/>
      <c r="C59" s="33" t="s">
        <v>85</v>
      </c>
      <c r="D59" s="33"/>
      <c r="E59" s="145">
        <f>-OtherCosts0</f>
        <v>0</v>
      </c>
      <c r="F59" s="139">
        <f>-OtherCosts1</f>
        <v>0</v>
      </c>
      <c r="G59" s="139">
        <f>-OtherCosts2</f>
        <v>0</v>
      </c>
      <c r="H59" s="153">
        <f>-OtherCosts3</f>
        <v>0</v>
      </c>
      <c r="I59" s="153">
        <f>-OtherCosts4</f>
        <v>0</v>
      </c>
      <c r="J59" s="153">
        <f>-OtherCosts5</f>
        <v>0</v>
      </c>
      <c r="K59" s="153">
        <f>-OtherCosts6</f>
        <v>0</v>
      </c>
      <c r="L59" s="153">
        <f>-OtherCosts7</f>
        <v>0</v>
      </c>
      <c r="M59" s="153">
        <f>-OtherCosts8</f>
        <v>0</v>
      </c>
      <c r="N59" s="153">
        <f>-OtherCosts9</f>
        <v>0</v>
      </c>
      <c r="O59" s="153">
        <f>-OtherCosts10</f>
        <v>0</v>
      </c>
      <c r="P59" s="170">
        <f>SUM(E59:O59)</f>
        <v>0</v>
      </c>
      <c r="Q59" s="72"/>
    </row>
    <row r="60" spans="1:17" s="31" customFormat="1" ht="15.75">
      <c r="A60" s="30"/>
      <c r="B60" s="75"/>
      <c r="C60" s="32" t="s">
        <v>100</v>
      </c>
      <c r="D60" s="32"/>
      <c r="E60" s="146">
        <f>SUM(E57:E59)</f>
        <v>0</v>
      </c>
      <c r="F60" s="175">
        <f>SUM(F58:F59)</f>
        <v>0</v>
      </c>
      <c r="G60" s="175">
        <f aca="true" t="shared" si="3" ref="G60:O60">SUM(G58:G59)</f>
        <v>0</v>
      </c>
      <c r="H60" s="173">
        <f t="shared" si="3"/>
        <v>0</v>
      </c>
      <c r="I60" s="173">
        <f t="shared" si="3"/>
        <v>0</v>
      </c>
      <c r="J60" s="173">
        <f t="shared" si="3"/>
        <v>0</v>
      </c>
      <c r="K60" s="173">
        <f t="shared" si="3"/>
        <v>0</v>
      </c>
      <c r="L60" s="173">
        <f t="shared" si="3"/>
        <v>0</v>
      </c>
      <c r="M60" s="173">
        <f t="shared" si="3"/>
        <v>0</v>
      </c>
      <c r="N60" s="173">
        <f t="shared" si="3"/>
        <v>0</v>
      </c>
      <c r="O60" s="173">
        <f t="shared" si="3"/>
        <v>0</v>
      </c>
      <c r="P60" s="172">
        <f>SUM(E60:O60)</f>
        <v>0</v>
      </c>
      <c r="Q60" s="77"/>
    </row>
    <row r="61" spans="1:17" s="31" customFormat="1" ht="15.75">
      <c r="A61" s="30"/>
      <c r="B61" s="75"/>
      <c r="C61" s="32" t="s">
        <v>101</v>
      </c>
      <c r="D61" s="134" t="s">
        <v>138</v>
      </c>
      <c r="E61" s="146">
        <f aca="true" t="shared" si="4" ref="E61:O61">E60/((1+DiscountRate)^E45)</f>
        <v>0</v>
      </c>
      <c r="F61" s="175">
        <f t="shared" si="4"/>
        <v>0</v>
      </c>
      <c r="G61" s="175">
        <f t="shared" si="4"/>
        <v>0</v>
      </c>
      <c r="H61" s="173">
        <f t="shared" si="4"/>
        <v>0</v>
      </c>
      <c r="I61" s="173">
        <f t="shared" si="4"/>
        <v>0</v>
      </c>
      <c r="J61" s="173">
        <f t="shared" si="4"/>
        <v>0</v>
      </c>
      <c r="K61" s="173">
        <f t="shared" si="4"/>
        <v>0</v>
      </c>
      <c r="L61" s="173">
        <f t="shared" si="4"/>
        <v>0</v>
      </c>
      <c r="M61" s="173">
        <f t="shared" si="4"/>
        <v>0</v>
      </c>
      <c r="N61" s="173">
        <f t="shared" si="4"/>
        <v>0</v>
      </c>
      <c r="O61" s="173">
        <f t="shared" si="4"/>
        <v>0</v>
      </c>
      <c r="P61" s="172">
        <f>SUM(E61:O61)</f>
        <v>0</v>
      </c>
      <c r="Q61" s="77"/>
    </row>
    <row r="62" spans="1:17" ht="15.75">
      <c r="A62" s="29"/>
      <c r="B62" s="71"/>
      <c r="C62" s="27"/>
      <c r="D62" s="27"/>
      <c r="E62" s="33"/>
      <c r="F62" s="33"/>
      <c r="G62" s="33"/>
      <c r="H62" s="33"/>
      <c r="I62" s="33"/>
      <c r="J62" s="33"/>
      <c r="K62" s="33"/>
      <c r="L62" s="33"/>
      <c r="M62" s="33"/>
      <c r="N62" s="33"/>
      <c r="O62" s="33"/>
      <c r="P62" s="29"/>
      <c r="Q62" s="72"/>
    </row>
    <row r="63" spans="1:17" ht="15.75">
      <c r="A63" s="29"/>
      <c r="B63" s="71"/>
      <c r="C63" s="27" t="s">
        <v>155</v>
      </c>
      <c r="D63" s="27"/>
      <c r="E63" s="33"/>
      <c r="F63" s="33"/>
      <c r="G63" s="33"/>
      <c r="H63" s="33"/>
      <c r="I63" s="33"/>
      <c r="J63" s="33"/>
      <c r="K63" s="33"/>
      <c r="L63" s="33"/>
      <c r="M63" s="33"/>
      <c r="N63" s="33"/>
      <c r="O63" s="33"/>
      <c r="P63" s="29"/>
      <c r="Q63" s="72"/>
    </row>
    <row r="64" spans="1:17" ht="15.75">
      <c r="A64" s="29"/>
      <c r="B64" s="71"/>
      <c r="C64" s="143" t="s">
        <v>102</v>
      </c>
      <c r="D64" s="143"/>
      <c r="E64" s="146">
        <f>E52+E60</f>
        <v>0</v>
      </c>
      <c r="F64" s="175">
        <f aca="true" t="shared" si="5" ref="F64:O64">F52+F60</f>
        <v>0</v>
      </c>
      <c r="G64" s="175">
        <f t="shared" si="5"/>
        <v>0</v>
      </c>
      <c r="H64" s="173">
        <f t="shared" si="5"/>
        <v>0</v>
      </c>
      <c r="I64" s="173">
        <f t="shared" si="5"/>
        <v>0</v>
      </c>
      <c r="J64" s="173">
        <f t="shared" si="5"/>
        <v>0</v>
      </c>
      <c r="K64" s="173">
        <f t="shared" si="5"/>
        <v>0</v>
      </c>
      <c r="L64" s="173">
        <f t="shared" si="5"/>
        <v>0</v>
      </c>
      <c r="M64" s="173">
        <f t="shared" si="5"/>
        <v>0</v>
      </c>
      <c r="N64" s="173">
        <f t="shared" si="5"/>
        <v>0</v>
      </c>
      <c r="O64" s="173">
        <f t="shared" si="5"/>
        <v>0</v>
      </c>
      <c r="P64" s="172">
        <f>SUM(E64:O64)</f>
        <v>0</v>
      </c>
      <c r="Q64" s="72"/>
    </row>
    <row r="65" spans="1:17" ht="15.75">
      <c r="A65" s="29"/>
      <c r="B65" s="71"/>
      <c r="C65" s="143" t="s">
        <v>103</v>
      </c>
      <c r="D65" s="134" t="s">
        <v>138</v>
      </c>
      <c r="E65" s="146">
        <f aca="true" t="shared" si="6" ref="E65:O65">E64/((1+DiscountRate)^E45)</f>
        <v>0</v>
      </c>
      <c r="F65" s="175">
        <f t="shared" si="6"/>
        <v>0</v>
      </c>
      <c r="G65" s="175">
        <f t="shared" si="6"/>
        <v>0</v>
      </c>
      <c r="H65" s="173">
        <f t="shared" si="6"/>
        <v>0</v>
      </c>
      <c r="I65" s="173">
        <f t="shared" si="6"/>
        <v>0</v>
      </c>
      <c r="J65" s="173">
        <f t="shared" si="6"/>
        <v>0</v>
      </c>
      <c r="K65" s="173">
        <f t="shared" si="6"/>
        <v>0</v>
      </c>
      <c r="L65" s="173">
        <f t="shared" si="6"/>
        <v>0</v>
      </c>
      <c r="M65" s="173">
        <f t="shared" si="6"/>
        <v>0</v>
      </c>
      <c r="N65" s="173">
        <f t="shared" si="6"/>
        <v>0</v>
      </c>
      <c r="O65" s="173">
        <f t="shared" si="6"/>
        <v>0</v>
      </c>
      <c r="P65" s="172">
        <f>SUM(E65:O65)</f>
        <v>0</v>
      </c>
      <c r="Q65" s="72"/>
    </row>
    <row r="66" spans="1:17" ht="15.75">
      <c r="A66" s="29"/>
      <c r="B66" s="71"/>
      <c r="C66" s="143" t="s">
        <v>104</v>
      </c>
      <c r="D66" s="143"/>
      <c r="E66" s="146">
        <f>E64</f>
        <v>0</v>
      </c>
      <c r="F66" s="175">
        <f>IF(F64=0,0,E66+F64)</f>
        <v>0</v>
      </c>
      <c r="G66" s="175">
        <f>IF(G64=0,0,F66+G64)</f>
        <v>0</v>
      </c>
      <c r="H66" s="173">
        <f aca="true" t="shared" si="7" ref="H66:O66">IF(H64=0,0,G66+H64)</f>
        <v>0</v>
      </c>
      <c r="I66" s="173">
        <f t="shared" si="7"/>
        <v>0</v>
      </c>
      <c r="J66" s="173">
        <f t="shared" si="7"/>
        <v>0</v>
      </c>
      <c r="K66" s="173">
        <f t="shared" si="7"/>
        <v>0</v>
      </c>
      <c r="L66" s="173">
        <f t="shared" si="7"/>
        <v>0</v>
      </c>
      <c r="M66" s="173">
        <f t="shared" si="7"/>
        <v>0</v>
      </c>
      <c r="N66" s="173">
        <f t="shared" si="7"/>
        <v>0</v>
      </c>
      <c r="O66" s="173">
        <f t="shared" si="7"/>
        <v>0</v>
      </c>
      <c r="P66" s="172">
        <f>SUM(E66:O66)</f>
        <v>0</v>
      </c>
      <c r="Q66" s="72"/>
    </row>
    <row r="67" spans="1:17" ht="15.75">
      <c r="A67" s="29"/>
      <c r="B67" s="71"/>
      <c r="C67" s="143" t="s">
        <v>105</v>
      </c>
      <c r="D67" s="143"/>
      <c r="E67" s="146">
        <f aca="true" t="shared" si="8" ref="E67:O67">E66/((1+DiscountRate)^E45)</f>
        <v>0</v>
      </c>
      <c r="F67" s="175">
        <f t="shared" si="8"/>
        <v>0</v>
      </c>
      <c r="G67" s="175">
        <f t="shared" si="8"/>
        <v>0</v>
      </c>
      <c r="H67" s="173">
        <f t="shared" si="8"/>
        <v>0</v>
      </c>
      <c r="I67" s="173">
        <f t="shared" si="8"/>
        <v>0</v>
      </c>
      <c r="J67" s="173">
        <f t="shared" si="8"/>
        <v>0</v>
      </c>
      <c r="K67" s="173">
        <f t="shared" si="8"/>
        <v>0</v>
      </c>
      <c r="L67" s="173">
        <f t="shared" si="8"/>
        <v>0</v>
      </c>
      <c r="M67" s="173">
        <f t="shared" si="8"/>
        <v>0</v>
      </c>
      <c r="N67" s="173">
        <f t="shared" si="8"/>
        <v>0</v>
      </c>
      <c r="O67" s="173">
        <f t="shared" si="8"/>
        <v>0</v>
      </c>
      <c r="P67" s="172">
        <f>SUM(E67:O67)</f>
        <v>0</v>
      </c>
      <c r="Q67" s="72"/>
    </row>
    <row r="68" spans="1:17" ht="16.5" thickBot="1">
      <c r="A68" s="29"/>
      <c r="B68" s="78"/>
      <c r="C68" s="79"/>
      <c r="D68" s="79"/>
      <c r="E68" s="45"/>
      <c r="F68" s="45"/>
      <c r="G68" s="45"/>
      <c r="H68" s="45"/>
      <c r="I68" s="45"/>
      <c r="J68" s="45"/>
      <c r="K68" s="45"/>
      <c r="L68" s="45"/>
      <c r="M68" s="45"/>
      <c r="N68" s="45"/>
      <c r="O68" s="45"/>
      <c r="P68" s="80"/>
      <c r="Q68" s="81"/>
    </row>
    <row r="69" spans="3:15" ht="15.75">
      <c r="C69" s="22"/>
      <c r="D69" s="22"/>
      <c r="E69" s="1"/>
      <c r="F69" s="1"/>
      <c r="G69" s="1"/>
      <c r="H69" s="1"/>
      <c r="I69" s="1"/>
      <c r="J69" s="1"/>
      <c r="K69" s="1"/>
      <c r="L69" s="1"/>
      <c r="M69" s="1"/>
      <c r="N69" s="1"/>
      <c r="O69" s="1"/>
    </row>
    <row r="70" spans="3:15" ht="15.75">
      <c r="C70" s="22"/>
      <c r="D70" s="22"/>
      <c r="E70" s="1"/>
      <c r="F70" s="1"/>
      <c r="G70" s="1"/>
      <c r="H70" s="1"/>
      <c r="I70" s="1"/>
      <c r="J70" s="1"/>
      <c r="K70" s="1"/>
      <c r="L70" s="1"/>
      <c r="M70" s="1"/>
      <c r="N70" s="1"/>
      <c r="O70" s="1"/>
    </row>
    <row r="71" spans="3:15" ht="15.75">
      <c r="C71" s="22"/>
      <c r="D71" s="22"/>
      <c r="E71" s="1"/>
      <c r="F71" s="1"/>
      <c r="G71" s="1"/>
      <c r="H71" s="1"/>
      <c r="I71" s="1"/>
      <c r="J71" s="1"/>
      <c r="K71" s="1"/>
      <c r="L71" s="1"/>
      <c r="M71" s="1"/>
      <c r="N71" s="1"/>
      <c r="O71" s="1"/>
    </row>
    <row r="72" spans="5:15" ht="12.75">
      <c r="E72" s="155"/>
      <c r="F72" s="155"/>
      <c r="G72" s="155"/>
      <c r="H72" s="155"/>
      <c r="I72" s="155"/>
      <c r="J72" s="155"/>
      <c r="K72" s="155"/>
      <c r="L72" s="155"/>
      <c r="M72" s="155"/>
      <c r="N72" s="155"/>
      <c r="O72" s="155"/>
    </row>
    <row r="73" spans="3:15" ht="12.75">
      <c r="C73" s="158" t="s">
        <v>156</v>
      </c>
      <c r="D73" s="158"/>
      <c r="E73" s="158"/>
      <c r="F73" s="158"/>
      <c r="G73" s="158"/>
      <c r="H73" s="158"/>
      <c r="I73" s="158"/>
      <c r="J73" s="158"/>
      <c r="K73" s="158"/>
      <c r="L73" s="158"/>
      <c r="M73" s="158"/>
      <c r="N73" s="158"/>
      <c r="O73" s="158"/>
    </row>
    <row r="74" spans="3:15" ht="12.75">
      <c r="C74" s="159" t="s">
        <v>157</v>
      </c>
      <c r="D74" s="158"/>
      <c r="E74" s="160">
        <f>IF((E66&lt;0),0,1)</f>
        <v>1</v>
      </c>
      <c r="F74" s="160">
        <f aca="true" t="shared" si="9" ref="F74:O74">IF((F66&lt;0),0,1)</f>
        <v>1</v>
      </c>
      <c r="G74" s="160">
        <f t="shared" si="9"/>
        <v>1</v>
      </c>
      <c r="H74" s="160">
        <f t="shared" si="9"/>
        <v>1</v>
      </c>
      <c r="I74" s="160">
        <f t="shared" si="9"/>
        <v>1</v>
      </c>
      <c r="J74" s="160">
        <f t="shared" si="9"/>
        <v>1</v>
      </c>
      <c r="K74" s="160">
        <f t="shared" si="9"/>
        <v>1</v>
      </c>
      <c r="L74" s="160">
        <f t="shared" si="9"/>
        <v>1</v>
      </c>
      <c r="M74" s="160">
        <f t="shared" si="9"/>
        <v>1</v>
      </c>
      <c r="N74" s="160">
        <f t="shared" si="9"/>
        <v>1</v>
      </c>
      <c r="O74" s="160">
        <f t="shared" si="9"/>
        <v>1</v>
      </c>
    </row>
    <row r="75" spans="3:15" ht="12.75">
      <c r="C75" s="159" t="s">
        <v>158</v>
      </c>
      <c r="D75" s="158"/>
      <c r="E75" s="161">
        <v>0</v>
      </c>
      <c r="F75" s="161">
        <f>E75+1</f>
        <v>1</v>
      </c>
      <c r="G75" s="161">
        <f aca="true" t="shared" si="10" ref="G75:O75">F75+1</f>
        <v>2</v>
      </c>
      <c r="H75" s="161">
        <f t="shared" si="10"/>
        <v>3</v>
      </c>
      <c r="I75" s="161">
        <f t="shared" si="10"/>
        <v>4</v>
      </c>
      <c r="J75" s="161">
        <f t="shared" si="10"/>
        <v>5</v>
      </c>
      <c r="K75" s="161">
        <f t="shared" si="10"/>
        <v>6</v>
      </c>
      <c r="L75" s="161">
        <f t="shared" si="10"/>
        <v>7</v>
      </c>
      <c r="M75" s="161">
        <f t="shared" si="10"/>
        <v>8</v>
      </c>
      <c r="N75" s="161">
        <f t="shared" si="10"/>
        <v>9</v>
      </c>
      <c r="O75" s="161">
        <f t="shared" si="10"/>
        <v>10</v>
      </c>
    </row>
  </sheetData>
  <sheetProtection password="CAA3" sheet="1" objects="1" scenarios="1"/>
  <mergeCells count="1">
    <mergeCell ref="E43:O43"/>
  </mergeCells>
  <conditionalFormatting sqref="E33:E36 E47:P67">
    <cfRule type="cellIs" priority="1" dxfId="0" operator="lessThan" stopIfTrue="1">
      <formula>0</formula>
    </cfRule>
  </conditionalFormatting>
  <hyperlinks>
    <hyperlink ref="F33" location="G_NPV" display="?"/>
    <hyperlink ref="F34" location="G_BCR" display="?"/>
    <hyperlink ref="F35" location="G_Paybacl" display="?"/>
    <hyperlink ref="F36" location="G_IRR" display="?"/>
    <hyperlink ref="D53" location="G_DiscountedBenefits" display="?"/>
    <hyperlink ref="D61" location="G_DiscountedCosts" display="?"/>
    <hyperlink ref="D65" location="G_DiscountedNetBenefits" display="?"/>
  </hyperlinks>
  <printOptions/>
  <pageMargins left="0.75" right="0.75" top="0.58" bottom="0.55" header="0.5" footer="0.5"/>
  <pageSetup fitToHeight="1" fitToWidth="1" horizontalDpi="600" verticalDpi="600" orientation="landscape" paperSize="9" scale="53" r:id="rId2"/>
  <drawing r:id="rId1"/>
</worksheet>
</file>

<file path=xl/worksheets/sheet7.xml><?xml version="1.0" encoding="utf-8"?>
<worksheet xmlns="http://schemas.openxmlformats.org/spreadsheetml/2006/main" xmlns:r="http://schemas.openxmlformats.org/officeDocument/2006/relationships">
  <sheetPr codeName="Sheet7">
    <tabColor indexed="43"/>
  </sheetPr>
  <dimension ref="A2:Q123"/>
  <sheetViews>
    <sheetView zoomScale="65" zoomScaleNormal="65" workbookViewId="0" topLeftCell="A6">
      <selection activeCell="C47" sqref="C47"/>
    </sheetView>
  </sheetViews>
  <sheetFormatPr defaultColWidth="9.140625" defaultRowHeight="12.75"/>
  <cols>
    <col min="1" max="1" width="3.421875" style="1" customWidth="1"/>
    <col min="2" max="2" width="3.8515625" style="1" customWidth="1"/>
    <col min="3" max="3" width="51.28125" style="1" customWidth="1"/>
    <col min="4" max="4" width="7.140625" style="1" customWidth="1"/>
    <col min="5" max="15" width="12.00390625" style="1" customWidth="1"/>
    <col min="16" max="16" width="12.00390625" style="1" bestFit="1" customWidth="1"/>
    <col min="17" max="16384" width="9.140625" style="1" customWidth="1"/>
  </cols>
  <sheetData>
    <row r="2" ht="23.25">
      <c r="B2" s="20" t="s">
        <v>160</v>
      </c>
    </row>
    <row r="3" ht="15.75" thickBot="1">
      <c r="B3" s="2"/>
    </row>
    <row r="4" spans="2:9" ht="15">
      <c r="B4" s="39"/>
      <c r="C4" s="40"/>
      <c r="D4" s="40"/>
      <c r="E4" s="40"/>
      <c r="F4" s="40"/>
      <c r="G4" s="40"/>
      <c r="H4" s="40"/>
      <c r="I4" s="41"/>
    </row>
    <row r="5" spans="2:9" ht="15.75">
      <c r="B5" s="42"/>
      <c r="C5" s="27" t="s">
        <v>86</v>
      </c>
      <c r="D5" s="27"/>
      <c r="E5" s="33"/>
      <c r="F5" s="33"/>
      <c r="G5" s="33"/>
      <c r="H5" s="33"/>
      <c r="I5" s="43"/>
    </row>
    <row r="6" spans="2:9" ht="16.5" thickBot="1">
      <c r="B6" s="42"/>
      <c r="C6" s="27"/>
      <c r="D6" s="27"/>
      <c r="E6" s="33"/>
      <c r="F6" s="33"/>
      <c r="G6" s="33"/>
      <c r="H6" s="33"/>
      <c r="I6" s="43"/>
    </row>
    <row r="7" spans="2:9" ht="15.75" thickBot="1">
      <c r="B7" s="42"/>
      <c r="C7" s="33" t="s">
        <v>87</v>
      </c>
      <c r="D7" s="33"/>
      <c r="E7" s="135" t="s">
        <v>161</v>
      </c>
      <c r="F7" s="99"/>
      <c r="G7" s="99"/>
      <c r="H7" s="100"/>
      <c r="I7" s="43"/>
    </row>
    <row r="8" spans="2:9" ht="15.75" thickBot="1">
      <c r="B8" s="42"/>
      <c r="C8" s="33"/>
      <c r="D8" s="33"/>
      <c r="E8" s="33"/>
      <c r="F8" s="33"/>
      <c r="G8" s="33"/>
      <c r="H8" s="33"/>
      <c r="I8" s="43"/>
    </row>
    <row r="9" spans="2:11" ht="16.5" thickBot="1">
      <c r="B9" s="42"/>
      <c r="C9" s="33" t="s">
        <v>166</v>
      </c>
      <c r="D9" s="33"/>
      <c r="E9" s="136">
        <v>5</v>
      </c>
      <c r="F9" s="134" t="s">
        <v>138</v>
      </c>
      <c r="G9" s="33"/>
      <c r="H9" s="33"/>
      <c r="I9" s="43"/>
      <c r="K9" s="133"/>
    </row>
    <row r="10" spans="2:9" ht="15.75" thickBot="1">
      <c r="B10" s="42"/>
      <c r="C10" s="176" t="s">
        <v>177</v>
      </c>
      <c r="D10" s="33"/>
      <c r="E10" s="33"/>
      <c r="F10" s="33"/>
      <c r="G10" s="33"/>
      <c r="H10" s="33"/>
      <c r="I10" s="43"/>
    </row>
    <row r="11" spans="2:9" ht="16.5" thickBot="1">
      <c r="B11" s="42"/>
      <c r="C11" s="33" t="s">
        <v>48</v>
      </c>
      <c r="D11" s="33"/>
      <c r="E11" s="137">
        <v>0.07</v>
      </c>
      <c r="F11" s="134" t="s">
        <v>138</v>
      </c>
      <c r="G11" s="33"/>
      <c r="H11" s="33"/>
      <c r="I11" s="43"/>
    </row>
    <row r="12" spans="2:9" ht="15.75" thickBot="1">
      <c r="B12" s="44"/>
      <c r="C12" s="45"/>
      <c r="D12" s="45"/>
      <c r="E12" s="45"/>
      <c r="F12" s="45"/>
      <c r="G12" s="45"/>
      <c r="H12" s="45"/>
      <c r="I12" s="46"/>
    </row>
    <row r="13" ht="15.75" thickBot="1"/>
    <row r="14" spans="2:16" ht="15">
      <c r="B14" s="39"/>
      <c r="C14" s="40"/>
      <c r="D14" s="40"/>
      <c r="E14" s="40"/>
      <c r="F14" s="40"/>
      <c r="G14" s="40"/>
      <c r="H14" s="40"/>
      <c r="I14" s="40"/>
      <c r="J14" s="40"/>
      <c r="K14" s="40"/>
      <c r="L14" s="40"/>
      <c r="M14" s="40"/>
      <c r="N14" s="40"/>
      <c r="O14" s="40"/>
      <c r="P14" s="41"/>
    </row>
    <row r="15" spans="2:16" ht="15.75">
      <c r="B15" s="42"/>
      <c r="C15" s="27" t="s">
        <v>88</v>
      </c>
      <c r="D15" s="27"/>
      <c r="E15" s="33"/>
      <c r="F15" s="63"/>
      <c r="G15" s="33"/>
      <c r="H15" s="33"/>
      <c r="I15" s="33"/>
      <c r="J15" s="33"/>
      <c r="K15" s="33"/>
      <c r="L15" s="33"/>
      <c r="M15" s="33"/>
      <c r="N15" s="33"/>
      <c r="O15" s="33"/>
      <c r="P15" s="43"/>
    </row>
    <row r="16" spans="2:16" ht="15.75">
      <c r="B16" s="42"/>
      <c r="C16" s="27"/>
      <c r="D16" s="27"/>
      <c r="E16" s="33"/>
      <c r="F16" s="63"/>
      <c r="G16" s="33"/>
      <c r="H16" s="33"/>
      <c r="I16" s="33"/>
      <c r="J16" s="33"/>
      <c r="K16" s="33"/>
      <c r="L16" s="33"/>
      <c r="M16" s="33"/>
      <c r="N16" s="33"/>
      <c r="O16" s="33"/>
      <c r="P16" s="43"/>
    </row>
    <row r="17" spans="2:16" ht="15.75">
      <c r="B17" s="42"/>
      <c r="C17" s="27"/>
      <c r="D17" s="27"/>
      <c r="E17" s="33"/>
      <c r="F17" s="33"/>
      <c r="G17" s="33"/>
      <c r="H17" s="33"/>
      <c r="I17" s="33"/>
      <c r="J17" s="33"/>
      <c r="K17" s="33"/>
      <c r="L17" s="33"/>
      <c r="M17" s="33"/>
      <c r="N17" s="33"/>
      <c r="O17" s="33"/>
      <c r="P17" s="43"/>
    </row>
    <row r="18" spans="2:16" ht="15.75">
      <c r="B18" s="42"/>
      <c r="C18" s="101"/>
      <c r="D18" s="134" t="s">
        <v>138</v>
      </c>
      <c r="E18" s="63"/>
      <c r="F18" s="63"/>
      <c r="G18" s="63"/>
      <c r="H18" s="64"/>
      <c r="I18" s="33"/>
      <c r="J18" s="33"/>
      <c r="K18" s="33"/>
      <c r="L18" s="33"/>
      <c r="M18" s="33"/>
      <c r="N18" s="33"/>
      <c r="O18" s="33"/>
      <c r="P18" s="43"/>
    </row>
    <row r="19" spans="2:16" ht="15">
      <c r="B19" s="42"/>
      <c r="C19" s="33"/>
      <c r="D19" s="33"/>
      <c r="E19" s="63"/>
      <c r="F19" s="63"/>
      <c r="G19" s="64"/>
      <c r="H19" s="33"/>
      <c r="I19" s="33"/>
      <c r="J19" s="33"/>
      <c r="K19" s="33"/>
      <c r="L19" s="33"/>
      <c r="M19" s="33"/>
      <c r="N19" s="33"/>
      <c r="O19" s="33"/>
      <c r="P19" s="43"/>
    </row>
    <row r="20" spans="2:16" ht="15">
      <c r="B20" s="42"/>
      <c r="C20" s="33"/>
      <c r="D20" s="33"/>
      <c r="E20" s="63"/>
      <c r="F20" s="63"/>
      <c r="G20" s="64"/>
      <c r="H20" s="33"/>
      <c r="I20" s="33"/>
      <c r="J20" s="33"/>
      <c r="K20" s="33"/>
      <c r="L20" s="33"/>
      <c r="M20" s="33"/>
      <c r="N20" s="33"/>
      <c r="O20" s="33"/>
      <c r="P20" s="43"/>
    </row>
    <row r="21" spans="2:16" ht="15.75">
      <c r="B21" s="42"/>
      <c r="C21" s="177" t="s">
        <v>178</v>
      </c>
      <c r="D21" s="33"/>
      <c r="E21" s="63"/>
      <c r="F21" s="63"/>
      <c r="G21" s="64"/>
      <c r="H21" s="33"/>
      <c r="I21" s="33"/>
      <c r="J21" s="33"/>
      <c r="K21" s="33"/>
      <c r="L21" s="33"/>
      <c r="M21" s="33"/>
      <c r="N21" s="33"/>
      <c r="O21" s="33"/>
      <c r="P21" s="43"/>
    </row>
    <row r="22" spans="2:16" ht="15">
      <c r="B22" s="42"/>
      <c r="C22" s="33"/>
      <c r="D22" s="33"/>
      <c r="E22" s="33"/>
      <c r="F22" s="33"/>
      <c r="G22" s="33"/>
      <c r="H22" s="33"/>
      <c r="I22" s="33"/>
      <c r="J22" s="33"/>
      <c r="K22" s="33"/>
      <c r="L22" s="33"/>
      <c r="M22" s="33"/>
      <c r="N22" s="33"/>
      <c r="O22" s="33"/>
      <c r="P22" s="43"/>
    </row>
    <row r="23" spans="2:16" ht="15.75">
      <c r="B23" s="42"/>
      <c r="C23" s="33"/>
      <c r="D23" s="33"/>
      <c r="E23" s="180" t="s">
        <v>81</v>
      </c>
      <c r="F23" s="180"/>
      <c r="G23" s="180"/>
      <c r="H23" s="180"/>
      <c r="I23" s="180"/>
      <c r="J23" s="180"/>
      <c r="K23" s="180"/>
      <c r="L23" s="180"/>
      <c r="M23" s="180"/>
      <c r="N23" s="180"/>
      <c r="O23" s="180"/>
      <c r="P23" s="43"/>
    </row>
    <row r="24" spans="2:16" ht="15.75">
      <c r="B24" s="42"/>
      <c r="C24" s="33"/>
      <c r="D24" s="33"/>
      <c r="E24" s="65"/>
      <c r="F24" s="65"/>
      <c r="G24" s="65"/>
      <c r="H24" s="65"/>
      <c r="I24" s="65"/>
      <c r="J24" s="65"/>
      <c r="K24" s="65"/>
      <c r="L24" s="65"/>
      <c r="M24" s="65"/>
      <c r="N24" s="65"/>
      <c r="O24" s="65"/>
      <c r="P24" s="43"/>
    </row>
    <row r="25" spans="2:16" ht="15.75">
      <c r="B25" s="42"/>
      <c r="C25" s="33"/>
      <c r="D25" s="33"/>
      <c r="E25" s="65">
        <v>0</v>
      </c>
      <c r="F25" s="65">
        <v>1</v>
      </c>
      <c r="G25" s="65">
        <v>2</v>
      </c>
      <c r="H25" s="65">
        <v>3</v>
      </c>
      <c r="I25" s="65">
        <v>4</v>
      </c>
      <c r="J25" s="65">
        <v>5</v>
      </c>
      <c r="K25" s="65">
        <v>6</v>
      </c>
      <c r="L25" s="65">
        <v>7</v>
      </c>
      <c r="M25" s="65">
        <v>8</v>
      </c>
      <c r="N25" s="65">
        <v>9</v>
      </c>
      <c r="O25" s="65">
        <v>10</v>
      </c>
      <c r="P25" s="43"/>
    </row>
    <row r="26" spans="2:16" ht="15.75">
      <c r="B26" s="42"/>
      <c r="C26" s="27" t="s">
        <v>61</v>
      </c>
      <c r="D26" s="27"/>
      <c r="E26" s="33"/>
      <c r="F26" s="33"/>
      <c r="G26" s="33"/>
      <c r="H26" s="33"/>
      <c r="I26" s="33"/>
      <c r="J26" s="33"/>
      <c r="K26" s="33"/>
      <c r="L26" s="33"/>
      <c r="M26" s="33"/>
      <c r="N26" s="33"/>
      <c r="O26" s="33"/>
      <c r="P26" s="43"/>
    </row>
    <row r="27" spans="2:16" ht="15.75">
      <c r="B27" s="42"/>
      <c r="C27" s="33" t="s">
        <v>142</v>
      </c>
      <c r="D27" s="134" t="s">
        <v>138</v>
      </c>
      <c r="E27" s="138">
        <v>10</v>
      </c>
      <c r="F27" s="138">
        <v>10</v>
      </c>
      <c r="G27" s="138">
        <v>10</v>
      </c>
      <c r="H27" s="138">
        <v>10</v>
      </c>
      <c r="I27" s="138">
        <v>10</v>
      </c>
      <c r="J27" s="138">
        <v>10</v>
      </c>
      <c r="K27" s="163"/>
      <c r="L27" s="163"/>
      <c r="M27" s="163"/>
      <c r="N27" s="163"/>
      <c r="O27" s="163"/>
      <c r="P27" s="43"/>
    </row>
    <row r="28" spans="2:16" ht="15.75">
      <c r="B28" s="42"/>
      <c r="C28" s="33" t="s">
        <v>90</v>
      </c>
      <c r="D28" s="134" t="s">
        <v>138</v>
      </c>
      <c r="E28" s="139">
        <v>25000</v>
      </c>
      <c r="F28" s="139">
        <f>E28*1.02</f>
        <v>25500</v>
      </c>
      <c r="G28" s="139">
        <f>F28*1.02</f>
        <v>26010</v>
      </c>
      <c r="H28" s="139">
        <f>G28*1.02</f>
        <v>26530.2</v>
      </c>
      <c r="I28" s="139">
        <f>H28*1.02</f>
        <v>27060.804</v>
      </c>
      <c r="J28" s="139">
        <f>I28*1.02</f>
        <v>27602.020080000002</v>
      </c>
      <c r="K28" s="164"/>
      <c r="L28" s="164"/>
      <c r="M28" s="164"/>
      <c r="N28" s="164"/>
      <c r="O28" s="164"/>
      <c r="P28" s="43"/>
    </row>
    <row r="29" spans="2:16" ht="15.75">
      <c r="B29" s="42"/>
      <c r="C29" s="33" t="s">
        <v>89</v>
      </c>
      <c r="D29" s="134" t="s">
        <v>138</v>
      </c>
      <c r="E29" s="138">
        <v>228</v>
      </c>
      <c r="F29" s="138">
        <v>228</v>
      </c>
      <c r="G29" s="138">
        <v>228</v>
      </c>
      <c r="H29" s="138">
        <v>228</v>
      </c>
      <c r="I29" s="138">
        <v>228</v>
      </c>
      <c r="J29" s="138">
        <v>228</v>
      </c>
      <c r="K29" s="163">
        <v>228</v>
      </c>
      <c r="L29" s="163">
        <v>228</v>
      </c>
      <c r="M29" s="163">
        <v>228</v>
      </c>
      <c r="N29" s="163">
        <v>228</v>
      </c>
      <c r="O29" s="163">
        <v>228</v>
      </c>
      <c r="P29" s="43"/>
    </row>
    <row r="30" spans="2:16" ht="15">
      <c r="B30" s="42"/>
      <c r="C30" s="33"/>
      <c r="D30" s="33"/>
      <c r="E30" s="33"/>
      <c r="F30" s="33"/>
      <c r="G30" s="33"/>
      <c r="H30" s="33"/>
      <c r="I30" s="33"/>
      <c r="J30" s="33"/>
      <c r="K30" s="33"/>
      <c r="L30" s="33"/>
      <c r="M30" s="33"/>
      <c r="N30" s="33"/>
      <c r="O30" s="33"/>
      <c r="P30" s="43"/>
    </row>
    <row r="31" spans="2:16" ht="15.75">
      <c r="B31" s="42"/>
      <c r="C31" s="27" t="s">
        <v>83</v>
      </c>
      <c r="D31" s="27"/>
      <c r="E31" s="33"/>
      <c r="F31" s="33"/>
      <c r="G31" s="33"/>
      <c r="H31" s="33"/>
      <c r="I31" s="33"/>
      <c r="J31" s="33"/>
      <c r="K31" s="33"/>
      <c r="L31" s="33"/>
      <c r="M31" s="33"/>
      <c r="N31" s="33"/>
      <c r="O31" s="33"/>
      <c r="P31" s="43"/>
    </row>
    <row r="32" spans="2:16" ht="15.75">
      <c r="B32" s="42"/>
      <c r="C32" s="33" t="s">
        <v>82</v>
      </c>
      <c r="D32" s="134" t="s">
        <v>138</v>
      </c>
      <c r="E32" s="144">
        <v>2500</v>
      </c>
      <c r="F32" s="35"/>
      <c r="G32" s="35"/>
      <c r="H32" s="35"/>
      <c r="I32" s="35"/>
      <c r="J32" s="35"/>
      <c r="K32" s="35"/>
      <c r="L32" s="35"/>
      <c r="M32" s="35"/>
      <c r="N32" s="35"/>
      <c r="O32" s="35"/>
      <c r="P32" s="43"/>
    </row>
    <row r="33" spans="2:16" ht="15.75">
      <c r="B33" s="42"/>
      <c r="C33" s="33" t="s">
        <v>84</v>
      </c>
      <c r="D33" s="134" t="s">
        <v>138</v>
      </c>
      <c r="E33" s="139">
        <v>0</v>
      </c>
      <c r="F33" s="139">
        <v>0</v>
      </c>
      <c r="G33" s="139">
        <v>0</v>
      </c>
      <c r="H33" s="139">
        <v>0</v>
      </c>
      <c r="I33" s="139">
        <v>0</v>
      </c>
      <c r="J33" s="139">
        <v>0</v>
      </c>
      <c r="K33" s="164"/>
      <c r="L33" s="164"/>
      <c r="M33" s="164"/>
      <c r="N33" s="164"/>
      <c r="O33" s="164"/>
      <c r="P33" s="43"/>
    </row>
    <row r="34" spans="2:16" ht="15.75">
      <c r="B34" s="42"/>
      <c r="C34" s="33" t="s">
        <v>85</v>
      </c>
      <c r="D34" s="134" t="s">
        <v>138</v>
      </c>
      <c r="E34" s="139"/>
      <c r="F34" s="139">
        <v>500</v>
      </c>
      <c r="G34" s="139">
        <f>F34*1.02</f>
        <v>510</v>
      </c>
      <c r="H34" s="139">
        <f>G34*1.02</f>
        <v>520.2</v>
      </c>
      <c r="I34" s="139">
        <f>H34*1.02</f>
        <v>530.604</v>
      </c>
      <c r="J34" s="139">
        <f>I34*1.02</f>
        <v>541.21608</v>
      </c>
      <c r="K34" s="164"/>
      <c r="L34" s="164"/>
      <c r="M34" s="164"/>
      <c r="N34" s="164"/>
      <c r="O34" s="164"/>
      <c r="P34" s="43"/>
    </row>
    <row r="35" spans="2:16" ht="15">
      <c r="B35" s="42"/>
      <c r="C35" s="33"/>
      <c r="D35" s="33"/>
      <c r="E35" s="33"/>
      <c r="F35" s="33"/>
      <c r="G35" s="33"/>
      <c r="H35" s="33"/>
      <c r="I35" s="33"/>
      <c r="J35" s="33"/>
      <c r="K35" s="33"/>
      <c r="L35" s="33"/>
      <c r="M35" s="33"/>
      <c r="N35" s="33"/>
      <c r="O35" s="33"/>
      <c r="P35" s="43"/>
    </row>
    <row r="36" spans="2:16" ht="15.75">
      <c r="B36" s="42"/>
      <c r="C36" s="27" t="s">
        <v>94</v>
      </c>
      <c r="D36" s="27"/>
      <c r="E36" s="33"/>
      <c r="F36" s="33"/>
      <c r="G36" s="33"/>
      <c r="H36" s="33"/>
      <c r="I36" s="33"/>
      <c r="J36" s="33"/>
      <c r="K36" s="33"/>
      <c r="L36" s="33"/>
      <c r="M36" s="33"/>
      <c r="N36" s="33"/>
      <c r="O36" s="33"/>
      <c r="P36" s="43"/>
    </row>
    <row r="37" spans="2:16" ht="15.75">
      <c r="B37" s="42"/>
      <c r="C37" s="32" t="s">
        <v>2</v>
      </c>
      <c r="D37" s="27"/>
      <c r="E37" s="33"/>
      <c r="F37" s="33"/>
      <c r="G37" s="33"/>
      <c r="H37" s="33"/>
      <c r="I37" s="33"/>
      <c r="J37" s="33"/>
      <c r="K37" s="33"/>
      <c r="L37" s="33"/>
      <c r="M37" s="33"/>
      <c r="N37" s="33"/>
      <c r="O37" s="33"/>
      <c r="P37" s="43"/>
    </row>
    <row r="38" spans="2:16" ht="15.75">
      <c r="B38" s="42"/>
      <c r="C38" s="27"/>
      <c r="D38" s="27"/>
      <c r="E38" s="33"/>
      <c r="F38" s="33"/>
      <c r="G38" s="33"/>
      <c r="H38" s="33"/>
      <c r="I38" s="33"/>
      <c r="J38" s="33"/>
      <c r="K38" s="33"/>
      <c r="L38" s="33"/>
      <c r="M38" s="33"/>
      <c r="N38" s="33"/>
      <c r="O38" s="33"/>
      <c r="P38" s="43"/>
    </row>
    <row r="39" spans="2:16" ht="15.75">
      <c r="B39" s="42"/>
      <c r="C39" s="33" t="s">
        <v>22</v>
      </c>
      <c r="D39" s="134" t="s">
        <v>138</v>
      </c>
      <c r="E39" s="162">
        <v>5</v>
      </c>
      <c r="F39" s="162">
        <v>4.5</v>
      </c>
      <c r="G39" s="162">
        <v>4</v>
      </c>
      <c r="H39" s="162">
        <v>4</v>
      </c>
      <c r="I39" s="162">
        <v>4</v>
      </c>
      <c r="J39" s="162">
        <v>4</v>
      </c>
      <c r="K39" s="165"/>
      <c r="L39" s="165"/>
      <c r="M39" s="165"/>
      <c r="N39" s="165"/>
      <c r="O39" s="165"/>
      <c r="P39" s="43"/>
    </row>
    <row r="40" spans="2:16" ht="15.75">
      <c r="B40" s="42"/>
      <c r="C40" s="66" t="s">
        <v>52</v>
      </c>
      <c r="D40" s="134" t="s">
        <v>138</v>
      </c>
      <c r="E40" s="142"/>
      <c r="F40" s="142"/>
      <c r="G40" s="142"/>
      <c r="H40" s="142"/>
      <c r="I40" s="142"/>
      <c r="J40" s="142"/>
      <c r="K40" s="166"/>
      <c r="L40" s="166"/>
      <c r="M40" s="166"/>
      <c r="N40" s="166"/>
      <c r="O40" s="166"/>
      <c r="P40" s="43"/>
    </row>
    <row r="41" spans="2:16" ht="15.75">
      <c r="B41" s="42"/>
      <c r="C41" s="33" t="s">
        <v>151</v>
      </c>
      <c r="D41" s="134" t="s">
        <v>138</v>
      </c>
      <c r="E41" s="140">
        <v>1</v>
      </c>
      <c r="F41" s="140">
        <v>1</v>
      </c>
      <c r="G41" s="140">
        <v>1</v>
      </c>
      <c r="H41" s="140">
        <v>1</v>
      </c>
      <c r="I41" s="140">
        <v>1</v>
      </c>
      <c r="J41" s="140">
        <v>1</v>
      </c>
      <c r="K41" s="167">
        <v>1</v>
      </c>
      <c r="L41" s="167">
        <v>1</v>
      </c>
      <c r="M41" s="167">
        <v>1</v>
      </c>
      <c r="N41" s="167">
        <v>1</v>
      </c>
      <c r="O41" s="167">
        <v>1</v>
      </c>
      <c r="P41" s="43"/>
    </row>
    <row r="42" spans="2:16" ht="15.75">
      <c r="B42" s="42"/>
      <c r="C42" s="33" t="s">
        <v>37</v>
      </c>
      <c r="D42" s="134" t="s">
        <v>138</v>
      </c>
      <c r="E42" s="141"/>
      <c r="F42" s="141"/>
      <c r="G42" s="141"/>
      <c r="H42" s="141"/>
      <c r="I42" s="141"/>
      <c r="J42" s="141"/>
      <c r="K42" s="165"/>
      <c r="L42" s="165"/>
      <c r="M42" s="165"/>
      <c r="N42" s="165"/>
      <c r="O42" s="165"/>
      <c r="P42" s="43"/>
    </row>
    <row r="43" spans="2:16" ht="15.75">
      <c r="B43" s="42"/>
      <c r="C43" s="66" t="s">
        <v>52</v>
      </c>
      <c r="D43" s="134" t="s">
        <v>138</v>
      </c>
      <c r="E43" s="142"/>
      <c r="F43" s="142"/>
      <c r="G43" s="142"/>
      <c r="H43" s="142"/>
      <c r="I43" s="142"/>
      <c r="J43" s="142"/>
      <c r="K43" s="166"/>
      <c r="L43" s="166"/>
      <c r="M43" s="166"/>
      <c r="N43" s="166"/>
      <c r="O43" s="166"/>
      <c r="P43" s="43"/>
    </row>
    <row r="44" spans="2:16" ht="15.75">
      <c r="B44" s="42"/>
      <c r="C44" s="5" t="s">
        <v>38</v>
      </c>
      <c r="D44" s="134" t="s">
        <v>138</v>
      </c>
      <c r="E44" s="142">
        <v>0.05</v>
      </c>
      <c r="F44" s="142">
        <v>0.025</v>
      </c>
      <c r="G44" s="142">
        <v>0.025</v>
      </c>
      <c r="H44" s="142">
        <v>0.025</v>
      </c>
      <c r="I44" s="142">
        <v>0.025</v>
      </c>
      <c r="J44" s="142">
        <v>0.025</v>
      </c>
      <c r="K44" s="166"/>
      <c r="L44" s="166"/>
      <c r="M44" s="166"/>
      <c r="N44" s="166"/>
      <c r="O44" s="166"/>
      <c r="P44" s="43"/>
    </row>
    <row r="45" spans="2:16" ht="15.75">
      <c r="B45" s="42"/>
      <c r="C45" s="5" t="s">
        <v>64</v>
      </c>
      <c r="D45" s="134" t="s">
        <v>138</v>
      </c>
      <c r="E45" s="139">
        <v>12500</v>
      </c>
      <c r="F45" s="139">
        <f>E45*1.02</f>
        <v>12750</v>
      </c>
      <c r="G45" s="139">
        <f>F45*1.02</f>
        <v>13005</v>
      </c>
      <c r="H45" s="139">
        <f>G45*1.02</f>
        <v>13265.1</v>
      </c>
      <c r="I45" s="139">
        <f>H45*1.02</f>
        <v>13530.402</v>
      </c>
      <c r="J45" s="139">
        <f>I45*1.02</f>
        <v>13801.010040000001</v>
      </c>
      <c r="K45" s="164"/>
      <c r="L45" s="164"/>
      <c r="M45" s="164"/>
      <c r="N45" s="164"/>
      <c r="O45" s="164"/>
      <c r="P45" s="43"/>
    </row>
    <row r="46" spans="2:16" ht="15.75">
      <c r="B46" s="42"/>
      <c r="C46" s="5" t="s">
        <v>69</v>
      </c>
      <c r="D46" s="134" t="s">
        <v>138</v>
      </c>
      <c r="E46" s="138"/>
      <c r="F46" s="138"/>
      <c r="G46" s="138"/>
      <c r="H46" s="138"/>
      <c r="I46" s="138"/>
      <c r="J46" s="138"/>
      <c r="K46" s="163"/>
      <c r="L46" s="163"/>
      <c r="M46" s="163"/>
      <c r="N46" s="163"/>
      <c r="O46" s="163"/>
      <c r="P46" s="43"/>
    </row>
    <row r="47" spans="2:16" ht="15.75">
      <c r="B47" s="42"/>
      <c r="C47" s="5" t="s">
        <v>70</v>
      </c>
      <c r="D47" s="134" t="s">
        <v>138</v>
      </c>
      <c r="E47" s="139"/>
      <c r="F47" s="139"/>
      <c r="G47" s="139"/>
      <c r="H47" s="139"/>
      <c r="I47" s="139"/>
      <c r="J47" s="139"/>
      <c r="K47" s="164"/>
      <c r="L47" s="164"/>
      <c r="M47" s="164"/>
      <c r="N47" s="164"/>
      <c r="O47" s="164"/>
      <c r="P47" s="43"/>
    </row>
    <row r="48" spans="2:16" ht="15.75">
      <c r="B48" s="42"/>
      <c r="C48" s="33" t="s">
        <v>152</v>
      </c>
      <c r="D48" s="134" t="s">
        <v>138</v>
      </c>
      <c r="E48" s="138"/>
      <c r="F48" s="138"/>
      <c r="G48" s="138"/>
      <c r="H48" s="138"/>
      <c r="I48" s="138"/>
      <c r="J48" s="138"/>
      <c r="K48" s="163"/>
      <c r="L48" s="163"/>
      <c r="M48" s="163"/>
      <c r="N48" s="163"/>
      <c r="O48" s="163"/>
      <c r="P48" s="43"/>
    </row>
    <row r="49" spans="2:16" ht="15.75">
      <c r="B49" s="42"/>
      <c r="C49" s="33" t="s">
        <v>153</v>
      </c>
      <c r="D49" s="134" t="s">
        <v>138</v>
      </c>
      <c r="E49" s="139"/>
      <c r="F49" s="139"/>
      <c r="G49" s="139"/>
      <c r="H49" s="139"/>
      <c r="I49" s="139"/>
      <c r="J49" s="139"/>
      <c r="K49" s="164"/>
      <c r="L49" s="164"/>
      <c r="M49" s="164"/>
      <c r="N49" s="164"/>
      <c r="O49" s="164"/>
      <c r="P49" s="43"/>
    </row>
    <row r="50" spans="2:16" ht="15.75" thickBot="1">
      <c r="B50" s="44"/>
      <c r="C50" s="45"/>
      <c r="D50" s="45"/>
      <c r="E50" s="45"/>
      <c r="F50" s="45"/>
      <c r="G50" s="45"/>
      <c r="H50" s="45"/>
      <c r="I50" s="45"/>
      <c r="J50" s="45"/>
      <c r="K50" s="45"/>
      <c r="L50" s="45"/>
      <c r="M50" s="45"/>
      <c r="N50" s="45"/>
      <c r="O50" s="45"/>
      <c r="P50" s="46"/>
    </row>
    <row r="51" spans="2:16" ht="15">
      <c r="B51" s="33"/>
      <c r="C51" s="33"/>
      <c r="D51" s="33"/>
      <c r="E51" s="33"/>
      <c r="F51" s="33"/>
      <c r="G51" s="33"/>
      <c r="H51" s="33"/>
      <c r="I51" s="33"/>
      <c r="J51" s="33"/>
      <c r="K51" s="33"/>
      <c r="L51" s="33"/>
      <c r="M51" s="33"/>
      <c r="N51" s="33"/>
      <c r="O51" s="33"/>
      <c r="P51" s="33"/>
    </row>
    <row r="52" ht="15.75" thickBot="1">
      <c r="J52" s="33"/>
    </row>
    <row r="53" spans="2:10" s="28" customFormat="1" ht="12.75">
      <c r="B53" s="68"/>
      <c r="C53" s="69"/>
      <c r="D53" s="69"/>
      <c r="E53" s="69"/>
      <c r="F53" s="69"/>
      <c r="G53" s="69"/>
      <c r="H53" s="69"/>
      <c r="I53" s="70"/>
      <c r="J53" s="29"/>
    </row>
    <row r="54" spans="2:10" s="28" customFormat="1" ht="12.75">
      <c r="B54" s="71"/>
      <c r="C54" s="29"/>
      <c r="D54" s="29"/>
      <c r="E54" s="29"/>
      <c r="F54" s="29"/>
      <c r="G54" s="29"/>
      <c r="H54" s="29"/>
      <c r="I54" s="72"/>
      <c r="J54" s="29"/>
    </row>
    <row r="55" spans="2:10" s="28" customFormat="1" ht="12.75">
      <c r="B55" s="71"/>
      <c r="C55" s="29"/>
      <c r="D55" s="29"/>
      <c r="E55" s="29"/>
      <c r="F55" s="29"/>
      <c r="G55" s="29"/>
      <c r="H55" s="29"/>
      <c r="I55" s="72"/>
      <c r="J55" s="29"/>
    </row>
    <row r="56" spans="2:10" s="28" customFormat="1" ht="12.75">
      <c r="B56" s="71"/>
      <c r="C56" s="29"/>
      <c r="D56" s="29"/>
      <c r="E56" s="29"/>
      <c r="F56" s="29"/>
      <c r="G56" s="29"/>
      <c r="H56" s="29"/>
      <c r="I56" s="72"/>
      <c r="J56" s="29"/>
    </row>
    <row r="57" spans="2:10" s="28" customFormat="1" ht="12.75">
      <c r="B57" s="71"/>
      <c r="C57" s="29"/>
      <c r="D57" s="29"/>
      <c r="E57" s="29"/>
      <c r="F57" s="29"/>
      <c r="G57" s="29"/>
      <c r="H57" s="29"/>
      <c r="I57" s="72"/>
      <c r="J57" s="29"/>
    </row>
    <row r="58" spans="2:10" s="28" customFormat="1" ht="12.75">
      <c r="B58" s="71"/>
      <c r="C58" s="29"/>
      <c r="D58" s="29"/>
      <c r="E58" s="29"/>
      <c r="F58" s="29"/>
      <c r="G58" s="29"/>
      <c r="H58" s="29"/>
      <c r="I58" s="72"/>
      <c r="J58" s="29"/>
    </row>
    <row r="59" spans="2:10" s="28" customFormat="1" ht="12.75">
      <c r="B59" s="71"/>
      <c r="C59" s="29"/>
      <c r="D59" s="29"/>
      <c r="E59" s="29"/>
      <c r="F59" s="29"/>
      <c r="G59" s="29"/>
      <c r="H59" s="29"/>
      <c r="I59" s="72"/>
      <c r="J59" s="29"/>
    </row>
    <row r="60" spans="2:10" s="28" customFormat="1" ht="12.75">
      <c r="B60" s="71"/>
      <c r="C60" s="29"/>
      <c r="D60" s="29"/>
      <c r="E60" s="29"/>
      <c r="F60" s="29"/>
      <c r="G60" s="29"/>
      <c r="H60" s="29"/>
      <c r="I60" s="72"/>
      <c r="J60" s="29"/>
    </row>
    <row r="61" spans="2:10" s="28" customFormat="1" ht="12.75">
      <c r="B61" s="71"/>
      <c r="C61" s="29"/>
      <c r="D61" s="29"/>
      <c r="E61" s="29"/>
      <c r="F61" s="29"/>
      <c r="G61" s="29"/>
      <c r="H61" s="29"/>
      <c r="I61" s="72"/>
      <c r="J61" s="29"/>
    </row>
    <row r="62" spans="2:10" s="28" customFormat="1" ht="12.75">
      <c r="B62" s="71"/>
      <c r="C62" s="29"/>
      <c r="D62" s="29"/>
      <c r="E62" s="29"/>
      <c r="F62" s="29"/>
      <c r="G62" s="29"/>
      <c r="H62" s="29"/>
      <c r="I62" s="72"/>
      <c r="J62" s="29"/>
    </row>
    <row r="63" spans="2:10" s="28" customFormat="1" ht="12.75">
      <c r="B63" s="71"/>
      <c r="C63" s="29"/>
      <c r="D63" s="29"/>
      <c r="E63" s="29"/>
      <c r="F63" s="29"/>
      <c r="G63" s="29"/>
      <c r="H63" s="29"/>
      <c r="I63" s="72"/>
      <c r="J63" s="29"/>
    </row>
    <row r="64" spans="2:10" s="28" customFormat="1" ht="12.75">
      <c r="B64" s="71"/>
      <c r="C64" s="29"/>
      <c r="D64" s="29"/>
      <c r="E64" s="29"/>
      <c r="F64" s="29"/>
      <c r="G64" s="29"/>
      <c r="H64" s="29"/>
      <c r="I64" s="72"/>
      <c r="J64" s="29"/>
    </row>
    <row r="65" spans="2:10" s="28" customFormat="1" ht="12.75">
      <c r="B65" s="71"/>
      <c r="C65" s="29"/>
      <c r="D65" s="29"/>
      <c r="E65" s="29"/>
      <c r="F65" s="29"/>
      <c r="G65" s="29"/>
      <c r="H65" s="29"/>
      <c r="I65" s="72"/>
      <c r="J65" s="29"/>
    </row>
    <row r="66" spans="2:10" s="28" customFormat="1" ht="12.75">
      <c r="B66" s="71"/>
      <c r="C66" s="29"/>
      <c r="D66" s="29"/>
      <c r="E66" s="29"/>
      <c r="F66" s="29"/>
      <c r="G66" s="29"/>
      <c r="H66" s="29"/>
      <c r="I66" s="72"/>
      <c r="J66" s="29"/>
    </row>
    <row r="67" spans="2:10" s="28" customFormat="1" ht="12.75">
      <c r="B67" s="71"/>
      <c r="C67" s="29"/>
      <c r="D67" s="29"/>
      <c r="E67" s="29"/>
      <c r="F67" s="29"/>
      <c r="G67" s="29"/>
      <c r="H67" s="29"/>
      <c r="I67" s="72"/>
      <c r="J67" s="29"/>
    </row>
    <row r="68" spans="2:10" s="28" customFormat="1" ht="12.75">
      <c r="B68" s="71"/>
      <c r="C68" s="29"/>
      <c r="D68" s="29"/>
      <c r="E68" s="29"/>
      <c r="F68" s="29"/>
      <c r="G68" s="29"/>
      <c r="H68" s="29"/>
      <c r="I68" s="72"/>
      <c r="J68" s="29"/>
    </row>
    <row r="69" spans="2:10" s="28" customFormat="1" ht="12.75">
      <c r="B69" s="71"/>
      <c r="C69" s="29"/>
      <c r="D69" s="29"/>
      <c r="E69" s="29"/>
      <c r="F69" s="29"/>
      <c r="G69" s="29"/>
      <c r="H69" s="29"/>
      <c r="I69" s="72"/>
      <c r="J69" s="29"/>
    </row>
    <row r="70" spans="2:10" s="28" customFormat="1" ht="12.75">
      <c r="B70" s="71"/>
      <c r="C70" s="29"/>
      <c r="D70" s="29"/>
      <c r="E70" s="29"/>
      <c r="F70" s="29"/>
      <c r="G70" s="29"/>
      <c r="H70" s="29"/>
      <c r="I70" s="72"/>
      <c r="J70" s="29"/>
    </row>
    <row r="71" spans="2:10" s="28" customFormat="1" ht="12.75">
      <c r="B71" s="71"/>
      <c r="C71" s="29"/>
      <c r="D71" s="29"/>
      <c r="E71" s="29"/>
      <c r="F71" s="29"/>
      <c r="G71" s="29"/>
      <c r="H71" s="29"/>
      <c r="I71" s="72"/>
      <c r="J71" s="29"/>
    </row>
    <row r="72" spans="2:10" s="28" customFormat="1" ht="12.75">
      <c r="B72" s="71"/>
      <c r="C72" s="29"/>
      <c r="D72" s="29"/>
      <c r="E72" s="29"/>
      <c r="F72" s="29"/>
      <c r="G72" s="29"/>
      <c r="H72" s="29"/>
      <c r="I72" s="72"/>
      <c r="J72" s="29"/>
    </row>
    <row r="73" spans="2:10" s="28" customFormat="1" ht="12.75">
      <c r="B73" s="71"/>
      <c r="C73" s="29"/>
      <c r="D73" s="29"/>
      <c r="E73" s="29"/>
      <c r="F73" s="29"/>
      <c r="G73" s="29"/>
      <c r="H73" s="29"/>
      <c r="I73" s="72"/>
      <c r="J73" s="29"/>
    </row>
    <row r="74" spans="2:10" s="28" customFormat="1" ht="12.75">
      <c r="B74" s="71"/>
      <c r="C74" s="29"/>
      <c r="D74" s="29"/>
      <c r="E74" s="29"/>
      <c r="F74" s="29"/>
      <c r="G74" s="29"/>
      <c r="H74" s="29"/>
      <c r="I74" s="72"/>
      <c r="J74" s="29"/>
    </row>
    <row r="75" spans="2:10" s="28" customFormat="1" ht="12.75">
      <c r="B75" s="71"/>
      <c r="C75" s="29"/>
      <c r="D75" s="29"/>
      <c r="E75" s="29"/>
      <c r="F75" s="29"/>
      <c r="G75" s="29"/>
      <c r="H75" s="29"/>
      <c r="I75" s="72"/>
      <c r="J75" s="29"/>
    </row>
    <row r="76" spans="2:10" s="28" customFormat="1" ht="12.75">
      <c r="B76" s="71"/>
      <c r="C76" s="29"/>
      <c r="D76" s="29"/>
      <c r="E76" s="29"/>
      <c r="F76" s="29"/>
      <c r="G76" s="29"/>
      <c r="H76" s="29"/>
      <c r="I76" s="72"/>
      <c r="J76" s="29"/>
    </row>
    <row r="77" spans="2:10" s="28" customFormat="1" ht="12.75">
      <c r="B77" s="71"/>
      <c r="C77" s="29"/>
      <c r="D77" s="29"/>
      <c r="E77" s="29"/>
      <c r="F77" s="29"/>
      <c r="G77" s="29"/>
      <c r="H77" s="29"/>
      <c r="I77" s="72"/>
      <c r="J77" s="29"/>
    </row>
    <row r="78" spans="2:10" s="28" customFormat="1" ht="12.75">
      <c r="B78" s="71"/>
      <c r="C78" s="29"/>
      <c r="D78" s="29"/>
      <c r="E78" s="29"/>
      <c r="F78" s="29"/>
      <c r="G78" s="29"/>
      <c r="H78" s="29"/>
      <c r="I78" s="72"/>
      <c r="J78" s="29"/>
    </row>
    <row r="79" spans="2:15" s="28" customFormat="1" ht="15.75">
      <c r="B79" s="71"/>
      <c r="C79" s="17" t="s">
        <v>110</v>
      </c>
      <c r="D79" s="17"/>
      <c r="E79" s="18"/>
      <c r="F79" s="33"/>
      <c r="G79" s="33"/>
      <c r="H79" s="33"/>
      <c r="I79" s="43"/>
      <c r="J79" s="1"/>
      <c r="K79" s="1"/>
      <c r="L79" s="1"/>
      <c r="M79" s="1"/>
      <c r="N79" s="1"/>
      <c r="O79" s="1"/>
    </row>
    <row r="80" spans="2:15" s="28" customFormat="1" ht="15.75">
      <c r="B80" s="71"/>
      <c r="C80" s="27"/>
      <c r="D80" s="27"/>
      <c r="E80" s="33"/>
      <c r="F80" s="33"/>
      <c r="G80" s="33"/>
      <c r="H80" s="33"/>
      <c r="I80" s="43"/>
      <c r="J80" s="1"/>
      <c r="K80" s="1"/>
      <c r="L80" s="1"/>
      <c r="M80" s="1"/>
      <c r="N80" s="1"/>
      <c r="O80" s="1"/>
    </row>
    <row r="81" spans="2:15" s="28" customFormat="1" ht="15.75">
      <c r="B81" s="71"/>
      <c r="C81" s="73" t="s">
        <v>106</v>
      </c>
      <c r="D81" s="73"/>
      <c r="E81" s="157">
        <f>P101-ABS(P109)</f>
        <v>13175.80312620389</v>
      </c>
      <c r="F81" s="134" t="s">
        <v>138</v>
      </c>
      <c r="G81" s="134"/>
      <c r="H81" s="33"/>
      <c r="I81" s="43"/>
      <c r="J81" s="33"/>
      <c r="K81" s="33"/>
      <c r="L81" s="33"/>
      <c r="M81" s="33"/>
      <c r="N81" s="33"/>
      <c r="O81" s="33"/>
    </row>
    <row r="82" spans="2:15" s="28" customFormat="1" ht="15.75">
      <c r="B82" s="71"/>
      <c r="C82" s="73" t="s">
        <v>107</v>
      </c>
      <c r="D82" s="73"/>
      <c r="E82" s="151">
        <f>P101/ABS(P109)</f>
        <v>3.8469408772262925</v>
      </c>
      <c r="F82" s="134" t="s">
        <v>138</v>
      </c>
      <c r="G82" s="134"/>
      <c r="H82" s="33"/>
      <c r="I82" s="43"/>
      <c r="J82" s="33"/>
      <c r="K82" s="33"/>
      <c r="L82" s="33"/>
      <c r="M82" s="33"/>
      <c r="N82" s="33"/>
      <c r="O82" s="33"/>
    </row>
    <row r="83" spans="2:15" s="28" customFormat="1" ht="15.75">
      <c r="B83" s="71"/>
      <c r="C83" s="73" t="s">
        <v>108</v>
      </c>
      <c r="D83" s="73"/>
      <c r="E83" s="156">
        <f ca="1">(HLOOKUP(1,E122:O123,2,FALSE)-1)+((OFFSET(E114,0,(HLOOKUP(1,E122:O123,2,FALSE)-1)))/(OFFSET(E114,0,(HLOOKUP(1,E122:O123,2,FALSE)-1))-OFFSET(E114,0,(HLOOKUP(1,E122:O123,2,FALSE)))))</f>
        <v>0.7700101317122592</v>
      </c>
      <c r="F83" s="134" t="s">
        <v>138</v>
      </c>
      <c r="G83" s="134"/>
      <c r="H83" s="33"/>
      <c r="I83" s="43"/>
      <c r="J83" s="33"/>
      <c r="K83" s="33"/>
      <c r="L83" s="33"/>
      <c r="M83" s="33"/>
      <c r="N83" s="33"/>
      <c r="O83" s="33"/>
    </row>
    <row r="84" spans="2:15" s="28" customFormat="1" ht="15.75">
      <c r="B84" s="71"/>
      <c r="C84" s="73" t="s">
        <v>109</v>
      </c>
      <c r="D84" s="73"/>
      <c r="E84" s="151">
        <f>IRR(E112:O112)</f>
        <v>1.3926067571352603</v>
      </c>
      <c r="F84" s="134" t="s">
        <v>138</v>
      </c>
      <c r="G84" s="134"/>
      <c r="H84" s="33"/>
      <c r="I84" s="43"/>
      <c r="J84" s="33"/>
      <c r="K84" s="33"/>
      <c r="L84" s="33"/>
      <c r="M84" s="33"/>
      <c r="N84" s="33"/>
      <c r="O84" s="33"/>
    </row>
    <row r="85" spans="2:9" ht="15">
      <c r="B85" s="42"/>
      <c r="C85" s="19"/>
      <c r="D85" s="19"/>
      <c r="E85" s="19"/>
      <c r="F85" s="33"/>
      <c r="G85" s="33"/>
      <c r="H85" s="33"/>
      <c r="I85" s="43"/>
    </row>
    <row r="86" spans="2:9" ht="15.75" thickBot="1">
      <c r="B86" s="44"/>
      <c r="C86" s="45"/>
      <c r="D86" s="45"/>
      <c r="E86" s="45"/>
      <c r="F86" s="45"/>
      <c r="G86" s="45"/>
      <c r="H86" s="45"/>
      <c r="I86" s="46"/>
    </row>
    <row r="87" spans="2:9" ht="15">
      <c r="B87" s="33"/>
      <c r="C87" s="33"/>
      <c r="D87" s="33"/>
      <c r="E87" s="33"/>
      <c r="F87" s="33"/>
      <c r="G87" s="33"/>
      <c r="H87" s="33"/>
      <c r="I87" s="33"/>
    </row>
    <row r="88" spans="3:5" ht="15.75" thickBot="1">
      <c r="C88" s="33"/>
      <c r="D88" s="33"/>
      <c r="E88" s="33"/>
    </row>
    <row r="89" spans="2:17" ht="15">
      <c r="B89" s="39"/>
      <c r="C89" s="40"/>
      <c r="D89" s="40"/>
      <c r="E89" s="40"/>
      <c r="F89" s="40"/>
      <c r="G89" s="40"/>
      <c r="H89" s="40"/>
      <c r="I89" s="40"/>
      <c r="J89" s="40"/>
      <c r="K89" s="40"/>
      <c r="L89" s="40"/>
      <c r="M89" s="40"/>
      <c r="N89" s="40"/>
      <c r="O89" s="40"/>
      <c r="P89" s="40"/>
      <c r="Q89" s="41"/>
    </row>
    <row r="90" spans="2:17" ht="15.75">
      <c r="B90" s="42"/>
      <c r="C90" s="27" t="s">
        <v>88</v>
      </c>
      <c r="D90" s="27"/>
      <c r="E90" s="33"/>
      <c r="F90" s="33"/>
      <c r="G90" s="33"/>
      <c r="H90" s="33"/>
      <c r="I90" s="33"/>
      <c r="J90" s="33"/>
      <c r="K90" s="33"/>
      <c r="L90" s="33"/>
      <c r="M90" s="33"/>
      <c r="N90" s="33"/>
      <c r="O90" s="33"/>
      <c r="P90" s="33"/>
      <c r="Q90" s="43"/>
    </row>
    <row r="91" spans="2:17" ht="15.75">
      <c r="B91" s="42"/>
      <c r="C91" s="33"/>
      <c r="D91" s="33"/>
      <c r="E91" s="181" t="s">
        <v>81</v>
      </c>
      <c r="F91" s="181"/>
      <c r="G91" s="181"/>
      <c r="H91" s="181"/>
      <c r="I91" s="181"/>
      <c r="J91" s="181"/>
      <c r="K91" s="181"/>
      <c r="L91" s="181"/>
      <c r="M91" s="181"/>
      <c r="N91" s="181"/>
      <c r="O91" s="181"/>
      <c r="P91" s="33"/>
      <c r="Q91" s="43"/>
    </row>
    <row r="92" spans="2:17" ht="15.75">
      <c r="B92" s="42"/>
      <c r="C92" s="33"/>
      <c r="D92" s="33"/>
      <c r="E92" s="74"/>
      <c r="F92" s="74"/>
      <c r="G92" s="74"/>
      <c r="H92" s="74"/>
      <c r="I92" s="74"/>
      <c r="J92" s="74"/>
      <c r="K92" s="74"/>
      <c r="L92" s="74"/>
      <c r="M92" s="74"/>
      <c r="N92" s="74"/>
      <c r="O92" s="74"/>
      <c r="P92" s="33"/>
      <c r="Q92" s="43"/>
    </row>
    <row r="93" spans="2:17" ht="15.75">
      <c r="B93" s="42"/>
      <c r="C93" s="33"/>
      <c r="D93" s="33"/>
      <c r="E93" s="74">
        <v>0</v>
      </c>
      <c r="F93" s="74">
        <v>1</v>
      </c>
      <c r="G93" s="74">
        <v>2</v>
      </c>
      <c r="H93" s="74">
        <v>3</v>
      </c>
      <c r="I93" s="74">
        <v>4</v>
      </c>
      <c r="J93" s="74">
        <v>5</v>
      </c>
      <c r="K93" s="74">
        <v>6</v>
      </c>
      <c r="L93" s="74">
        <v>7</v>
      </c>
      <c r="M93" s="74">
        <v>8</v>
      </c>
      <c r="N93" s="74">
        <v>9</v>
      </c>
      <c r="O93" s="74">
        <v>10</v>
      </c>
      <c r="P93" s="74" t="s">
        <v>78</v>
      </c>
      <c r="Q93" s="43"/>
    </row>
    <row r="94" spans="2:17" s="28" customFormat="1" ht="15.75">
      <c r="B94" s="71"/>
      <c r="C94" s="27" t="s">
        <v>154</v>
      </c>
      <c r="D94" s="27"/>
      <c r="E94" s="33"/>
      <c r="F94" s="33"/>
      <c r="G94" s="33"/>
      <c r="H94" s="33"/>
      <c r="I94" s="33"/>
      <c r="J94" s="33"/>
      <c r="K94" s="33"/>
      <c r="L94" s="33"/>
      <c r="M94" s="33"/>
      <c r="N94" s="33"/>
      <c r="O94" s="33"/>
      <c r="P94" s="29"/>
      <c r="Q94" s="72"/>
    </row>
    <row r="95" spans="2:17" s="28" customFormat="1" ht="15">
      <c r="B95" s="71"/>
      <c r="C95" s="33" t="s">
        <v>55</v>
      </c>
      <c r="D95" s="33"/>
      <c r="E95" s="145">
        <f aca="true" t="shared" si="0" ref="E95:J95">(($E$39/E29)*E28*E27*E41)-((E39/E29)*E28*E27*E41)</f>
        <v>0</v>
      </c>
      <c r="F95" s="145">
        <f t="shared" si="0"/>
        <v>559.21052631579</v>
      </c>
      <c r="G95" s="145">
        <f t="shared" si="0"/>
        <v>1140.78947368421</v>
      </c>
      <c r="H95" s="145">
        <f t="shared" si="0"/>
        <v>1163.605263157895</v>
      </c>
      <c r="I95" s="145">
        <f t="shared" si="0"/>
        <v>1186.8773684210528</v>
      </c>
      <c r="J95" s="145">
        <f t="shared" si="0"/>
        <v>1210.6149157894743</v>
      </c>
      <c r="K95" s="148"/>
      <c r="L95" s="148"/>
      <c r="M95" s="148"/>
      <c r="N95" s="148"/>
      <c r="O95" s="148"/>
      <c r="P95" s="170">
        <f aca="true" t="shared" si="1" ref="P95:P101">SUM(E95:O95)</f>
        <v>5261.097547368422</v>
      </c>
      <c r="Q95" s="72"/>
    </row>
    <row r="96" spans="2:17" s="28" customFormat="1" ht="15">
      <c r="B96" s="71"/>
      <c r="C96" s="73" t="s">
        <v>56</v>
      </c>
      <c r="D96" s="73"/>
      <c r="E96" s="145"/>
      <c r="F96" s="145"/>
      <c r="G96" s="145"/>
      <c r="H96" s="145"/>
      <c r="I96" s="145"/>
      <c r="J96" s="145"/>
      <c r="K96" s="148"/>
      <c r="L96" s="148"/>
      <c r="M96" s="148"/>
      <c r="N96" s="148"/>
      <c r="O96" s="148"/>
      <c r="P96" s="170">
        <f t="shared" si="1"/>
        <v>0</v>
      </c>
      <c r="Q96" s="72"/>
    </row>
    <row r="97" spans="2:17" s="28" customFormat="1" ht="15">
      <c r="B97" s="71"/>
      <c r="C97" s="33" t="s">
        <v>95</v>
      </c>
      <c r="D97" s="33"/>
      <c r="E97" s="145">
        <f aca="true" t="shared" si="2" ref="E97:J97">($E$44*E45*E27)-(E44*E45*E27)</f>
        <v>0</v>
      </c>
      <c r="F97" s="145">
        <f t="shared" si="2"/>
        <v>3187.5</v>
      </c>
      <c r="G97" s="145">
        <f t="shared" si="2"/>
        <v>3251.25</v>
      </c>
      <c r="H97" s="145">
        <f t="shared" si="2"/>
        <v>3316.2750000000005</v>
      </c>
      <c r="I97" s="145">
        <f t="shared" si="2"/>
        <v>3382.6005000000005</v>
      </c>
      <c r="J97" s="145">
        <f t="shared" si="2"/>
        <v>3450.2525100000003</v>
      </c>
      <c r="K97" s="148"/>
      <c r="L97" s="148"/>
      <c r="M97" s="148"/>
      <c r="N97" s="148"/>
      <c r="O97" s="148"/>
      <c r="P97" s="170">
        <f t="shared" si="1"/>
        <v>16587.87801</v>
      </c>
      <c r="Q97" s="72"/>
    </row>
    <row r="98" spans="2:17" s="28" customFormat="1" ht="15">
      <c r="B98" s="71"/>
      <c r="C98" s="33" t="s">
        <v>174</v>
      </c>
      <c r="D98" s="33"/>
      <c r="E98" s="145"/>
      <c r="F98" s="145"/>
      <c r="G98" s="145"/>
      <c r="H98" s="145"/>
      <c r="I98" s="145"/>
      <c r="J98" s="145"/>
      <c r="K98" s="148"/>
      <c r="L98" s="148"/>
      <c r="M98" s="148"/>
      <c r="N98" s="148"/>
      <c r="O98" s="148"/>
      <c r="P98" s="170">
        <f t="shared" si="1"/>
        <v>0</v>
      </c>
      <c r="Q98" s="72"/>
    </row>
    <row r="99" spans="2:17" ht="15">
      <c r="B99" s="42"/>
      <c r="C99" s="33" t="s">
        <v>74</v>
      </c>
      <c r="D99" s="33"/>
      <c r="E99" s="145"/>
      <c r="F99" s="145"/>
      <c r="G99" s="145"/>
      <c r="H99" s="145"/>
      <c r="I99" s="145"/>
      <c r="J99" s="145"/>
      <c r="K99" s="148"/>
      <c r="L99" s="148"/>
      <c r="M99" s="148"/>
      <c r="N99" s="148"/>
      <c r="O99" s="148"/>
      <c r="P99" s="171">
        <f t="shared" si="1"/>
        <v>0</v>
      </c>
      <c r="Q99" s="43"/>
    </row>
    <row r="100" spans="2:17" s="30" customFormat="1" ht="15.75">
      <c r="B100" s="75"/>
      <c r="C100" s="32" t="s">
        <v>98</v>
      </c>
      <c r="D100" s="32"/>
      <c r="E100" s="146">
        <f>SUM(E95:E99)</f>
        <v>0</v>
      </c>
      <c r="F100" s="146">
        <f aca="true" t="shared" si="3" ref="F100:N100">SUM(F95:F99)</f>
        <v>3746.71052631579</v>
      </c>
      <c r="G100" s="146">
        <f t="shared" si="3"/>
        <v>4392.03947368421</v>
      </c>
      <c r="H100" s="146">
        <f t="shared" si="3"/>
        <v>4479.880263157896</v>
      </c>
      <c r="I100" s="146">
        <f t="shared" si="3"/>
        <v>4569.477868421053</v>
      </c>
      <c r="J100" s="146">
        <f t="shared" si="3"/>
        <v>4660.8674257894745</v>
      </c>
      <c r="K100" s="147">
        <f t="shared" si="3"/>
        <v>0</v>
      </c>
      <c r="L100" s="147">
        <f t="shared" si="3"/>
        <v>0</v>
      </c>
      <c r="M100" s="147">
        <f t="shared" si="3"/>
        <v>0</v>
      </c>
      <c r="N100" s="147">
        <f t="shared" si="3"/>
        <v>0</v>
      </c>
      <c r="O100" s="147">
        <f>SUM(O95:O99)</f>
        <v>0</v>
      </c>
      <c r="P100" s="172">
        <f t="shared" si="1"/>
        <v>21848.975557368423</v>
      </c>
      <c r="Q100" s="76"/>
    </row>
    <row r="101" spans="2:17" s="30" customFormat="1" ht="15.75">
      <c r="B101" s="75"/>
      <c r="C101" s="32" t="s">
        <v>99</v>
      </c>
      <c r="D101" s="134" t="s">
        <v>138</v>
      </c>
      <c r="E101" s="146">
        <f aca="true" t="shared" si="4" ref="E101:O101">E100/((1+DiscountRate)^E93)</f>
        <v>0</v>
      </c>
      <c r="F101" s="146">
        <f t="shared" si="4"/>
        <v>3501.5986227250373</v>
      </c>
      <c r="G101" s="146">
        <f t="shared" si="4"/>
        <v>3836.177372420482</v>
      </c>
      <c r="H101" s="146">
        <f t="shared" si="4"/>
        <v>3656.9167475410213</v>
      </c>
      <c r="I101" s="146">
        <f t="shared" si="4"/>
        <v>3486.0327873755527</v>
      </c>
      <c r="J101" s="146">
        <f t="shared" si="4"/>
        <v>3323.1340589935176</v>
      </c>
      <c r="K101" s="147">
        <f t="shared" si="4"/>
        <v>0</v>
      </c>
      <c r="L101" s="147">
        <f t="shared" si="4"/>
        <v>0</v>
      </c>
      <c r="M101" s="147">
        <f t="shared" si="4"/>
        <v>0</v>
      </c>
      <c r="N101" s="147">
        <f t="shared" si="4"/>
        <v>0</v>
      </c>
      <c r="O101" s="147">
        <f t="shared" si="4"/>
        <v>0</v>
      </c>
      <c r="P101" s="172">
        <f t="shared" si="1"/>
        <v>17803.85958905561</v>
      </c>
      <c r="Q101" s="76"/>
    </row>
    <row r="102" spans="2:17" s="28" customFormat="1" ht="12.75">
      <c r="B102" s="71"/>
      <c r="C102" s="29"/>
      <c r="D102" s="29"/>
      <c r="E102" s="29"/>
      <c r="F102" s="29"/>
      <c r="G102" s="29"/>
      <c r="H102" s="29"/>
      <c r="I102" s="29"/>
      <c r="J102" s="29"/>
      <c r="K102" s="29"/>
      <c r="L102" s="29"/>
      <c r="M102" s="29"/>
      <c r="N102" s="29"/>
      <c r="O102" s="29"/>
      <c r="P102" s="86"/>
      <c r="Q102" s="72"/>
    </row>
    <row r="103" spans="2:17" s="28" customFormat="1" ht="12.75">
      <c r="B103" s="71"/>
      <c r="C103" s="29"/>
      <c r="D103" s="29"/>
      <c r="E103" s="29"/>
      <c r="F103" s="29"/>
      <c r="G103" s="29"/>
      <c r="H103" s="29"/>
      <c r="I103" s="29"/>
      <c r="J103" s="29"/>
      <c r="K103" s="29"/>
      <c r="L103" s="29"/>
      <c r="M103" s="29"/>
      <c r="N103" s="29"/>
      <c r="O103" s="29"/>
      <c r="P103" s="29"/>
      <c r="Q103" s="72"/>
    </row>
    <row r="104" spans="2:17" s="28" customFormat="1" ht="15.75">
      <c r="B104" s="71"/>
      <c r="C104" s="27" t="s">
        <v>83</v>
      </c>
      <c r="D104" s="27"/>
      <c r="E104" s="29"/>
      <c r="F104" s="29"/>
      <c r="G104" s="29"/>
      <c r="H104" s="29"/>
      <c r="I104" s="29"/>
      <c r="J104" s="29"/>
      <c r="K104" s="29"/>
      <c r="L104" s="29"/>
      <c r="M104" s="29"/>
      <c r="N104" s="29"/>
      <c r="O104" s="29"/>
      <c r="P104" s="29"/>
      <c r="Q104" s="72"/>
    </row>
    <row r="105" spans="2:17" s="28" customFormat="1" ht="15">
      <c r="B105" s="71"/>
      <c r="C105" s="33" t="s">
        <v>82</v>
      </c>
      <c r="D105" s="33"/>
      <c r="E105" s="145">
        <f>-(E32)</f>
        <v>-2500</v>
      </c>
      <c r="F105" s="35"/>
      <c r="G105" s="35"/>
      <c r="H105" s="35"/>
      <c r="I105" s="35"/>
      <c r="J105" s="35"/>
      <c r="K105" s="35"/>
      <c r="L105" s="35"/>
      <c r="M105" s="35"/>
      <c r="N105" s="35"/>
      <c r="O105" s="35"/>
      <c r="P105" s="170">
        <f>E105</f>
        <v>-2500</v>
      </c>
      <c r="Q105" s="72"/>
    </row>
    <row r="106" spans="2:17" s="28" customFormat="1" ht="15">
      <c r="B106" s="71"/>
      <c r="C106" s="33" t="s">
        <v>84</v>
      </c>
      <c r="D106" s="33"/>
      <c r="E106" s="145">
        <f aca="true" t="shared" si="5" ref="E106:O107">-(E33)</f>
        <v>0</v>
      </c>
      <c r="F106" s="145">
        <f t="shared" si="5"/>
        <v>0</v>
      </c>
      <c r="G106" s="145">
        <f t="shared" si="5"/>
        <v>0</v>
      </c>
      <c r="H106" s="145">
        <f t="shared" si="5"/>
        <v>0</v>
      </c>
      <c r="I106" s="145">
        <f t="shared" si="5"/>
        <v>0</v>
      </c>
      <c r="J106" s="145">
        <f t="shared" si="5"/>
        <v>0</v>
      </c>
      <c r="K106" s="148">
        <f t="shared" si="5"/>
        <v>0</v>
      </c>
      <c r="L106" s="148">
        <f t="shared" si="5"/>
        <v>0</v>
      </c>
      <c r="M106" s="148">
        <f t="shared" si="5"/>
        <v>0</v>
      </c>
      <c r="N106" s="148">
        <f t="shared" si="5"/>
        <v>0</v>
      </c>
      <c r="O106" s="148">
        <f t="shared" si="5"/>
        <v>0</v>
      </c>
      <c r="P106" s="170">
        <f>SUM(E106:O106)</f>
        <v>0</v>
      </c>
      <c r="Q106" s="72"/>
    </row>
    <row r="107" spans="2:17" s="28" customFormat="1" ht="15">
      <c r="B107" s="71"/>
      <c r="C107" s="33" t="s">
        <v>85</v>
      </c>
      <c r="D107" s="33"/>
      <c r="E107" s="145">
        <f t="shared" si="5"/>
        <v>0</v>
      </c>
      <c r="F107" s="145">
        <f t="shared" si="5"/>
        <v>-500</v>
      </c>
      <c r="G107" s="145">
        <f t="shared" si="5"/>
        <v>-510</v>
      </c>
      <c r="H107" s="145">
        <f t="shared" si="5"/>
        <v>-520.2</v>
      </c>
      <c r="I107" s="145">
        <f t="shared" si="5"/>
        <v>-530.604</v>
      </c>
      <c r="J107" s="145">
        <f t="shared" si="5"/>
        <v>-541.21608</v>
      </c>
      <c r="K107" s="148">
        <f t="shared" si="5"/>
        <v>0</v>
      </c>
      <c r="L107" s="148">
        <f t="shared" si="5"/>
        <v>0</v>
      </c>
      <c r="M107" s="148">
        <f t="shared" si="5"/>
        <v>0</v>
      </c>
      <c r="N107" s="148">
        <f t="shared" si="5"/>
        <v>0</v>
      </c>
      <c r="O107" s="148">
        <f t="shared" si="5"/>
        <v>0</v>
      </c>
      <c r="P107" s="170">
        <f>SUM(E107:O107)</f>
        <v>-2602.0200800000002</v>
      </c>
      <c r="Q107" s="72"/>
    </row>
    <row r="108" spans="1:17" s="31" customFormat="1" ht="15.75">
      <c r="A108" s="30"/>
      <c r="B108" s="75"/>
      <c r="C108" s="32" t="s">
        <v>100</v>
      </c>
      <c r="D108" s="32"/>
      <c r="E108" s="146">
        <f>SUM(E105:E107)</f>
        <v>-2500</v>
      </c>
      <c r="F108" s="146">
        <f>SUM(F106:F107)</f>
        <v>-500</v>
      </c>
      <c r="G108" s="146">
        <f aca="true" t="shared" si="6" ref="G108:O108">SUM(G106:G107)</f>
        <v>-510</v>
      </c>
      <c r="H108" s="146">
        <f t="shared" si="6"/>
        <v>-520.2</v>
      </c>
      <c r="I108" s="146">
        <f t="shared" si="6"/>
        <v>-530.604</v>
      </c>
      <c r="J108" s="146">
        <f t="shared" si="6"/>
        <v>-541.21608</v>
      </c>
      <c r="K108" s="147">
        <f t="shared" si="6"/>
        <v>0</v>
      </c>
      <c r="L108" s="147">
        <f t="shared" si="6"/>
        <v>0</v>
      </c>
      <c r="M108" s="147">
        <f t="shared" si="6"/>
        <v>0</v>
      </c>
      <c r="N108" s="147">
        <f t="shared" si="6"/>
        <v>0</v>
      </c>
      <c r="O108" s="147">
        <f t="shared" si="6"/>
        <v>0</v>
      </c>
      <c r="P108" s="172">
        <f>SUM(E108:O108)</f>
        <v>-5102.02008</v>
      </c>
      <c r="Q108" s="77"/>
    </row>
    <row r="109" spans="1:17" s="31" customFormat="1" ht="15.75">
      <c r="A109" s="30"/>
      <c r="B109" s="75"/>
      <c r="C109" s="32" t="s">
        <v>101</v>
      </c>
      <c r="D109" s="134" t="s">
        <v>138</v>
      </c>
      <c r="E109" s="146">
        <f aca="true" t="shared" si="7" ref="E109:O109">E108/((1+DiscountRate)^E93)</f>
        <v>-2500</v>
      </c>
      <c r="F109" s="146">
        <f t="shared" si="7"/>
        <v>-467.2897196261682</v>
      </c>
      <c r="G109" s="146">
        <f t="shared" si="7"/>
        <v>-445.45375141933795</v>
      </c>
      <c r="H109" s="146">
        <f t="shared" si="7"/>
        <v>-424.63815555862124</v>
      </c>
      <c r="I109" s="146">
        <f t="shared" si="7"/>
        <v>-404.7952510932651</v>
      </c>
      <c r="J109" s="146">
        <f t="shared" si="7"/>
        <v>-385.87958515432746</v>
      </c>
      <c r="K109" s="147">
        <f t="shared" si="7"/>
        <v>0</v>
      </c>
      <c r="L109" s="147">
        <f t="shared" si="7"/>
        <v>0</v>
      </c>
      <c r="M109" s="147">
        <f t="shared" si="7"/>
        <v>0</v>
      </c>
      <c r="N109" s="147">
        <f t="shared" si="7"/>
        <v>0</v>
      </c>
      <c r="O109" s="147">
        <f t="shared" si="7"/>
        <v>0</v>
      </c>
      <c r="P109" s="172">
        <f>SUM(E109:O109)</f>
        <v>-4628.05646285172</v>
      </c>
      <c r="Q109" s="77"/>
    </row>
    <row r="110" spans="1:17" s="28" customFormat="1" ht="15.75">
      <c r="A110" s="29"/>
      <c r="B110" s="71"/>
      <c r="C110" s="27"/>
      <c r="D110" s="27"/>
      <c r="E110" s="33"/>
      <c r="F110" s="33"/>
      <c r="G110" s="33"/>
      <c r="H110" s="33"/>
      <c r="I110" s="33"/>
      <c r="J110" s="33"/>
      <c r="K110" s="33"/>
      <c r="L110" s="33"/>
      <c r="M110" s="33"/>
      <c r="N110" s="33"/>
      <c r="O110" s="33"/>
      <c r="P110" s="29"/>
      <c r="Q110" s="72"/>
    </row>
    <row r="111" spans="1:17" s="28" customFormat="1" ht="15.75">
      <c r="A111" s="29"/>
      <c r="B111" s="71"/>
      <c r="C111" s="27" t="s">
        <v>155</v>
      </c>
      <c r="D111" s="27"/>
      <c r="E111" s="33"/>
      <c r="F111" s="33"/>
      <c r="G111" s="33"/>
      <c r="H111" s="33"/>
      <c r="I111" s="33"/>
      <c r="J111" s="33"/>
      <c r="K111" s="33"/>
      <c r="L111" s="33"/>
      <c r="M111" s="33"/>
      <c r="N111" s="33"/>
      <c r="O111" s="33"/>
      <c r="P111" s="29"/>
      <c r="Q111" s="72"/>
    </row>
    <row r="112" spans="1:17" s="28" customFormat="1" ht="15.75">
      <c r="A112" s="29"/>
      <c r="B112" s="71"/>
      <c r="C112" s="143" t="s">
        <v>102</v>
      </c>
      <c r="D112" s="143"/>
      <c r="E112" s="146">
        <f>E100+E108</f>
        <v>-2500</v>
      </c>
      <c r="F112" s="146">
        <f aca="true" t="shared" si="8" ref="F112:O112">F100+F108</f>
        <v>3246.71052631579</v>
      </c>
      <c r="G112" s="146">
        <f t="shared" si="8"/>
        <v>3882.03947368421</v>
      </c>
      <c r="H112" s="146">
        <f t="shared" si="8"/>
        <v>3959.6802631578958</v>
      </c>
      <c r="I112" s="146">
        <f t="shared" si="8"/>
        <v>4038.873868421053</v>
      </c>
      <c r="J112" s="146">
        <f t="shared" si="8"/>
        <v>4119.651345789474</v>
      </c>
      <c r="K112" s="147">
        <f t="shared" si="8"/>
        <v>0</v>
      </c>
      <c r="L112" s="147">
        <f t="shared" si="8"/>
        <v>0</v>
      </c>
      <c r="M112" s="147">
        <f t="shared" si="8"/>
        <v>0</v>
      </c>
      <c r="N112" s="147">
        <f t="shared" si="8"/>
        <v>0</v>
      </c>
      <c r="O112" s="147">
        <f t="shared" si="8"/>
        <v>0</v>
      </c>
      <c r="P112" s="172">
        <f>SUM(E112:O112)</f>
        <v>16746.95547736842</v>
      </c>
      <c r="Q112" s="72"/>
    </row>
    <row r="113" spans="1:17" s="28" customFormat="1" ht="15.75">
      <c r="A113" s="29"/>
      <c r="B113" s="71"/>
      <c r="C113" s="143" t="s">
        <v>103</v>
      </c>
      <c r="D113" s="134" t="s">
        <v>138</v>
      </c>
      <c r="E113" s="146">
        <f aca="true" t="shared" si="9" ref="E113:O113">E112/((1+DiscountRate)^E93)</f>
        <v>-2500</v>
      </c>
      <c r="F113" s="146">
        <f t="shared" si="9"/>
        <v>3034.308903098869</v>
      </c>
      <c r="G113" s="146">
        <f t="shared" si="9"/>
        <v>3390.7236210011442</v>
      </c>
      <c r="H113" s="146">
        <f t="shared" si="9"/>
        <v>3232.2785919824</v>
      </c>
      <c r="I113" s="146">
        <f t="shared" si="9"/>
        <v>3081.2375362822877</v>
      </c>
      <c r="J113" s="146">
        <f t="shared" si="9"/>
        <v>2937.2544738391903</v>
      </c>
      <c r="K113" s="147">
        <f t="shared" si="9"/>
        <v>0</v>
      </c>
      <c r="L113" s="147">
        <f t="shared" si="9"/>
        <v>0</v>
      </c>
      <c r="M113" s="147">
        <f t="shared" si="9"/>
        <v>0</v>
      </c>
      <c r="N113" s="147">
        <f t="shared" si="9"/>
        <v>0</v>
      </c>
      <c r="O113" s="147">
        <f t="shared" si="9"/>
        <v>0</v>
      </c>
      <c r="P113" s="172">
        <f>SUM(E113:O113)</f>
        <v>13175.803126203891</v>
      </c>
      <c r="Q113" s="72"/>
    </row>
    <row r="114" spans="1:17" s="28" customFormat="1" ht="15.75">
      <c r="A114" s="29"/>
      <c r="B114" s="71"/>
      <c r="C114" s="143" t="s">
        <v>104</v>
      </c>
      <c r="D114" s="143"/>
      <c r="E114" s="146">
        <f>E112</f>
        <v>-2500</v>
      </c>
      <c r="F114" s="146">
        <f>IF(F112=0,0,E114+F112)</f>
        <v>746.71052631579</v>
      </c>
      <c r="G114" s="146">
        <f aca="true" t="shared" si="10" ref="G114:O114">IF(G112=0,0,F114+G112)</f>
        <v>4628.75</v>
      </c>
      <c r="H114" s="146">
        <f t="shared" si="10"/>
        <v>8588.430263157896</v>
      </c>
      <c r="I114" s="146">
        <f t="shared" si="10"/>
        <v>12627.304131578949</v>
      </c>
      <c r="J114" s="146">
        <f t="shared" si="10"/>
        <v>16746.95547736842</v>
      </c>
      <c r="K114" s="147">
        <f t="shared" si="10"/>
        <v>0</v>
      </c>
      <c r="L114" s="147">
        <f t="shared" si="10"/>
        <v>0</v>
      </c>
      <c r="M114" s="147">
        <f t="shared" si="10"/>
        <v>0</v>
      </c>
      <c r="N114" s="147">
        <f t="shared" si="10"/>
        <v>0</v>
      </c>
      <c r="O114" s="147">
        <f t="shared" si="10"/>
        <v>0</v>
      </c>
      <c r="P114" s="172">
        <f>SUM(E114:O114)</f>
        <v>40838.15039842106</v>
      </c>
      <c r="Q114" s="72"/>
    </row>
    <row r="115" spans="1:17" s="28" customFormat="1" ht="15.75">
      <c r="A115" s="29"/>
      <c r="B115" s="71"/>
      <c r="C115" s="143" t="s">
        <v>105</v>
      </c>
      <c r="D115" s="143"/>
      <c r="E115" s="146">
        <f aca="true" t="shared" si="11" ref="E115:O115">E114/((1+DiscountRate)^E93)</f>
        <v>-2500</v>
      </c>
      <c r="F115" s="146">
        <f t="shared" si="11"/>
        <v>697.860304968028</v>
      </c>
      <c r="G115" s="146">
        <f t="shared" si="11"/>
        <v>4042.9295134946283</v>
      </c>
      <c r="H115" s="146">
        <f t="shared" si="11"/>
        <v>7010.717389640931</v>
      </c>
      <c r="I115" s="146">
        <f t="shared" si="11"/>
        <v>9633.309863049513</v>
      </c>
      <c r="J115" s="146">
        <f t="shared" si="11"/>
        <v>11940.347803792005</v>
      </c>
      <c r="K115" s="147">
        <f t="shared" si="11"/>
        <v>0</v>
      </c>
      <c r="L115" s="147">
        <f t="shared" si="11"/>
        <v>0</v>
      </c>
      <c r="M115" s="147">
        <f t="shared" si="11"/>
        <v>0</v>
      </c>
      <c r="N115" s="147">
        <f t="shared" si="11"/>
        <v>0</v>
      </c>
      <c r="O115" s="147">
        <f t="shared" si="11"/>
        <v>0</v>
      </c>
      <c r="P115" s="172">
        <f>SUM(E115:O115)</f>
        <v>30825.164874945105</v>
      </c>
      <c r="Q115" s="72"/>
    </row>
    <row r="116" spans="1:17" s="28" customFormat="1" ht="16.5" thickBot="1">
      <c r="A116" s="29"/>
      <c r="B116" s="78"/>
      <c r="C116" s="79"/>
      <c r="D116" s="79"/>
      <c r="E116" s="45"/>
      <c r="F116" s="45"/>
      <c r="G116" s="45"/>
      <c r="H116" s="45"/>
      <c r="I116" s="45"/>
      <c r="J116" s="45"/>
      <c r="K116" s="45"/>
      <c r="L116" s="45"/>
      <c r="M116" s="45"/>
      <c r="N116" s="45"/>
      <c r="O116" s="45"/>
      <c r="P116" s="80"/>
      <c r="Q116" s="81"/>
    </row>
    <row r="117" spans="3:15" s="28" customFormat="1" ht="15.75">
      <c r="C117" s="22"/>
      <c r="D117" s="22"/>
      <c r="E117" s="1"/>
      <c r="F117" s="1"/>
      <c r="G117" s="1"/>
      <c r="H117" s="1"/>
      <c r="I117" s="1"/>
      <c r="J117" s="1"/>
      <c r="K117" s="1"/>
      <c r="L117" s="1"/>
      <c r="M117" s="1"/>
      <c r="N117" s="1"/>
      <c r="O117" s="1"/>
    </row>
    <row r="118" spans="3:15" s="28" customFormat="1" ht="15.75">
      <c r="C118" s="22"/>
      <c r="D118" s="22"/>
      <c r="E118" s="1"/>
      <c r="F118" s="1"/>
      <c r="G118" s="1"/>
      <c r="H118" s="1"/>
      <c r="I118" s="1"/>
      <c r="J118" s="1"/>
      <c r="K118" s="1"/>
      <c r="L118" s="1"/>
      <c r="M118" s="1"/>
      <c r="N118" s="1"/>
      <c r="O118" s="1"/>
    </row>
    <row r="119" spans="3:15" s="28" customFormat="1" ht="15.75">
      <c r="C119" s="22"/>
      <c r="D119" s="22"/>
      <c r="E119" s="1"/>
      <c r="F119" s="1"/>
      <c r="G119" s="1"/>
      <c r="H119" s="1"/>
      <c r="I119" s="1"/>
      <c r="J119" s="1"/>
      <c r="K119" s="1"/>
      <c r="L119" s="1"/>
      <c r="M119" s="1"/>
      <c r="N119" s="1"/>
      <c r="O119" s="1"/>
    </row>
    <row r="120" spans="5:15" s="28" customFormat="1" ht="12.75">
      <c r="E120" s="155"/>
      <c r="F120" s="155"/>
      <c r="G120" s="155"/>
      <c r="H120" s="155"/>
      <c r="I120" s="155"/>
      <c r="J120" s="155"/>
      <c r="K120" s="155"/>
      <c r="L120" s="155"/>
      <c r="M120" s="155"/>
      <c r="N120" s="155"/>
      <c r="O120" s="155"/>
    </row>
    <row r="121" spans="3:15" s="28" customFormat="1" ht="12.75">
      <c r="C121" s="158" t="s">
        <v>156</v>
      </c>
      <c r="D121" s="158"/>
      <c r="E121" s="158"/>
      <c r="F121" s="158"/>
      <c r="G121" s="158"/>
      <c r="H121" s="158"/>
      <c r="I121" s="158"/>
      <c r="J121" s="158"/>
      <c r="K121" s="158"/>
      <c r="L121" s="158"/>
      <c r="M121" s="158"/>
      <c r="N121" s="158"/>
      <c r="O121" s="158"/>
    </row>
    <row r="122" spans="3:15" s="28" customFormat="1" ht="12.75">
      <c r="C122" s="159" t="s">
        <v>165</v>
      </c>
      <c r="D122" s="158"/>
      <c r="E122" s="160">
        <f>IF((E114&lt;0),0,1)</f>
        <v>0</v>
      </c>
      <c r="F122" s="160">
        <f aca="true" t="shared" si="12" ref="F122:O122">IF((F114&lt;0),0,1)</f>
        <v>1</v>
      </c>
      <c r="G122" s="160">
        <f t="shared" si="12"/>
        <v>1</v>
      </c>
      <c r="H122" s="160">
        <f t="shared" si="12"/>
        <v>1</v>
      </c>
      <c r="I122" s="160">
        <f t="shared" si="12"/>
        <v>1</v>
      </c>
      <c r="J122" s="160">
        <f t="shared" si="12"/>
        <v>1</v>
      </c>
      <c r="K122" s="160">
        <f t="shared" si="12"/>
        <v>1</v>
      </c>
      <c r="L122" s="160">
        <f t="shared" si="12"/>
        <v>1</v>
      </c>
      <c r="M122" s="160">
        <f t="shared" si="12"/>
        <v>1</v>
      </c>
      <c r="N122" s="160">
        <f t="shared" si="12"/>
        <v>1</v>
      </c>
      <c r="O122" s="160">
        <f t="shared" si="12"/>
        <v>1</v>
      </c>
    </row>
    <row r="123" spans="3:15" s="28" customFormat="1" ht="12.75">
      <c r="C123" s="159" t="s">
        <v>158</v>
      </c>
      <c r="D123" s="158"/>
      <c r="E123" s="161">
        <v>0</v>
      </c>
      <c r="F123" s="161">
        <f>E123+1</f>
        <v>1</v>
      </c>
      <c r="G123" s="161">
        <f aca="true" t="shared" si="13" ref="G123:O123">F123+1</f>
        <v>2</v>
      </c>
      <c r="H123" s="161">
        <f t="shared" si="13"/>
        <v>3</v>
      </c>
      <c r="I123" s="161">
        <f t="shared" si="13"/>
        <v>4</v>
      </c>
      <c r="J123" s="161">
        <f t="shared" si="13"/>
        <v>5</v>
      </c>
      <c r="K123" s="161">
        <f t="shared" si="13"/>
        <v>6</v>
      </c>
      <c r="L123" s="161">
        <f t="shared" si="13"/>
        <v>7</v>
      </c>
      <c r="M123" s="161">
        <f t="shared" si="13"/>
        <v>8</v>
      </c>
      <c r="N123" s="161">
        <f t="shared" si="13"/>
        <v>9</v>
      </c>
      <c r="O123" s="161">
        <f t="shared" si="13"/>
        <v>10</v>
      </c>
    </row>
    <row r="124" s="28" customFormat="1" ht="12.75"/>
    <row r="125" s="28" customFormat="1" ht="12.75"/>
    <row r="126" s="28" customFormat="1" ht="12.75"/>
  </sheetData>
  <sheetProtection password="CAA3" sheet="1" objects="1" scenarios="1"/>
  <mergeCells count="2">
    <mergeCell ref="E23:O23"/>
    <mergeCell ref="E91:O91"/>
  </mergeCells>
  <conditionalFormatting sqref="E81:E84 E95:P115">
    <cfRule type="cellIs" priority="1" dxfId="0" operator="lessThan" stopIfTrue="1">
      <formula>0</formula>
    </cfRule>
  </conditionalFormatting>
  <hyperlinks>
    <hyperlink ref="F9" location="G_ProjectLength" display="?"/>
    <hyperlink ref="F11" location="G_DiscountRate" display="?"/>
    <hyperlink ref="D18" location="G_ForwardCosts" display="?"/>
    <hyperlink ref="D27" location="G_BC_NoOfEmployees" display="?"/>
    <hyperlink ref="D28" location="G_BC_Wages" display="?"/>
    <hyperlink ref="D29" location="G_BC_WorkingDays" display="?"/>
    <hyperlink ref="D32" location="G_BC_StartupCosts" display="?"/>
    <hyperlink ref="D33" location="G_BC_RunningCosts" display="?"/>
    <hyperlink ref="D34" location="G_BC_OtherCosts" display="?"/>
    <hyperlink ref="D39" location="G_BC_AbsemceDays" display="?"/>
    <hyperlink ref="D40" location="G_BC_AbsenceProp" display="?"/>
    <hyperlink ref="D41" location="G_BC_AbsenceAdj" display="?"/>
    <hyperlink ref="D42" location="G_BC_PresenteeismDays" display="?"/>
    <hyperlink ref="D43" location="G_BC_PresenteeismProp" display="?"/>
    <hyperlink ref="D44" location="G_BC_Turnover" display="?"/>
    <hyperlink ref="D45" location="G_BC_TurnoverCost" display="?"/>
    <hyperlink ref="D46" location="G_BC_Claims" display="?"/>
    <hyperlink ref="D47" location="G_BC_ClaimsCost" display="?"/>
    <hyperlink ref="D48" location="G_BC_Othervolumes" display="?"/>
    <hyperlink ref="D49" location="G_BC_OtherIndicatorCosts" display="?"/>
    <hyperlink ref="F81" location="G_NPV" display="?"/>
    <hyperlink ref="F82" location="G_BCR" display="?"/>
    <hyperlink ref="F83" location="G_Paybacl" display="?"/>
    <hyperlink ref="F84" location="G_IRR" display="?"/>
    <hyperlink ref="D101" location="G_DiscountedBenefits" display="?"/>
    <hyperlink ref="D109" location="G_DiscountedCosts" display="?"/>
    <hyperlink ref="D113" location="G_DiscountedNetBenefits" display="?"/>
  </hyperlinks>
  <printOptions/>
  <pageMargins left="0.75" right="0.75" top="1" bottom="1" header="0.5" footer="0.5"/>
  <pageSetup horizontalDpi="600" verticalDpi="600" orientation="landscape" paperSize="9" scale="50" r:id="rId2"/>
  <rowBreaks count="1" manualBreakCount="1">
    <brk id="51" max="14" man="1"/>
  </rowBreaks>
  <drawing r:id="rId1"/>
</worksheet>
</file>

<file path=xl/worksheets/sheet8.xml><?xml version="1.0" encoding="utf-8"?>
<worksheet xmlns="http://schemas.openxmlformats.org/spreadsheetml/2006/main" xmlns:r="http://schemas.openxmlformats.org/officeDocument/2006/relationships">
  <sheetPr codeName="Sheet8">
    <tabColor indexed="41"/>
  </sheetPr>
  <dimension ref="B2:C109"/>
  <sheetViews>
    <sheetView zoomScale="70" zoomScaleNormal="70" workbookViewId="0" topLeftCell="A1">
      <pane ySplit="8" topLeftCell="BM40" activePane="bottomLeft" state="frozen"/>
      <selection pane="topLeft" activeCell="A1" sqref="A1"/>
      <selection pane="bottomLeft" activeCell="A1" sqref="A1"/>
    </sheetView>
  </sheetViews>
  <sheetFormatPr defaultColWidth="9.140625" defaultRowHeight="12.75"/>
  <cols>
    <col min="1" max="1" width="6.8515625" style="91" customWidth="1"/>
    <col min="2" max="2" width="55.421875" style="95" customWidth="1"/>
    <col min="3" max="3" width="111.7109375" style="90" customWidth="1"/>
    <col min="4" max="4" width="9.140625" style="91" customWidth="1"/>
    <col min="5" max="5" width="14.8515625" style="91" bestFit="1" customWidth="1"/>
    <col min="6" max="16384" width="9.140625" style="91" customWidth="1"/>
  </cols>
  <sheetData>
    <row r="2" ht="23.25">
      <c r="B2" s="89" t="s">
        <v>128</v>
      </c>
    </row>
    <row r="3" ht="15"/>
    <row r="4" ht="15.75">
      <c r="B4" s="97"/>
    </row>
    <row r="5" ht="15"/>
    <row r="6" ht="15"/>
    <row r="8" spans="2:3" ht="15.75">
      <c r="B8" s="92" t="s">
        <v>129</v>
      </c>
      <c r="C8" s="93" t="s">
        <v>76</v>
      </c>
    </row>
    <row r="9" spans="2:3" ht="15.75">
      <c r="B9" s="92"/>
      <c r="C9" s="93"/>
    </row>
    <row r="10" spans="2:3" ht="15.75">
      <c r="B10" s="98" t="s">
        <v>54</v>
      </c>
      <c r="C10" s="93"/>
    </row>
    <row r="11" spans="2:3" ht="15.75">
      <c r="B11" s="92"/>
      <c r="C11" s="93"/>
    </row>
    <row r="12" spans="2:3" ht="30">
      <c r="B12" s="109" t="s">
        <v>130</v>
      </c>
      <c r="C12" s="110" t="s">
        <v>133</v>
      </c>
    </row>
    <row r="13" spans="2:3" ht="30">
      <c r="B13" s="109" t="s">
        <v>56</v>
      </c>
      <c r="C13" s="111" t="s">
        <v>140</v>
      </c>
    </row>
    <row r="14" spans="2:3" ht="49.5" customHeight="1">
      <c r="B14" s="109" t="s">
        <v>57</v>
      </c>
      <c r="C14" s="110" t="s">
        <v>139</v>
      </c>
    </row>
    <row r="15" spans="2:3" ht="105">
      <c r="B15" s="109" t="s">
        <v>67</v>
      </c>
      <c r="C15" s="110" t="s">
        <v>141</v>
      </c>
    </row>
    <row r="16" spans="2:3" ht="30">
      <c r="B16" s="109" t="s">
        <v>40</v>
      </c>
      <c r="C16" s="110" t="s">
        <v>41</v>
      </c>
    </row>
    <row r="17" ht="15">
      <c r="B17" s="94"/>
    </row>
    <row r="18" ht="15">
      <c r="B18" s="94"/>
    </row>
    <row r="19" spans="2:3" ht="45">
      <c r="B19" s="109" t="s">
        <v>180</v>
      </c>
      <c r="C19" s="110" t="s">
        <v>143</v>
      </c>
    </row>
    <row r="20" spans="2:3" ht="60">
      <c r="B20" s="109" t="s">
        <v>90</v>
      </c>
      <c r="C20" s="110" t="s">
        <v>145</v>
      </c>
    </row>
    <row r="21" spans="2:3" ht="30">
      <c r="B21" s="109" t="s">
        <v>147</v>
      </c>
      <c r="C21" s="110" t="s">
        <v>144</v>
      </c>
    </row>
    <row r="22" spans="2:3" ht="15">
      <c r="B22" s="87"/>
      <c r="C22" s="88"/>
    </row>
    <row r="23" spans="2:3" ht="30">
      <c r="B23" s="109" t="s">
        <v>168</v>
      </c>
      <c r="C23" s="110" t="s">
        <v>149</v>
      </c>
    </row>
    <row r="24" spans="2:3" ht="30">
      <c r="B24" s="109" t="s">
        <v>171</v>
      </c>
      <c r="C24" s="110" t="s">
        <v>150</v>
      </c>
    </row>
    <row r="25" spans="2:3" ht="195">
      <c r="B25" s="112"/>
      <c r="C25" s="115" t="s">
        <v>15</v>
      </c>
    </row>
    <row r="26" spans="2:3" ht="165">
      <c r="B26" s="113" t="s">
        <v>151</v>
      </c>
      <c r="C26" s="116" t="s">
        <v>16</v>
      </c>
    </row>
    <row r="27" spans="2:3" ht="210">
      <c r="B27" s="114"/>
      <c r="C27" s="117" t="s">
        <v>17</v>
      </c>
    </row>
    <row r="28" spans="2:3" ht="90">
      <c r="B28" s="109" t="s">
        <v>66</v>
      </c>
      <c r="C28" s="110" t="s">
        <v>36</v>
      </c>
    </row>
    <row r="29" ht="15">
      <c r="B29" s="94"/>
    </row>
    <row r="30" ht="15">
      <c r="B30" s="94"/>
    </row>
    <row r="31" spans="2:3" ht="30">
      <c r="B31" s="118" t="s">
        <v>169</v>
      </c>
      <c r="C31" s="185" t="s">
        <v>18</v>
      </c>
    </row>
    <row r="32" spans="2:3" ht="139.5" customHeight="1">
      <c r="B32" s="187" t="s">
        <v>172</v>
      </c>
      <c r="C32" s="186"/>
    </row>
    <row r="33" spans="2:3" ht="105">
      <c r="B33" s="188"/>
      <c r="C33" s="119" t="s">
        <v>19</v>
      </c>
    </row>
    <row r="34" spans="2:3" ht="60">
      <c r="B34" s="109" t="s">
        <v>73</v>
      </c>
      <c r="C34" s="119" t="s">
        <v>162</v>
      </c>
    </row>
    <row r="35" ht="15">
      <c r="B35" s="94"/>
    </row>
    <row r="36" ht="15">
      <c r="B36" s="94"/>
    </row>
    <row r="37" spans="2:3" ht="165">
      <c r="B37" s="189" t="s">
        <v>38</v>
      </c>
      <c r="C37" s="115" t="s">
        <v>21</v>
      </c>
    </row>
    <row r="38" spans="2:3" ht="75">
      <c r="B38" s="189"/>
      <c r="C38" s="119" t="s">
        <v>20</v>
      </c>
    </row>
    <row r="39" spans="2:3" ht="228.75" customHeight="1">
      <c r="B39" s="109" t="s">
        <v>64</v>
      </c>
      <c r="C39" s="110" t="s">
        <v>45</v>
      </c>
    </row>
    <row r="40" spans="2:3" ht="30">
      <c r="B40" s="109" t="s">
        <v>65</v>
      </c>
      <c r="C40" s="110" t="s">
        <v>46</v>
      </c>
    </row>
    <row r="41" ht="15">
      <c r="B41" s="94"/>
    </row>
    <row r="42" ht="15">
      <c r="B42" s="94"/>
    </row>
    <row r="43" spans="2:3" ht="75">
      <c r="B43" s="109" t="s">
        <v>181</v>
      </c>
      <c r="C43" s="110" t="s">
        <v>47</v>
      </c>
    </row>
    <row r="44" spans="2:3" ht="105">
      <c r="B44" s="109" t="s">
        <v>70</v>
      </c>
      <c r="C44" s="110" t="s">
        <v>163</v>
      </c>
    </row>
    <row r="45" spans="2:3" ht="15">
      <c r="B45" s="109" t="s">
        <v>175</v>
      </c>
      <c r="C45" s="110" t="s">
        <v>176</v>
      </c>
    </row>
    <row r="46" ht="15">
      <c r="B46" s="94"/>
    </row>
    <row r="47" ht="15">
      <c r="B47" s="94"/>
    </row>
    <row r="48" spans="2:3" ht="30">
      <c r="B48" s="109" t="s">
        <v>39</v>
      </c>
      <c r="C48" s="110" t="s">
        <v>44</v>
      </c>
    </row>
    <row r="49" ht="15">
      <c r="B49" s="94"/>
    </row>
    <row r="50" ht="15">
      <c r="B50" s="94"/>
    </row>
    <row r="51" ht="15">
      <c r="B51" s="94"/>
    </row>
    <row r="53" ht="15.75">
      <c r="B53" s="98" t="s">
        <v>79</v>
      </c>
    </row>
    <row r="54" ht="15.75">
      <c r="B54" s="98"/>
    </row>
    <row r="55" spans="2:3" ht="30">
      <c r="B55" s="120" t="s">
        <v>166</v>
      </c>
      <c r="C55" s="110" t="s">
        <v>167</v>
      </c>
    </row>
    <row r="56" spans="2:3" ht="108" customHeight="1">
      <c r="B56" s="120" t="s">
        <v>48</v>
      </c>
      <c r="C56" s="110" t="s">
        <v>49</v>
      </c>
    </row>
    <row r="57" ht="15">
      <c r="B57" s="96"/>
    </row>
    <row r="58" ht="15">
      <c r="B58" s="96"/>
    </row>
    <row r="59" spans="2:3" ht="30">
      <c r="B59" s="121" t="s">
        <v>11</v>
      </c>
      <c r="C59" s="110" t="s">
        <v>12</v>
      </c>
    </row>
    <row r="60" ht="15">
      <c r="B60" s="96"/>
    </row>
    <row r="61" ht="15">
      <c r="B61" s="96"/>
    </row>
    <row r="62" spans="2:3" ht="95.25" customHeight="1">
      <c r="B62" s="120" t="s">
        <v>142</v>
      </c>
      <c r="C62" s="110" t="s">
        <v>0</v>
      </c>
    </row>
    <row r="63" spans="2:3" ht="105">
      <c r="B63" s="120" t="s">
        <v>90</v>
      </c>
      <c r="C63" s="110" t="s">
        <v>14</v>
      </c>
    </row>
    <row r="64" spans="2:3" ht="30">
      <c r="B64" s="120" t="s">
        <v>89</v>
      </c>
      <c r="C64" s="110" t="s">
        <v>144</v>
      </c>
    </row>
    <row r="65" ht="15">
      <c r="B65" s="96"/>
    </row>
    <row r="66" ht="15">
      <c r="B66" s="96"/>
    </row>
    <row r="67" spans="2:3" ht="30">
      <c r="B67" s="120" t="s">
        <v>82</v>
      </c>
      <c r="C67" s="110" t="s">
        <v>50</v>
      </c>
    </row>
    <row r="68" spans="2:3" ht="45">
      <c r="B68" s="120" t="s">
        <v>84</v>
      </c>
      <c r="C68" s="110" t="s">
        <v>164</v>
      </c>
    </row>
    <row r="69" spans="2:3" ht="30">
      <c r="B69" s="120" t="s">
        <v>85</v>
      </c>
      <c r="C69" s="110" t="s">
        <v>51</v>
      </c>
    </row>
    <row r="70" ht="15">
      <c r="B70" s="96"/>
    </row>
    <row r="71" ht="15">
      <c r="B71" s="96"/>
    </row>
    <row r="72" spans="2:3" ht="75">
      <c r="B72" s="109" t="s">
        <v>148</v>
      </c>
      <c r="C72" s="110" t="s">
        <v>32</v>
      </c>
    </row>
    <row r="73" spans="2:3" ht="75">
      <c r="B73" s="109" t="s">
        <v>146</v>
      </c>
      <c r="C73" s="110" t="s">
        <v>33</v>
      </c>
    </row>
    <row r="74" spans="2:3" ht="195">
      <c r="B74" s="112"/>
      <c r="C74" s="115" t="s">
        <v>15</v>
      </c>
    </row>
    <row r="75" spans="2:3" ht="165">
      <c r="B75" s="113" t="s">
        <v>151</v>
      </c>
      <c r="C75" s="116" t="s">
        <v>16</v>
      </c>
    </row>
    <row r="76" spans="2:3" ht="210">
      <c r="B76" s="114"/>
      <c r="C76" s="117" t="s">
        <v>17</v>
      </c>
    </row>
    <row r="77" ht="15">
      <c r="B77" s="94"/>
    </row>
    <row r="78" ht="15">
      <c r="B78" s="96"/>
    </row>
    <row r="79" spans="2:3" ht="60">
      <c r="B79" s="120" t="s">
        <v>37</v>
      </c>
      <c r="C79" s="115" t="s">
        <v>34</v>
      </c>
    </row>
    <row r="80" spans="2:3" ht="15">
      <c r="B80" s="191" t="s">
        <v>23</v>
      </c>
      <c r="C80" s="190" t="s">
        <v>18</v>
      </c>
    </row>
    <row r="81" spans="2:3" ht="15">
      <c r="B81" s="192"/>
      <c r="C81" s="186"/>
    </row>
    <row r="82" spans="2:3" ht="105">
      <c r="B82" s="193"/>
      <c r="C82" s="119" t="s">
        <v>19</v>
      </c>
    </row>
    <row r="83" ht="15">
      <c r="B83" s="94"/>
    </row>
    <row r="84" spans="2:3" ht="30">
      <c r="B84" s="182" t="s">
        <v>38</v>
      </c>
      <c r="C84" s="115" t="s">
        <v>35</v>
      </c>
    </row>
    <row r="85" spans="2:3" ht="165">
      <c r="B85" s="183"/>
      <c r="C85" s="116" t="s">
        <v>21</v>
      </c>
    </row>
    <row r="86" spans="2:3" ht="75">
      <c r="B86" s="184"/>
      <c r="C86" s="119" t="s">
        <v>20</v>
      </c>
    </row>
    <row r="87" spans="2:3" ht="227.25" customHeight="1">
      <c r="B87" s="182" t="s">
        <v>64</v>
      </c>
      <c r="C87" s="115" t="s">
        <v>45</v>
      </c>
    </row>
    <row r="88" spans="2:3" ht="45">
      <c r="B88" s="184"/>
      <c r="C88" s="124" t="s">
        <v>1</v>
      </c>
    </row>
    <row r="89" spans="2:3" ht="15">
      <c r="B89" s="96"/>
      <c r="C89" s="123"/>
    </row>
    <row r="90" ht="15">
      <c r="B90" s="96"/>
    </row>
    <row r="91" spans="2:3" ht="105">
      <c r="B91" s="120" t="s">
        <v>69</v>
      </c>
      <c r="C91" s="110" t="s">
        <v>5</v>
      </c>
    </row>
    <row r="92" spans="2:3" ht="165">
      <c r="B92" s="120" t="s">
        <v>70</v>
      </c>
      <c r="C92" s="110" t="s">
        <v>6</v>
      </c>
    </row>
    <row r="93" ht="15">
      <c r="B93" s="96"/>
    </row>
    <row r="94" ht="15">
      <c r="B94" s="96"/>
    </row>
    <row r="95" spans="2:3" ht="30">
      <c r="B95" s="120" t="s">
        <v>91</v>
      </c>
      <c r="C95" s="110" t="s">
        <v>3</v>
      </c>
    </row>
    <row r="96" spans="2:3" ht="60">
      <c r="B96" s="120" t="s">
        <v>92</v>
      </c>
      <c r="C96" s="110" t="s">
        <v>4</v>
      </c>
    </row>
    <row r="101" ht="15.75">
      <c r="B101" s="92" t="s">
        <v>123</v>
      </c>
    </row>
    <row r="102" ht="15.75">
      <c r="B102" s="92"/>
    </row>
    <row r="103" spans="2:3" ht="75">
      <c r="B103" s="122" t="s">
        <v>106</v>
      </c>
      <c r="C103" s="110" t="s">
        <v>25</v>
      </c>
    </row>
    <row r="104" spans="2:3" ht="75">
      <c r="B104" s="122" t="s">
        <v>107</v>
      </c>
      <c r="C104" s="110" t="s">
        <v>26</v>
      </c>
    </row>
    <row r="105" spans="2:3" ht="60">
      <c r="B105" s="122" t="s">
        <v>108</v>
      </c>
      <c r="C105" s="110" t="s">
        <v>31</v>
      </c>
    </row>
    <row r="106" spans="2:3" ht="90">
      <c r="B106" s="122" t="s">
        <v>109</v>
      </c>
      <c r="C106" s="110" t="s">
        <v>27</v>
      </c>
    </row>
    <row r="107" spans="2:3" ht="15">
      <c r="B107" s="121" t="s">
        <v>99</v>
      </c>
      <c r="C107" s="110" t="s">
        <v>28</v>
      </c>
    </row>
    <row r="108" spans="2:3" ht="15">
      <c r="B108" s="121" t="s">
        <v>101</v>
      </c>
      <c r="C108" s="110" t="s">
        <v>29</v>
      </c>
    </row>
    <row r="109" spans="2:3" ht="15">
      <c r="B109" s="121" t="s">
        <v>24</v>
      </c>
      <c r="C109" s="110" t="s">
        <v>30</v>
      </c>
    </row>
  </sheetData>
  <sheetProtection password="CAA3" sheet="1" objects="1" scenarios="1"/>
  <mergeCells count="7">
    <mergeCell ref="B84:B86"/>
    <mergeCell ref="B87:B88"/>
    <mergeCell ref="C31:C32"/>
    <mergeCell ref="B32:B33"/>
    <mergeCell ref="B37:B38"/>
    <mergeCell ref="C80:C81"/>
    <mergeCell ref="B80:B82"/>
  </mergeCells>
  <printOptions/>
  <pageMargins left="0.75" right="0.75" top="1" bottom="1" header="0.5" footer="0.5"/>
  <pageSetup horizontalDpi="600" verticalDpi="600" orientation="portrait" paperSize="9" scale="50" r:id="rId2"/>
  <rowBreaks count="4" manualBreakCount="4">
    <brk id="30" min="1" max="2" man="1"/>
    <brk id="52" min="1" max="2" man="1"/>
    <brk id="78" min="1" max="2" man="1"/>
    <brk id="100" min="1" max="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10016013</dc:creator>
  <cp:keywords/>
  <dc:description/>
  <cp:lastModifiedBy>Barry.Griffiths</cp:lastModifiedBy>
  <cp:lastPrinted>2011-12-09T10:35:32Z</cp:lastPrinted>
  <dcterms:created xsi:type="dcterms:W3CDTF">2011-11-15T13:02:00Z</dcterms:created>
  <dcterms:modified xsi:type="dcterms:W3CDTF">2011-12-16T12:52:16Z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