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3435" windowWidth="20730" windowHeight="11760" tabRatio="869" activeTab="0"/>
  </bookViews>
  <sheets>
    <sheet name="Intro" sheetId="1" r:id="rId1"/>
    <sheet name="Energy+Adoption" sheetId="2" r:id="rId2"/>
    <sheet name="Heating Assumptions+Calcs (CHM)" sheetId="3" r:id="rId3"/>
    <sheet name="Hot Water Assumptions+Calcs" sheetId="4" r:id="rId4"/>
    <sheet name="Washing Assumptions+Calcs" sheetId="5" r:id="rId5"/>
    <sheet name="Lights+App. Assump.+Calcs" sheetId="6" r:id="rId6"/>
    <sheet name="Refrig. Assumptions+Calcs" sheetId="7" r:id="rId7"/>
    <sheet name="Cooking Assumptions+Calcs" sheetId="8" r:id="rId8"/>
  </sheets>
  <externalReferences>
    <externalReference r:id="rId11"/>
  </externalReferences>
  <definedNames>
    <definedName name="Air_specific_heat_by_volume" localSheetId="2">'[1]Constants'!$B$6</definedName>
    <definedName name="Air_specific_heat_by_volume">'Refrig. Assumptions+Calcs'!$B$111</definedName>
    <definedName name="Bath_temperature_high">'Hot Water Assumptions+Calcs'!$C$11</definedName>
    <definedName name="Bath_temperature_low">'Hot Water Assumptions+Calcs'!$B$11</definedName>
    <definedName name="Bath_temperature_med" localSheetId="2">'[1]Hot Water Assumptions+Calcs'!$D$11</definedName>
    <definedName name="Bath_temperature_med">'Hot Water Assumptions+Calcs'!$D$11</definedName>
    <definedName name="Bath_volume_high" localSheetId="2">'[1]Hot Water Assumptions+Calcs'!$C$21</definedName>
    <definedName name="Bath_volume_high">'Hot Water Assumptions+Calcs'!$C$18</definedName>
    <definedName name="Bath_volume_low" localSheetId="2">'[1]Hot Water Assumptions+Calcs'!$B$21</definedName>
    <definedName name="Bath_volume_low">'Hot Water Assumptions+Calcs'!$B$18</definedName>
    <definedName name="Bath_volume_med" localSheetId="2">'[1]Hot Water Assumptions+Calcs'!$D$21</definedName>
    <definedName name="Bath_volume_med">'Hot Water Assumptions+Calcs'!$D$18</definedName>
    <definedName name="Cold_water_temp_high">'Hot Water Assumptions+Calcs'!$C$7</definedName>
    <definedName name="Cold_water_temp_low">'Hot Water Assumptions+Calcs'!$B$7</definedName>
    <definedName name="Cold_water_temp_med" localSheetId="2">'[1]Hot Water Assumptions+Calcs'!$D$7</definedName>
    <definedName name="Cold_water_temp_med">'Hot Water Assumptions+Calcs'!$D$7</definedName>
    <definedName name="Dishwasher_energy_high" localSheetId="2">'[1]Washing Assumptions+Calcs'!$C$6</definedName>
    <definedName name="Dishwasher_energy_high">'Washing Assumptions+Calcs'!$C$7</definedName>
    <definedName name="Dishwasher_energy_low" localSheetId="2">'[1]Washing Assumptions+Calcs'!$B$6</definedName>
    <definedName name="Dishwasher_energy_low">'Washing Assumptions+Calcs'!$B$7</definedName>
    <definedName name="Dishwasher_energy_med" localSheetId="2">'[1]Washing Assumptions+Calcs'!$D$6</definedName>
    <definedName name="Dishwasher_energy_med">'Washing Assumptions+Calcs'!$D$7</definedName>
    <definedName name="Dishwasher_freq_high" localSheetId="2">'[1]Washing Assumptions+Calcs'!$C$4</definedName>
    <definedName name="Dishwasher_freq_high">'Washing Assumptions+Calcs'!$C$5</definedName>
    <definedName name="dishwasher_freq_low" localSheetId="2">'[1]Washing Assumptions+Calcs'!$B$4</definedName>
    <definedName name="dishwasher_freq_low">'Washing Assumptions+Calcs'!$B$5</definedName>
    <definedName name="Dishwasher_freq_med" localSheetId="2">'[1]Washing Assumptions+Calcs'!$D$4</definedName>
    <definedName name="Dishwasher_freq_med">'Washing Assumptions+Calcs'!$D$5</definedName>
    <definedName name="Drip_rate_high" localSheetId="2">'[1]Hot Water Assumptions+Calcs'!$C$29</definedName>
    <definedName name="Drip_rate_high">'Hot Water Assumptions+Calcs'!$C$26</definedName>
    <definedName name="Drip_rate_low" localSheetId="2">'[1]Hot Water Assumptions+Calcs'!$B$29</definedName>
    <definedName name="Drip_rate_low">'Hot Water Assumptions+Calcs'!$B$26</definedName>
    <definedName name="Drip_rate_med" localSheetId="2">'[1]Hot Water Assumptions+Calcs'!$D$29</definedName>
    <definedName name="Drip_rate_med">'Hot Water Assumptions+Calcs'!$D$26</definedName>
    <definedName name="Hot_water_temp_high" localSheetId="2">'[1]Hot Water Assumptions+Calcs'!$C$8</definedName>
    <definedName name="Hot_water_temp_high">'Hot Water Assumptions+Calcs'!$C$8</definedName>
    <definedName name="Hot_water_temp_low" localSheetId="2">'[1]Hot Water Assumptions+Calcs'!$B$8</definedName>
    <definedName name="Hot_water_temp_low">'Hot Water Assumptions+Calcs'!$B$8</definedName>
    <definedName name="Hot_water_temp_med" localSheetId="2">'[1]Hot Water Assumptions+Calcs'!$D$8</definedName>
    <definedName name="Hot_water_temp_med">'Hot Water Assumptions+Calcs'!$D$8</definedName>
    <definedName name="Ice_specific_heat">'Refrig. Assumptions+Calcs'!$B$108</definedName>
    <definedName name="OLE_LINK7" localSheetId="1">'Energy+Adoption'!$B$10</definedName>
    <definedName name="Shower_duration_high" localSheetId="2">'[1]Hot Water Assumptions+Calcs'!$C$19</definedName>
    <definedName name="Shower_duration_high">'Hot Water Assumptions+Calcs'!$C$17</definedName>
    <definedName name="Shower_duration_low" localSheetId="2">'[1]Hot Water Assumptions+Calcs'!$B$19</definedName>
    <definedName name="Shower_duration_low">'Hot Water Assumptions+Calcs'!$B$17</definedName>
    <definedName name="Shower_duration_med" localSheetId="2">'[1]Hot Water Assumptions+Calcs'!$D$19</definedName>
    <definedName name="Shower_duration_med">'Hot Water Assumptions+Calcs'!$D$17</definedName>
    <definedName name="Shower_flow_high" localSheetId="2">'[1]Hot Water Assumptions+Calcs'!$C$14</definedName>
    <definedName name="Shower_flow_high">'Hot Water Assumptions+Calcs'!$C$13</definedName>
    <definedName name="Shower_flow_low" localSheetId="2">'[1]Hot Water Assumptions+Calcs'!$B$14</definedName>
    <definedName name="Shower_flow_low">'Hot Water Assumptions+Calcs'!$B$13</definedName>
    <definedName name="Shower_flow_med" localSheetId="2">'[1]Hot Water Assumptions+Calcs'!$D$14</definedName>
    <definedName name="Shower_flow_med">'Hot Water Assumptions+Calcs'!$D$13</definedName>
    <definedName name="Shower_temperature_high">'Hot Water Assumptions+Calcs'!$C$10</definedName>
    <definedName name="Shower_temperature_low">'Hot Water Assumptions+Calcs'!$B$10</definedName>
    <definedName name="Shower_temperature_med" localSheetId="2">'[1]Hot Water Assumptions+Calcs'!$D$10</definedName>
    <definedName name="Shower_temperature_med">'Hot Water Assumptions+Calcs'!$D$10</definedName>
    <definedName name="Steam_specific_heat">'Refrig. Assumptions+Calcs'!$B$107</definedName>
    <definedName name="TV_hours_high" localSheetId="2">'[1]TV'!$C$5</definedName>
    <definedName name="TV_hours_high">'Lights+App. Assump.+Calcs'!$C$8</definedName>
    <definedName name="TV_hours_low" localSheetId="2">'[1]TV'!$B$5</definedName>
    <definedName name="TV_hours_low">'Lights+App. Assump.+Calcs'!$B$8</definedName>
    <definedName name="TV_hours_med" localSheetId="2">'[1]TV'!$D$5</definedName>
    <definedName name="TV_hours_med">'Lights+App. Assump.+Calcs'!$D$8</definedName>
    <definedName name="Water_heating_efficiency_high" localSheetId="2">'[1]Hot Water Assumptions+Calcs'!$C$5</definedName>
    <definedName name="Water_heating_efficiency_high">'Hot Water Assumptions+Calcs'!$C$5</definedName>
    <definedName name="Water_heating_efficiency_low" localSheetId="2">'[1]Hot Water Assumptions+Calcs'!$B$5</definedName>
    <definedName name="Water_heating_efficiency_low">'Hot Water Assumptions+Calcs'!$B$5</definedName>
    <definedName name="Water_heating_efficiency_med" localSheetId="2">'[1]Hot Water Assumptions+Calcs'!$D$5</definedName>
    <definedName name="Water_heating_efficiency_med">'Hot Water Assumptions+Calcs'!$D$5</definedName>
    <definedName name="Water_latent_heat_ice" localSheetId="2">'[1]Constants'!$B$4</definedName>
    <definedName name="Water_latent_heat_ice">'Refrig. Assumptions+Calcs'!$B$109</definedName>
    <definedName name="Water_latent_heat_steam" localSheetId="2">'[1]Constants'!$B$5</definedName>
    <definedName name="Water_latent_heat_steam">'Refrig. Assumptions+Calcs'!$B$110</definedName>
    <definedName name="Water_sat_air" localSheetId="2">'[1]Constants'!$B$7</definedName>
    <definedName name="Water_sat_air">'Refrig. Assumptions+Calcs'!$B$112</definedName>
    <definedName name="Water_specific_heat" localSheetId="2">'[1]Constants'!$B$3</definedName>
    <definedName name="Water_specific_heat">'Refrig. Assumptions+Calcs'!$B$106</definedName>
  </definedNames>
  <calcPr fullCalcOnLoad="1"/>
</workbook>
</file>

<file path=xl/sharedStrings.xml><?xml version="1.0" encoding="utf-8"?>
<sst xmlns="http://schemas.openxmlformats.org/spreadsheetml/2006/main" count="1464" uniqueCount="783">
  <si>
    <t>Behaviour</t>
  </si>
  <si>
    <t>Low</t>
  </si>
  <si>
    <t>High</t>
  </si>
  <si>
    <t>Most likely</t>
  </si>
  <si>
    <t>Proportion</t>
  </si>
  <si>
    <t>Number (millions)</t>
  </si>
  <si>
    <t>Indicative take-up (millions of households)</t>
  </si>
  <si>
    <t>Install water efficient shower head and use twice every day</t>
  </si>
  <si>
    <t>Always use the dishwasher on eco settings</t>
  </si>
  <si>
    <t>Use dishwasher only when full</t>
  </si>
  <si>
    <t>Air dry laundry instead of using the tumble drier</t>
  </si>
  <si>
    <t>Wash clothes at 40 degrees or less</t>
  </si>
  <si>
    <t>Switch televisions off when not being watched instead of leaving on in the background</t>
  </si>
  <si>
    <t>Put cold appliance in cool place with enough room for ventilation</t>
  </si>
  <si>
    <t>When designing the kitchen, site fridge away from oven</t>
  </si>
  <si>
    <t>Avoid 'fast freeze' setting on freezer</t>
  </si>
  <si>
    <t xml:space="preserve">Avoid setting fridge thermostat too cold </t>
  </si>
  <si>
    <t>Avoid leaving fridges empty</t>
  </si>
  <si>
    <t>Cold water feed temperature</t>
  </si>
  <si>
    <t>C</t>
  </si>
  <si>
    <t>Shower temperature</t>
  </si>
  <si>
    <t>Bath temperature</t>
  </si>
  <si>
    <t>Shower flow rate</t>
  </si>
  <si>
    <t>low</t>
  </si>
  <si>
    <t>high</t>
  </si>
  <si>
    <t>litres</t>
  </si>
  <si>
    <t>Calculations</t>
  </si>
  <si>
    <t>Energy used for shower</t>
  </si>
  <si>
    <t>Water heating efficiency</t>
  </si>
  <si>
    <t>Physical constants</t>
  </si>
  <si>
    <t>Water specific heat</t>
  </si>
  <si>
    <t>Water latent heat solidification</t>
  </si>
  <si>
    <t>Water latent heat evaporation</t>
  </si>
  <si>
    <t>kJ/kg</t>
  </si>
  <si>
    <t>at 100C</t>
  </si>
  <si>
    <t>Bath volume</t>
  </si>
  <si>
    <t>kWh</t>
  </si>
  <si>
    <t>Energy used for bath</t>
  </si>
  <si>
    <t>Savings per bath/shower</t>
  </si>
  <si>
    <t>kWh/year</t>
  </si>
  <si>
    <t>Defrost freezer regularly</t>
  </si>
  <si>
    <t>Maintain fridge well (de-ice, clean coils)</t>
  </si>
  <si>
    <t xml:space="preserve">Put cold items back in the fridge as soon as possible </t>
  </si>
  <si>
    <t xml:space="preserve">Buying less food more frequently to reduce the fridge capacity </t>
  </si>
  <si>
    <t xml:space="preserve">Refitting old and damaged seals on refrigerators and freezers </t>
  </si>
  <si>
    <t>Avoid use of second freezers</t>
  </si>
  <si>
    <t xml:space="preserve">Not refrigerating / freezing items unnecessarily </t>
  </si>
  <si>
    <t>Cook with the microwave not oven</t>
  </si>
  <si>
    <t>Fill oven when on</t>
  </si>
  <si>
    <t xml:space="preserve">Only fill kettle to the level required </t>
  </si>
  <si>
    <t>Put lids on saucepans</t>
  </si>
  <si>
    <t>Turn off lights when not in use</t>
  </si>
  <si>
    <t>Energy saved per shower</t>
  </si>
  <si>
    <t>Energy saved over the year</t>
  </si>
  <si>
    <t>likely</t>
  </si>
  <si>
    <t>Boiler efficiency</t>
  </si>
  <si>
    <t>Shower duration</t>
  </si>
  <si>
    <t>Shower litres saved</t>
  </si>
  <si>
    <t>Energy saved per year</t>
  </si>
  <si>
    <t>minutes</t>
  </si>
  <si>
    <t xml:space="preserve">Avoid cooling hot food in the fridge </t>
  </si>
  <si>
    <t>Hot water temperature</t>
  </si>
  <si>
    <t>Energy lost per day</t>
  </si>
  <si>
    <t>kWh/day</t>
  </si>
  <si>
    <t>Repair leaks in hot water system (i.e. dripping hot water taps)</t>
  </si>
  <si>
    <t>Bath/shower frequency:</t>
  </si>
  <si>
    <t>Assumptions</t>
  </si>
  <si>
    <t>Energy saved/year</t>
  </si>
  <si>
    <t>Cold water temperature</t>
  </si>
  <si>
    <t>Likely</t>
  </si>
  <si>
    <t>Savings higher when boiler is less efficient</t>
  </si>
  <si>
    <t>Savings higher when bath is larger</t>
  </si>
  <si>
    <t>Savings higher when shower flow is lower</t>
  </si>
  <si>
    <t>Savings higher when shower flow is higher</t>
  </si>
  <si>
    <t>Initial Shower flow rate</t>
  </si>
  <si>
    <t>Savings higher for longer showers</t>
  </si>
  <si>
    <t>Drip rate</t>
  </si>
  <si>
    <t>Savings higher when hot water is hotter</t>
  </si>
  <si>
    <t>Savings higher when drip rate is higher</t>
  </si>
  <si>
    <t>Energy lost per year</t>
  </si>
  <si>
    <t>Total potential saving (GWh/y)</t>
  </si>
  <si>
    <t>Eco shower flow rate</t>
  </si>
  <si>
    <t>Savings higher when used more frequently</t>
  </si>
  <si>
    <t>Initial frequency of use</t>
  </si>
  <si>
    <t>loads/week</t>
  </si>
  <si>
    <t>kWh/load</t>
  </si>
  <si>
    <t>Dishwasher energy per run</t>
  </si>
  <si>
    <t>Dishwasher frequency of use</t>
  </si>
  <si>
    <t>Tumble dryer energy per run</t>
  </si>
  <si>
    <t>Tumble dryer frequency of use</t>
  </si>
  <si>
    <t>Washing machine frequency of use at more than 40 degrees</t>
  </si>
  <si>
    <t>Washing machine energy at more than 40 degrees</t>
  </si>
  <si>
    <t>Washing machine energy at 40 degrees</t>
  </si>
  <si>
    <t>Households having more than half a bath per day</t>
  </si>
  <si>
    <t>Households having more than half a shower per day</t>
  </si>
  <si>
    <t>Households having 2 or more showers/day</t>
  </si>
  <si>
    <t>Frequency of use</t>
  </si>
  <si>
    <t>Energy used</t>
  </si>
  <si>
    <t>kWh/week</t>
  </si>
  <si>
    <t>Frequency of use (at more than 40 degrees)</t>
  </si>
  <si>
    <t>Energy used at more than 40 degrees</t>
  </si>
  <si>
    <t>Energy used at 40 degrees</t>
  </si>
  <si>
    <t>W</t>
  </si>
  <si>
    <t>hours/day</t>
  </si>
  <si>
    <t>Initial energy use</t>
  </si>
  <si>
    <t>Eco energy use</t>
  </si>
  <si>
    <t>Proportion of housholds with a dripping hot tap</t>
  </si>
  <si>
    <t>Households with a dishwasher</t>
  </si>
  <si>
    <t>Households with a tumble dryer</t>
  </si>
  <si>
    <t>Households with a washing machine</t>
  </si>
  <si>
    <t>Households with a TV</t>
  </si>
  <si>
    <t>CAR Estimate</t>
  </si>
  <si>
    <t>l/min</t>
  </si>
  <si>
    <t>mins</t>
  </si>
  <si>
    <t>l/day</t>
  </si>
  <si>
    <t>- Calculations shown pale green</t>
  </si>
  <si>
    <t>Oven use hours/week</t>
  </si>
  <si>
    <t>Fridge normal energy consumption</t>
  </si>
  <si>
    <t>Fridge-freezer normal energy consumption</t>
  </si>
  <si>
    <t>Freezer normal energy consumption</t>
  </si>
  <si>
    <t>Effective external temperature due to poor ventilation</t>
  </si>
  <si>
    <t>Internal fridge temperature</t>
  </si>
  <si>
    <t>Internal freezer temperature</t>
  </si>
  <si>
    <t>CAR estimate</t>
  </si>
  <si>
    <t>The actual work done to remove a unit of heat is 1/COP = (Th-Tc)/Tc</t>
  </si>
  <si>
    <t>Oven affects heat leakage but not efficiency</t>
  </si>
  <si>
    <t>Ventilation external temperature</t>
  </si>
  <si>
    <t>Effective external temperature while next to active oven</t>
  </si>
  <si>
    <t>Internal freezer on fast freeze</t>
  </si>
  <si>
    <t>External temperature in a cool place</t>
  </si>
  <si>
    <t>Cool place external temparature</t>
  </si>
  <si>
    <t>High savings for cool place</t>
  </si>
  <si>
    <t xml:space="preserve">   Energy saved</t>
  </si>
  <si>
    <t xml:space="preserve">   Cool place well ventilated</t>
  </si>
  <si>
    <t>Total energy saved</t>
  </si>
  <si>
    <t>Normal kitchen temperature</t>
  </si>
  <si>
    <t>This calculation assumes we leave fast freeze on all the time</t>
  </si>
  <si>
    <t>Normal freezer energy consumption</t>
  </si>
  <si>
    <t>Normal internal temperature</t>
  </si>
  <si>
    <t>Fast freeze internal temperature</t>
  </si>
  <si>
    <t>Change in yearly energy consumption</t>
  </si>
  <si>
    <t>hours</t>
  </si>
  <si>
    <t>Normal fridge energy consumption</t>
  </si>
  <si>
    <t>Cool temperature</t>
  </si>
  <si>
    <t>Internal fridge set too cold</t>
  </si>
  <si>
    <t>Quantity of food defrosted each day</t>
  </si>
  <si>
    <t>COP of fridge</t>
  </si>
  <si>
    <t>Quantity of food defrosted per day</t>
  </si>
  <si>
    <t>Quantity of food put In fridge hot each day</t>
  </si>
  <si>
    <t>kg</t>
  </si>
  <si>
    <t>CAR estimate. Most of this mass is assumed to be water. Fat has a lower heat capacity so this estimate is likely to be higher rather than lower.</t>
  </si>
  <si>
    <t>Quantity of food returned to fridge each day</t>
  </si>
  <si>
    <t>Saves more energy for inefficient fridges</t>
  </si>
  <si>
    <t>Kitchen room temperature</t>
  </si>
  <si>
    <t>Quantity of food returned to the fridge each day</t>
  </si>
  <si>
    <t>Hot food temperature</t>
  </si>
  <si>
    <t>Quantity of food cooled each day</t>
  </si>
  <si>
    <t>CAR estimate. Assume this food warms to room temperature before being returned</t>
  </si>
  <si>
    <t>Temperature of food put in hot each day</t>
  </si>
  <si>
    <t>Rise in external temperature due to poor ventilation</t>
  </si>
  <si>
    <t>Fridge internal volume</t>
  </si>
  <si>
    <t>Number of times the fridge door is opened each day</t>
  </si>
  <si>
    <t>at 0C</t>
  </si>
  <si>
    <t>Air specific heat by volume</t>
  </si>
  <si>
    <t>kJ/m3/K</t>
  </si>
  <si>
    <t>Volume of fridge</t>
  </si>
  <si>
    <t>Number of times fridge door opened</t>
  </si>
  <si>
    <t>/day</t>
  </si>
  <si>
    <t>litre</t>
  </si>
  <si>
    <t>Fridge normal COP (How many units of heat are removed by one unit of electricity)</t>
  </si>
  <si>
    <t>Fridge with ice box</t>
  </si>
  <si>
    <t>Under counter fridge instead of tall fridge</t>
  </si>
  <si>
    <t>Tall fridge</t>
  </si>
  <si>
    <t>Fridge freezer instead of a fridge and a freezer</t>
  </si>
  <si>
    <t>Tall Fridge freezer</t>
  </si>
  <si>
    <t>A</t>
  </si>
  <si>
    <t>B</t>
  </si>
  <si>
    <t>Under counter fridge</t>
  </si>
  <si>
    <t>Tall fridge freezer</t>
  </si>
  <si>
    <t>Under counter freezer</t>
  </si>
  <si>
    <t>Frigidaire RL6003A</t>
  </si>
  <si>
    <t>Fridgemaster MTRR102A A</t>
  </si>
  <si>
    <t>Fridgemaster MTRL109A</t>
  </si>
  <si>
    <t>Frigidaire FRL250A</t>
  </si>
  <si>
    <t>Beko TDA531</t>
  </si>
  <si>
    <t>Water content of air at 100% humidity</t>
  </si>
  <si>
    <t>kg/100m3</t>
  </si>
  <si>
    <t>http://www.engineeringtoolbox.com/water-content-compressed-air-d_1275.html</t>
  </si>
  <si>
    <t>For 100 litres at 50% humidity</t>
  </si>
  <si>
    <t>Energy to condense this water</t>
  </si>
  <si>
    <t>kJ</t>
  </si>
  <si>
    <t>Energy to cool water from room temp to fridge temp.</t>
  </si>
  <si>
    <t>Energy to cool air from room temp to fridge temp</t>
  </si>
  <si>
    <t>So the energy to condense the water is by far the largest term</t>
  </si>
  <si>
    <t>Relative humidity in kitchen</t>
  </si>
  <si>
    <t>kg/m3</t>
  </si>
  <si>
    <t>Water content of air in half fridge volume</t>
  </si>
  <si>
    <t>This water all to be condensed</t>
  </si>
  <si>
    <t xml:space="preserve">Water content of saturated air </t>
  </si>
  <si>
    <t>at 20C</t>
  </si>
  <si>
    <t>Hot Water Behaviours (baths, showers and dripping taps)</t>
  </si>
  <si>
    <t>Refrigeration Behaviours: Fridges and freezers</t>
  </si>
  <si>
    <t xml:space="preserve"> </t>
  </si>
  <si>
    <t>GB Households able to adopt (indicative)</t>
  </si>
  <si>
    <t>Dishwasher frequency of use run when full</t>
  </si>
  <si>
    <t>(Th2-Tc)/(Th1-Tc)</t>
  </si>
  <si>
    <t>NB. This affects the efficiency but not the heat leakage because the high temperature is not all around the fridge</t>
  </si>
  <si>
    <t>Then the maximum theoretical efficiency (COP) is Tc/(Th-Tc) (using the Kelvin temperature scale)</t>
  </si>
  <si>
    <t>When varying Tc instead of Th, the differences are small when measured in Kelvin so you can still ignore the change in the Tc term</t>
  </si>
  <si>
    <t xml:space="preserve">If the base case external temperature is Th1 and the actual external temperature is Th2 then the work done to remove one unit of heat increases as </t>
  </si>
  <si>
    <t>Justification: consider exchanging 100 litres of air from room to fridge</t>
  </si>
  <si>
    <t xml:space="preserve">Heat leakage effect: </t>
  </si>
  <si>
    <t xml:space="preserve">Efficiency effect: </t>
  </si>
  <si>
    <t>The heat absorbed through the appliance walls (which has to be removed) increases linearly with the temperature difference.</t>
  </si>
  <si>
    <t>This is used to calculate a multiplier for the base case energy use, for example when the fridge is placed in a cool place.</t>
  </si>
  <si>
    <t>This is also used to calculate multiplier for the base case energy use, as in the cool place example in which both this and the heat leakage effect apply.</t>
  </si>
  <si>
    <t>For a freezer there is additional energy required to freeze the water from the air, which is again much more than the energy to cool the air itself.</t>
  </si>
  <si>
    <t xml:space="preserve">   Normal room poor ventilation</t>
  </si>
  <si>
    <t>Efficiency effect</t>
  </si>
  <si>
    <t xml:space="preserve">   Difference</t>
  </si>
  <si>
    <t>Savings are lower when the room is normally warmer</t>
  </si>
  <si>
    <t>Increased energy consumption due to heat leakage into the unit while the oven is active</t>
  </si>
  <si>
    <t>Savings are lower when the kitchen is warmer because the change in temperature difference is a smaller ratio</t>
  </si>
  <si>
    <t>Reduced efficiency and increased heat leakage</t>
  </si>
  <si>
    <t>Assume complete air change each time the door is opened</t>
  </si>
  <si>
    <t>Miele F12020S</t>
  </si>
  <si>
    <t>Whirlpool AFG6326B</t>
  </si>
  <si>
    <t>Annual energy used by second fridge</t>
  </si>
  <si>
    <t>Quantity of food put in fridge each day</t>
  </si>
  <si>
    <t>Proportion of households with a fridge-freezer</t>
  </si>
  <si>
    <t>Proportion of households with a freezer</t>
  </si>
  <si>
    <t>As above</t>
  </si>
  <si>
    <t>Proportion of cold appliances sited next to an oven</t>
  </si>
  <si>
    <t>Proportion of households defrosting food in the fridge</t>
  </si>
  <si>
    <t>Proportion of households putting hot food into the fridge</t>
  </si>
  <si>
    <t>Proportion of households not putting food back into the fridge ASAP</t>
  </si>
  <si>
    <t>Proportion of households keep a nearly empty fridge</t>
  </si>
  <si>
    <t>Savings higher when water is cooler</t>
  </si>
  <si>
    <t>Yearly increased energy consumption, allowing for oven usage</t>
  </si>
  <si>
    <t>When the fridge is full half this is food. When the fridge is empty this volume is air.</t>
  </si>
  <si>
    <t>CAR Estimate.</t>
  </si>
  <si>
    <t>Assume that the item would otherwise be defrosted at room temperature. Defrosting in the microwave would use considerably more energy.</t>
  </si>
  <si>
    <t>Proportion of households with fridge</t>
  </si>
  <si>
    <t>Energy consumption of a fridge</t>
  </si>
  <si>
    <t>Proportion of households with freezer</t>
  </si>
  <si>
    <t>Energy consumption of a freezer</t>
  </si>
  <si>
    <t>Reduction in energy consumption by good maintenance</t>
  </si>
  <si>
    <t>Annual savings from good maintenance</t>
  </si>
  <si>
    <t>Proportion of fridges and freezers needing new seals</t>
  </si>
  <si>
    <t>'low' figure is negative because high power shower</t>
  </si>
  <si>
    <t>Annual Savings for 2 bath/showers/wk</t>
  </si>
  <si>
    <t>- Assumptions shown mid green</t>
  </si>
  <si>
    <t>Number of persons per household</t>
  </si>
  <si>
    <t>Washing appliances: washing machines, tumble dryers, dishwashers</t>
  </si>
  <si>
    <t>Freezer portion: multiples of base case energy consumption</t>
  </si>
  <si>
    <t>Fridge portion: multiples of base case energy consumption</t>
  </si>
  <si>
    <t>Relative humidity of kitchen</t>
  </si>
  <si>
    <t>B rated chest freezer</t>
  </si>
  <si>
    <t>Multiples of base case energy use due to larger temperature difference</t>
  </si>
  <si>
    <t xml:space="preserve">Heating Behaviours </t>
  </si>
  <si>
    <t>Mean space heating per home</t>
  </si>
  <si>
    <t>kWh/y</t>
  </si>
  <si>
    <t>Cambridge Housing Model</t>
  </si>
  <si>
    <t>Demand temperature</t>
  </si>
  <si>
    <t xml:space="preserve">It is hard to vary demand temperature for different homes in the Cambridge Housing Model. 19C mean is based on research by Shipworth, M., Firth, S.K., Gentry, M., Wright, A.J., Shipworth, D., Lomas.K.J. 2010. Central Heating thermostat settings and timing: building demographics. Building Research &amp; Information 38 (1), 50-69. </t>
  </si>
  <si>
    <t>Number of homes with room thermostat</t>
  </si>
  <si>
    <t>million</t>
  </si>
  <si>
    <t>English Housing Survey 2008-2010 scaled up to GB (x 1.143)</t>
  </si>
  <si>
    <t>Number of homes without room thermostat</t>
  </si>
  <si>
    <t>Number of homes with hot water cylinder</t>
  </si>
  <si>
    <t>Number of homes with hot water cylinder but no cylinder thermostat</t>
  </si>
  <si>
    <t>Number of homes with combi boilers (no cylinder)</t>
  </si>
  <si>
    <t>Number of homes with thermostatic radiator valves</t>
  </si>
  <si>
    <t>Number of homes with hot water tank insulation</t>
  </si>
  <si>
    <t>Number of homes with uninsulated hot water tank</t>
  </si>
  <si>
    <t>Number of homes maintaining heating system annually</t>
  </si>
  <si>
    <t>Number of homes without annual heating system maintenance</t>
  </si>
  <si>
    <t>Modelling notes</t>
  </si>
  <si>
    <t>Outputs from the Model have been compared with the Digest of UK Energy Statistics. The model was found to over-estimate total energy consumption by 6.6%. For this reason the model outputs used here have been adjusted downwards by 6.6%.</t>
  </si>
  <si>
    <t>Modelled using CHM</t>
  </si>
  <si>
    <t>Mean saving/home when room thermostats added</t>
  </si>
  <si>
    <t>Calculated from modelling above</t>
  </si>
  <si>
    <t>Mean saving/home when thermostats added (with -6.6% adjustment)</t>
  </si>
  <si>
    <t>Modelling adjustment to match DUKES</t>
  </si>
  <si>
    <t>Mean energy/y for water heating in homes w/cylinders+thermostats</t>
  </si>
  <si>
    <t>Mean energy/y for water heating in homes w/no cylinders</t>
  </si>
  <si>
    <t>Mean energy/y for water heating in homes upgraded with c.thermostats</t>
  </si>
  <si>
    <t>Mean energy/y for space heating in homes w/programmers or timers</t>
  </si>
  <si>
    <t>Mean energy/y for space heating in homes w/no programmers or timers</t>
  </si>
  <si>
    <t>Mean energy/y for water heating in homes upgraded with programmers</t>
  </si>
  <si>
    <t>Mean saving/home when programmers added</t>
  </si>
  <si>
    <t>Mean saving/home when programmers added (with -6.6% adjustment)</t>
  </si>
  <si>
    <t xml:space="preserve">Household Energy Use Behaviours </t>
  </si>
  <si>
    <t>Headline findings</t>
  </si>
  <si>
    <t>Household annual lighting energy</t>
  </si>
  <si>
    <t>Annual lighting energy</t>
  </si>
  <si>
    <t>Proportion of lights actually needed</t>
  </si>
  <si>
    <t>Annual savings from turning off</t>
  </si>
  <si>
    <t>Wattage for occupancy sensor</t>
  </si>
  <si>
    <t>Number of sensors needed for house</t>
  </si>
  <si>
    <t>Savings higher when the sensor power is low</t>
  </si>
  <si>
    <t>Savings higher when the proportion needed is low</t>
  </si>
  <si>
    <t>Savings higher when fewer sensors are needed</t>
  </si>
  <si>
    <t>Number of sensors needed per house</t>
  </si>
  <si>
    <t>Annual energy consumption for sensors</t>
  </si>
  <si>
    <t xml:space="preserve">Annual savings </t>
  </si>
  <si>
    <t>kWh/yer</t>
  </si>
  <si>
    <t>Number of sensors</t>
  </si>
  <si>
    <t>Annual savings on lighting</t>
  </si>
  <si>
    <t>GWh/year</t>
  </si>
  <si>
    <t>Proportion of time no-one watching TV</t>
  </si>
  <si>
    <t>Number of households in the UK</t>
  </si>
  <si>
    <t>Number of sensors needed for hall only</t>
  </si>
  <si>
    <t>Wattage for hall lights</t>
  </si>
  <si>
    <t>Time hall lights on without sensors</t>
  </si>
  <si>
    <t>Time hall lights on with sensors</t>
  </si>
  <si>
    <t>TVs</t>
  </si>
  <si>
    <t>Lighting</t>
  </si>
  <si>
    <t>Fuel consumption of car</t>
  </si>
  <si>
    <t>litres/100 km</t>
  </si>
  <si>
    <t>Lights and Appliances</t>
  </si>
  <si>
    <t>Cooking Behaviours</t>
  </si>
  <si>
    <t>Proportion of households using an eco kettle and boiling just the minimum each day</t>
  </si>
  <si>
    <t>Number of times kettle boiled per day</t>
  </si>
  <si>
    <t>Amount of excess water in kettle</t>
  </si>
  <si>
    <t>Efficiency of kettle</t>
  </si>
  <si>
    <t>See Hot Water Assumptions+Calcs</t>
  </si>
  <si>
    <t>Oven uses per year</t>
  </si>
  <si>
    <t>/year</t>
  </si>
  <si>
    <t>Gas oven energy/use</t>
  </si>
  <si>
    <t>Source as above</t>
  </si>
  <si>
    <t>Proportion of households using a gas oven</t>
  </si>
  <si>
    <t>Electric oven energy/use</t>
  </si>
  <si>
    <t>Source as above, ovens rated A, C or B</t>
  </si>
  <si>
    <t>Proportion of households using an electric oven</t>
  </si>
  <si>
    <t>Proportion of households trying to fill their oven on each use</t>
  </si>
  <si>
    <t>Mean energy/use</t>
  </si>
  <si>
    <t>Savings/year</t>
  </si>
  <si>
    <t>Fewer uses/year</t>
  </si>
  <si>
    <t>Proportion of households with an oven</t>
  </si>
  <si>
    <t>Savings are higher when tap water is colder</t>
  </si>
  <si>
    <t>Average energy for oven use</t>
  </si>
  <si>
    <t>Proportion of households owning a microwave</t>
  </si>
  <si>
    <t>Proportion of oven uses which could be transferred to the microwave</t>
  </si>
  <si>
    <t>Proportion of energy saved when using the microwave instead of the oven</t>
  </si>
  <si>
    <t>Mean oven energy/use</t>
  </si>
  <si>
    <t>Proportion of households owning a kettle</t>
  </si>
  <si>
    <t>Proprtion of households with a kettle</t>
  </si>
  <si>
    <t>Proportion of kettles which are eco-kettles</t>
  </si>
  <si>
    <t>Proportion of housholds owning a kettle which is not an eco-kettle</t>
  </si>
  <si>
    <t>Kettles</t>
  </si>
  <si>
    <t>Oven/microwave</t>
  </si>
  <si>
    <t>Hob</t>
  </si>
  <si>
    <t>Proportion of households with an electric hob</t>
  </si>
  <si>
    <t>Electric hob energy/use</t>
  </si>
  <si>
    <t>Proportion of households with a gas hob</t>
  </si>
  <si>
    <t>Gas hob energy/use</t>
  </si>
  <si>
    <t>Extra energy used when lid not put on</t>
  </si>
  <si>
    <t>Average energy for hob use</t>
  </si>
  <si>
    <t>Proportion of households with a hob</t>
  </si>
  <si>
    <t>Mean hob energy use</t>
  </si>
  <si>
    <t>Hob uses/year</t>
  </si>
  <si>
    <t>Proportion of uses when lid not used and could be</t>
  </si>
  <si>
    <t>Hob energy/use</t>
  </si>
  <si>
    <t>Proportion of freezers and fridge freezers left on fast freeze</t>
  </si>
  <si>
    <t>Small freezer A++ freezer</t>
  </si>
  <si>
    <t>CAR Estimate. Average for year.</t>
  </si>
  <si>
    <t>Likely value source as above. Gas ovens do not have ratings. Assume low is 20% less and high is 20% more</t>
  </si>
  <si>
    <t>Proportion of households with a second freezer</t>
  </si>
  <si>
    <t>Proportion of fridges set too cold</t>
  </si>
  <si>
    <t>hours/week</t>
  </si>
  <si>
    <t>Number of times fridge door opened unnecessarily</t>
  </si>
  <si>
    <t>Assume 3/4 of this volume is air</t>
  </si>
  <si>
    <t>Number of times the fridge door is opened each day unnecessarily</t>
  </si>
  <si>
    <t>Water content of air in 3/4 fridge volume</t>
  </si>
  <si>
    <t>Avoid opening fridge door unnecessarily</t>
  </si>
  <si>
    <t xml:space="preserve">Install sensors and use to turn off lights </t>
  </si>
  <si>
    <t>Install sensor in hallway and use to turn off lights</t>
  </si>
  <si>
    <t>Savings higher when lights used more</t>
  </si>
  <si>
    <t>Net annual savings</t>
  </si>
  <si>
    <t>Energy consumption of TVs in UK*                                           (including multiple TVs in some homes)</t>
  </si>
  <si>
    <t>Number of homes with hot water pipework insulation (primary circuit)</t>
  </si>
  <si>
    <t>English Housing Survey 2008-2010 scaled up to GB  (x 1.143)</t>
  </si>
  <si>
    <t>Number of homes without hot water cylinder</t>
  </si>
  <si>
    <t>Mean energy/y for water heating in homes w/insulated pipework</t>
  </si>
  <si>
    <t>Mean energy/y for water heating in homes w/no insulated pipework</t>
  </si>
  <si>
    <t>Mean energy/y for water heating in homes upgraded w/insulated pipework</t>
  </si>
  <si>
    <t>Mean energy/y for space heating in homes w/insulated pipework</t>
  </si>
  <si>
    <t>Mean energy/y for space heating in homes w/no insulated pipework</t>
  </si>
  <si>
    <t>Mean energy/y for space heating in homes upgraded w/insulated pipework</t>
  </si>
  <si>
    <t>Mean saving/home for water heating when insulation added*</t>
  </si>
  <si>
    <t>Mean net saving/home when insulation added</t>
  </si>
  <si>
    <t>Mean net saving/home when insulation added (with -6.6% adjustment)</t>
  </si>
  <si>
    <t>Mean energy/y for space heating when all homes have demand temp of 19C</t>
  </si>
  <si>
    <t>Mean energy/y for space heating when all homes have demand temp of 18C</t>
  </si>
  <si>
    <t>Mean saving/home w/thermostat turned down 1C</t>
  </si>
  <si>
    <t>Mean saving/home w/thermostat turned down 1C (with -6.6% adjustment)</t>
  </si>
  <si>
    <t>*These figures include primary and secondary heating, and pumps to run the heating system</t>
  </si>
  <si>
    <t>*Household figures are for Great Britain, from DCLG's Table 401.</t>
  </si>
  <si>
    <t>Energy saving per household (kWh/y)*</t>
  </si>
  <si>
    <t>Bath volume                                               (excluding bather)</t>
  </si>
  <si>
    <t>Savings from replacing fridge seals</t>
  </si>
  <si>
    <t>Subsequent frequency of use</t>
  </si>
  <si>
    <t>Assume this is the same as the proportion of households using high temperature washing machine programmes (below).</t>
  </si>
  <si>
    <t>Proportion of households with a dishwasher</t>
  </si>
  <si>
    <t>Proportion of these running it part full</t>
  </si>
  <si>
    <t>Proportion of households who could adopt this behaviour.</t>
  </si>
  <si>
    <t>Proportion of households with a tumble dryer</t>
  </si>
  <si>
    <t>Proportion of these who could air dry instead</t>
  </si>
  <si>
    <t>Temperature of food before storage</t>
  </si>
  <si>
    <t>Proportion of daily food intake unnecessarily frozen</t>
  </si>
  <si>
    <t>Proportion of daily food intake unnecessarily refrigerated</t>
  </si>
  <si>
    <t>Daily food intake</t>
  </si>
  <si>
    <t>Food frozen unnecessarily per year</t>
  </si>
  <si>
    <t>Food refrigerated unnecessarily each year</t>
  </si>
  <si>
    <t>Savings are lower when COP is higher</t>
  </si>
  <si>
    <t>Ice specific heat</t>
  </si>
  <si>
    <t>Heat removed cooling food to fridge temperature</t>
  </si>
  <si>
    <t>Energy consumed removing heat for freezing and refrigeration</t>
  </si>
  <si>
    <t>kg/year</t>
  </si>
  <si>
    <t>This calculation assumes that the food warms to room temperature before being put back in the fridge. In practice this would take several hours.</t>
  </si>
  <si>
    <t>Specific heat capacity and latent heat capacity of food.</t>
  </si>
  <si>
    <t xml:space="preserve"> When you open the door of the fridge and exchange the air, the greatest energy loss is due to condensing the water vapour in air</t>
  </si>
  <si>
    <t xml:space="preserve">Food is assumed to have similar heat capacity and latent heat to water. </t>
  </si>
  <si>
    <t>Proportion of this energy due to freezer</t>
  </si>
  <si>
    <t>Average household energy for fridges and freezers</t>
  </si>
  <si>
    <t>Household freezer energy consumption</t>
  </si>
  <si>
    <t>Total cold appliances energy consumption</t>
  </si>
  <si>
    <t>Calculated above</t>
  </si>
  <si>
    <t>Heat leakage and efficiency effect for cool place</t>
  </si>
  <si>
    <t>This is just local to the appliance heat exchanger</t>
  </si>
  <si>
    <t>Efficiency effect only</t>
  </si>
  <si>
    <t xml:space="preserve">   Household freezer energy consumption</t>
  </si>
  <si>
    <t xml:space="preserve">For simplicity, this calculation is done just for a fridge, which is  affected more than a fridge freezer because the change in inside/outside temperature difference is proportionatly greater. The savings are in any case quite small. </t>
  </si>
  <si>
    <t>from above</t>
  </si>
  <si>
    <t>Savings from cleaning refrigerator coils</t>
  </si>
  <si>
    <t>Savings from defrosting freezer</t>
  </si>
  <si>
    <t>Reduction in energy consumption by regular defrost</t>
  </si>
  <si>
    <t>Proportion of households not defrosting the freezer regularly</t>
  </si>
  <si>
    <t>Proportion of households not cleaning refrigerator coils</t>
  </si>
  <si>
    <t>Mean energy/y for space heating when all homes have demand temp of 20C</t>
  </si>
  <si>
    <t>Mean saving/home w/thermostat turned down 2C</t>
  </si>
  <si>
    <t>Mean saving/home w/thermostat turned down 2C (with -6.6% adjustment)</t>
  </si>
  <si>
    <t>Mean energy/y for space heating when all homes start heating in October</t>
  </si>
  <si>
    <t>Mean energy/y for space heating when all homes start heating in November</t>
  </si>
  <si>
    <r>
      <t xml:space="preserve">Mean </t>
    </r>
    <r>
      <rPr>
        <b/>
        <sz val="11"/>
        <rFont val="Calibri"/>
        <family val="2"/>
      </rPr>
      <t>extra</t>
    </r>
    <r>
      <rPr>
        <sz val="11"/>
        <rFont val="Calibri"/>
        <family val="2"/>
      </rPr>
      <t xml:space="preserve"> energy/home for space heating when insulation added</t>
    </r>
  </si>
  <si>
    <r>
      <t xml:space="preserve">*Although there are significant savings in water heating energy, these are partly offset by </t>
    </r>
    <r>
      <rPr>
        <i/>
        <sz val="11"/>
        <rFont val="Calibri"/>
        <family val="2"/>
      </rPr>
      <t>increased</t>
    </r>
    <r>
      <rPr>
        <sz val="11"/>
        <rFont val="Calibri"/>
        <family val="2"/>
      </rPr>
      <t xml:space="preserve"> use of energy for space heating</t>
    </r>
  </si>
  <si>
    <t>Number of homes with heating timer/programmer</t>
  </si>
  <si>
    <t>Number of homes without heating timer/programmer</t>
  </si>
  <si>
    <t>SAP and CHM show no savings from a timer or programmer, consistent with research by Shipworth et al.</t>
  </si>
  <si>
    <t>Number of homes to be upgraded with any of 3 heating controls (TRVs, programmer, room therm)</t>
  </si>
  <si>
    <t>Mean energy/y for water heating in these homes after upgrade</t>
  </si>
  <si>
    <t>Extra energy used  by boiling rather than simmering (with the lid on)</t>
  </si>
  <si>
    <t>Proportion of hob uses where food could be cooked by simmering rather than boiling</t>
  </si>
  <si>
    <t>The average savings are based on the average energy consumption for each hob use, times the proportion of extra energy saved by simmering rather than boiling, times the number of occasions when this behaviour could be applied.</t>
  </si>
  <si>
    <t>Variation due to boiler type, excluding seasonal variation (EST, 2008).</t>
  </si>
  <si>
    <t>(EST, 2008).</t>
  </si>
  <si>
    <t>Walker (2009)</t>
  </si>
  <si>
    <t>Walker (2009) reports 7 minutes average during the week and 8 minutes average at weekends. This is based on self-reporting rather than measured data.</t>
  </si>
  <si>
    <t>Clarke, Grant and Thornton (2009) NB. This data is from 2005</t>
  </si>
  <si>
    <t>References</t>
  </si>
  <si>
    <t xml:space="preserve">DECC (2011) </t>
  </si>
  <si>
    <t>DECC (2011)</t>
  </si>
  <si>
    <t>MTP (2009)</t>
  </si>
  <si>
    <t xml:space="preserve">Danish Energy Savings Trust (2008) </t>
  </si>
  <si>
    <t>Critchley, R., Phipps, D., 2007, Water and Energy Efficient Showers: Project Report United Utilities Executive Summary [pdf] Available at: http://www.unitedutilities.com/Documents/1UULJMUwaterenergyefficientshowerExecutiveSummary.pdf [Accessed 28 Apr 2012]</t>
  </si>
  <si>
    <t>Eco Products UK, 2008, Pulse Eco Shower Galant 6L [online] Available at: http://www.ecoproductsuk.co.uk/listman/listings/l0296.shtml [Accessed 18 May 2012]</t>
  </si>
  <si>
    <t>ecoswitch.com, 2009, Nordic Eco Shower – Half the Water, Double the Benefits [online] Available at: http://ecoswitch.com/articles/nordic-eco-shower-half-the-water-double-the-benefits/ [Accessed 18 May 2012]</t>
  </si>
  <si>
    <t>EST, 2008, Measurement of Domestic Hot Water Consumption in Dwellings [pdf] Available from: http://www.bsria.co.uk/download/est-domestic-hot-water-monitoring-report.pdf [Accessed 24 Apr 2012]</t>
  </si>
  <si>
    <t xml:space="preserve">European Environment Agency, 2010 A dripping tap can waste as much as one liter of water per hour [online] Available at http://www.eea.europa.eu/green-tips/a-dripping-tap-can-waste-as-much-as-one-litre-of-water-per-hour [Accessed 18 May 2012] </t>
  </si>
  <si>
    <t>Thornton, A., 2009,. Public attitudes and behaviours towards the environment - tracker survey: A report to the Department for Environment, Food and Rural Affairs. TNS. Defra, London.</t>
  </si>
  <si>
    <t>DECC, 2011,Energy Consumption in the UK Domestic data tables [online] Available from: http://www.decc.gov.uk/en/content/cms/statistics/publications/ecuk/ecuk.aspx [Accessed 24/Apr/2012]</t>
  </si>
  <si>
    <t>Zimmerman, J., Evans, M., Griggs, J., King, N., Harding, L., Roberts, P. and Evans, C., 2012, Household Electricity Survey A study of domestic electrical product usage. DECC.</t>
  </si>
  <si>
    <t xml:space="preserve">Sattar, Saidur and Masjuki  (2007) </t>
  </si>
  <si>
    <t>Zimmerman (2012)</t>
  </si>
  <si>
    <t>Assume the same ratio as (freezer energy)/(fridge energy + freezer energy) as given below</t>
  </si>
  <si>
    <t>MTP (2010) (Data for 2010 projected from 1998.)</t>
  </si>
  <si>
    <t xml:space="preserve">25% improvement reported by Sokitt (2009) </t>
  </si>
  <si>
    <t>Up to 30% improvement reported by refrigeratorefficiency.com (2012)</t>
  </si>
  <si>
    <t>refrigeratorefficiency.com, 2012, Refrigerator Maintenance [online] Available at: http://www.refrigeratorefficiency.com/efficiency-matters/refrigerator-maintenance [Accessed 17 May 2012]</t>
  </si>
  <si>
    <t>Sattar M.A., Saidur R., and Masjuki H. H., 2007, Performance Investigation of Domestic Refrigerator Using Pure Hydrocarbons and Blends of Hydrocarbons as Refrigerants. World Academy of Science, Engineering and Technology 29 2007</t>
  </si>
  <si>
    <t xml:space="preserve">DCLG (2010)  Table 401 </t>
  </si>
  <si>
    <t>The wasted energy is calculated from the energy needed to heat the extra water in the kettle, divided by the efficiency of the kettle.</t>
  </si>
  <si>
    <t>MTP (2008)</t>
  </si>
  <si>
    <t>The likely value is as reported in MTP (2008). Low is 50% less and High is 50% more.</t>
  </si>
  <si>
    <t>MTP (2009). Savings of 20%-80% (over use of an electric oven) are reported for a range of different types of microwave use, from reheating a frozen meal to baking potatoes or a whole chicken</t>
  </si>
  <si>
    <t>Terry, N., 2011, Energy and Carbon Emissions: the way we live today, UIT Ltd, Cambridge.</t>
  </si>
  <si>
    <t>Terry, N. (2011a) How much energy do you save by putting a lid on a saucepan. [online] Available at: http://energy-surprises.blogspot.co.uk/2011/10/how-much-energy-do-you-save-by-putting.html [Accessed 10 May 2011]</t>
  </si>
  <si>
    <t>MTP, 2008, BNCK01: Assumptions underlying the energy projections of cooking appliances [pdf] Available from: http://efficient-products.defra.gov.uk/spm/download/document/id/581 [Accessed 3 May 2012].</t>
  </si>
  <si>
    <t>Mean saving/home w/delayed start to heating season</t>
  </si>
  <si>
    <t>Mean saving/home w/delayed start to heating season (with -6.6% adjustment)</t>
  </si>
  <si>
    <t>Consider the unheated room in equilibrium.</t>
  </si>
  <si>
    <t>Tr =room temperature, Ti = rest of house temperature, Te = external temperature</t>
  </si>
  <si>
    <t>The heat gain from the rest of the house similarly Hi(Ti-Tr)</t>
  </si>
  <si>
    <t>Hi(Ti-Tr) = He(Tr-Te)</t>
  </si>
  <si>
    <t xml:space="preserve">Now the heat loss to the outside from this room is reduced by a factor: </t>
  </si>
  <si>
    <t>(Ti-Tr)/(Ti-Te)</t>
  </si>
  <si>
    <t>Let He/Hi = H</t>
  </si>
  <si>
    <t>Tr(H + 1) = Ti + H.Te</t>
  </si>
  <si>
    <t>Tr = (Ti + H.Te)/(H+1)</t>
  </si>
  <si>
    <t xml:space="preserve">   = H.(Ti - Te)/(Ti-Te)(H+1)</t>
  </si>
  <si>
    <t xml:space="preserve">   = H/(1+H)</t>
  </si>
  <si>
    <t>The savings are large when H is large and Tr is close to Te, because this room is very cold.</t>
  </si>
  <si>
    <t>H/(1+H)</t>
  </si>
  <si>
    <t>These factors are used to calculate the reduction in heat loss when one room is not heated.</t>
  </si>
  <si>
    <t xml:space="preserve">The heat loss to the external environment is He(Tr-Te) </t>
  </si>
  <si>
    <t>Proportion of heat loss saved</t>
  </si>
  <si>
    <t>Overall heating energy saved</t>
  </si>
  <si>
    <t>Proportion of houses with a spare room that could be unheated</t>
  </si>
  <si>
    <t>CAR Estimate. 180C is gas mark 5</t>
  </si>
  <si>
    <t>Oven temperature</t>
  </si>
  <si>
    <t>Steam specific heat</t>
  </si>
  <si>
    <t>Total savings /year</t>
  </si>
  <si>
    <t>Proportion of ovens with poor seals</t>
  </si>
  <si>
    <t>NB. Zimmerman (2012) also has data on use of electric ovens and hobs, but there were only a few sample households with separate ovens and hobs. For the combined case, the overall energy consumption is 30% less than that implied by the MTP data for hob and oven use. This discrepancy could be partly due to bias in the survey, because the sample households were more energy conscious than average.</t>
  </si>
  <si>
    <t>The average savings are based on the average energy consumption for each hob use, times the proportion of extra energy saved by putting the lid on, times the number of occasions when this behaviour could be applied.</t>
  </si>
  <si>
    <t>MTP, 2009, BNCK07: Comparing energy use in microwave ovens with traditional electric fuelled methods [pdf] Available from: http://efficient-products.defra.gov.uk/spm/download/document/id/786</t>
  </si>
  <si>
    <t>DECC, 2011, Energy Consumption in the UK Domestic data tables [xls] Available from: http://www.decc.gov.uk/en/content/cms/statistics/publications/ecuk/ecuk.aspx [Accessed 24/Apr/2012]</t>
  </si>
  <si>
    <t>Defra, 2011, UK Household purchased quantities of food and drink [xls] Available from: http://www.defra.gov.uk/statistics/foodfarm/food/familyfood/datasets/ [Accessed 17/May/2012]</t>
  </si>
  <si>
    <t xml:space="preserve">MTP,2010, BNCO01: Domestic Chest Freezers, Upright Freezers, Fridges and Fridge-freezers: Government Standards Evidence Base 2009: Key Inputs. [pdf] Available from: http://efficient-products.defra.gov.uk/spm/download/document/id/826 [Accessed 17/May/2012] </t>
  </si>
  <si>
    <t>EST (2011) The elephant in the living room: how our appliances and gadgets are trampling the green dream [pdf] Available at: http://www.energysavingtrust.org.uk/Publications2/Corporate/Research-and-insights/The-elephant-in-the-living-room [Accessed 10/May/2012]</t>
  </si>
  <si>
    <t>This calculation handles freezers and fridges separately, using the average household freezer energy use calculated above as the base case, assuming normal ventilation and kitchen room temperature. First the increased energy consumption due to poor ventilation is calculated. Then the reduced energy consumption due to siting the appliance in a cool place is calculated. The difference is the savings that can be expected. The savings calculation gives a proportion of the base case energy use.</t>
  </si>
  <si>
    <t>Heat leakage and efficiency effect (note small difference for 'low' because there is  little change in temperature or ventilation)</t>
  </si>
  <si>
    <t xml:space="preserve">   Household fridge energy consumption</t>
  </si>
  <si>
    <t>Heat removed cooling food to freezer temperature and freezing it</t>
  </si>
  <si>
    <t>Clarke, A.,Grant, N., Thornton, J., 2009, Quantifying the energy and carbon effects of water saving [pdf] Available from: http://www.energysavingtrust.org.uk/wales/content/download/31410/376539/version/1/file/Quantifying+the+energy+and+carbon+effects+of+water+and+carbon+saving+full+technical+report.pdf [Accessed 26 April 2012]</t>
  </si>
  <si>
    <t>Heat loss factor H (He/Hi)</t>
  </si>
  <si>
    <t>(Ti-Tr) =H (Tr - Te)</t>
  </si>
  <si>
    <t>(Ti-Tr) = He/Hi.(Tr-Te)</t>
  </si>
  <si>
    <t>Zimmerman, J., Evans, M., Griggs, J., King, N., Harding, L., Roberts, P. and Evans, C. (2012) Household Electricity Survey: A study of domestic electrical product usage. DECC.</t>
  </si>
  <si>
    <t>There is no data on hot water pipework insulation in the EHS. We have less confidence in the figure for 'Households able to adopt' than for other behaviours.</t>
  </si>
  <si>
    <t>Number of homes with tank but no hot water pipework insulation (primary circuit)</t>
  </si>
  <si>
    <t>CAR Estimate based on dwelling age from English Housing Survey 2008-2010, scaled up to GB  (x 1.143)</t>
  </si>
  <si>
    <t>Proportion of dwelling envelope exposed by this room</t>
  </si>
  <si>
    <t>If the external envelope is poorly insulated then H is large and Tr is close to Te. If the external envelope is much better insulated than the internal walls then Tr is close to Ti.</t>
  </si>
  <si>
    <t>Mean energy/y for water heating in homes w/insulated cylinders</t>
  </si>
  <si>
    <t>Mean energy/y for water heating in homes w/uninsulated cylinders</t>
  </si>
  <si>
    <t>Mean saving/home when cylinder insulation added*</t>
  </si>
  <si>
    <t>Minus extra space heating energy when insulation added</t>
  </si>
  <si>
    <t>Mean saving/home when cyl insulation added (with -6.6% adjustment)</t>
  </si>
  <si>
    <t>Worksheets</t>
  </si>
  <si>
    <t>Overview</t>
  </si>
  <si>
    <t>Energy+Adoption</t>
  </si>
  <si>
    <t>Heating Assumptions+Calcs</t>
  </si>
  <si>
    <t>Hot Water Assumptions+Calcs</t>
  </si>
  <si>
    <t>Washing Assumptions+Calcs</t>
  </si>
  <si>
    <t>Lights+App. Assump.+Calcs</t>
  </si>
  <si>
    <t>Refrig. Assumptions+Calcs</t>
  </si>
  <si>
    <t>Cooking Assumptions+Calcs</t>
  </si>
  <si>
    <t>An overview of our findings, drawing information from all other sheets</t>
  </si>
  <si>
    <t>Concise description of our assumptions about heating, and how we used the Cambridge Housing Model</t>
  </si>
  <si>
    <t>Concise description of our assumptions about hot water and how we calculated savings relating to heating water</t>
  </si>
  <si>
    <t>Concise description of our assumptions about washing and how we calculated savings relating to washing clothes and dishes</t>
  </si>
  <si>
    <t>Concise description of our assumptions about lights and appliances, and how we calculated savings from them</t>
  </si>
  <si>
    <t>Concise description of our assumptions about refrigeration and how we calculated savings relating to cooling and storing food</t>
  </si>
  <si>
    <t>Concise description of our assumptions about cooking and how we calculated savings relating to ovens, hobs, kettles and microwaves</t>
  </si>
  <si>
    <t>Energy wasted on each door opening</t>
  </si>
  <si>
    <t xml:space="preserve">The high value is close to the 9-12 Wh per door opening reported by  Saidur et al (2000) for an even larger (220 litre) fridge. </t>
  </si>
  <si>
    <t>Saidur, R., Masjuki, H.H. and Choudhury, I.A. (2000) Role of ambient temperature, door opening, themostat setting position and their combined effect on refrigerator=freezer energy consumption, Energy Conversion and Management, 43, 845-854</t>
  </si>
  <si>
    <t>Sokit, 2009, Energy Efficiency Blog How Bad is My Fridge? The Results [online] Available at : http://www.sokitt.com/blog/?p=7 [Accessed 17 May 2012]</t>
  </si>
  <si>
    <t>Proportion of hob uses where the lid can be used</t>
  </si>
  <si>
    <t>CAR Estimate. The lid can only be used for simmering/boiling, not frying.</t>
  </si>
  <si>
    <t>Proportion of households not already simmering rather than boiling</t>
  </si>
  <si>
    <t>Proportion of households not already using a lid</t>
  </si>
  <si>
    <t>Proportion of uses where food could be simmered</t>
  </si>
  <si>
    <t>All of the space heating estimates presented above were generated using the Cambridge Housing Model version 2.7. This carries out a full SAP 2009 calculation for all 16,150 representative dwellings in the 2008-10 English Housing Survey. This is the model that lies behind DECC's Energy Consumption in the UK statistics, and the forthcoming 2012 Housing Energy Fact File.</t>
  </si>
  <si>
    <t>Proportion of households not using chemical inhibitor</t>
  </si>
  <si>
    <t>EST, 2012, Understanding your system / Heating and hot water  [online] Available at: http://www.energysavingtrust.org.uk/In-your-home/Heating-and-hot-water/Understanding-your-system [Accessed 22 May 2012]</t>
  </si>
  <si>
    <t>Energy savings from using chemical inhibitor and bleeding radiators</t>
  </si>
  <si>
    <t>Efficiency loss due to lack of chemical inhibitor or failure to bleed radiators</t>
  </si>
  <si>
    <t>As described above, failure to use corrosion inhibitor or bleed radiators can reduce boiler efficiency but can also lead to such poor radiator performance that the dwelling is not sufficiently heated and losses are reduced. These factors are modelled as a change in heating efficiency. This is multipled by the average heating energy usage to give average savings.</t>
  </si>
  <si>
    <t>CAR Estimate. Bleeding is easy if you know how and have a key.</t>
  </si>
  <si>
    <t>Proportion of households with radiators blocked by airlocks</t>
  </si>
  <si>
    <t>Terry (2011) (Electric kettles - kettles on a hob are less efficient.)</t>
  </si>
  <si>
    <t>Palmer, J., Cooper, I., 2011, Great Britain’s housing energy fact file. DECC, London.</t>
  </si>
  <si>
    <t xml:space="preserve">Total energy consumption for households for heating, cooking, lighting and appliances by households in 2010 was </t>
  </si>
  <si>
    <t>21,200 kWh/household/year, or 516,000 GWh/year in total. (From DECC (2011) Energy Consumption in the UK 2011 Update.)</t>
  </si>
  <si>
    <t>Regularly maintain heating system: use chemical inhibitor to reduce sludge and scale in the heating circuit and bleed radiators regularly</t>
  </si>
  <si>
    <t>sludge and scale in the heating circuit and bleed radiators regularly</t>
  </si>
  <si>
    <t>CAR estimate based on literature sources</t>
  </si>
  <si>
    <t>CAR Estimate. New boiler installations should have chemical inhibitor and reputable heating engineers add it after draining or topping up the system.</t>
  </si>
  <si>
    <t>Roughly 1/number of rooms in the house. Small dwellings are less likely to have a spare room so the number of rooms (including kitchen and bathroom) must be at least 6. However, larger homes may have more unused rooms.</t>
  </si>
  <si>
    <t>Background assumptions and notes applying to all the heating behaviours at the top, with detailed calculations at the bottom.</t>
  </si>
  <si>
    <t>Take 2 showers lasting 7 minutes each instead of 2 baths per week</t>
  </si>
  <si>
    <t>Take showers lasting 5 minutes, not 7 minutes, 4 times a week</t>
  </si>
  <si>
    <t>Defrost food in the fridge</t>
  </si>
  <si>
    <t xml:space="preserve">Check oven seals, and replacing if necessary </t>
  </si>
  <si>
    <t xml:space="preserve">Simmer rather than boiling food when cooking </t>
  </si>
  <si>
    <t>Efficiency loss in boiler due to sludge and scaling in heat exchanger or radiators needing bleeding.</t>
  </si>
  <si>
    <t>Webb, R. (Director of the Heating &amp; Hot Water Industry Council (HHIC)) , 2012, Discussion about an unpublished survey report from Paul Day of Sentinel Group regarding the efficiency of a heating system clogged with sludge [phone and email] [Personal communication, 24 May 2012]</t>
  </si>
  <si>
    <t>50% take-up</t>
  </si>
  <si>
    <t>75% take-up</t>
  </si>
  <si>
    <t xml:space="preserve">Mean energy/y for space heating when all homes leave window open a little </t>
  </si>
  <si>
    <t>Mean energy/y for space heating when all homes close bedroom windows</t>
  </si>
  <si>
    <t>Mean saving/home w/closed bedroom window</t>
  </si>
  <si>
    <t>Mean saving/home w/closed bedroom window (with -6.6% adjustment)</t>
  </si>
  <si>
    <t>*These figures include primary and secondary heating</t>
  </si>
  <si>
    <t>Number of homes leaving bedroom window open at night in heating season</t>
  </si>
  <si>
    <t>CAR Estimate (crude 10% of stock)</t>
  </si>
  <si>
    <t>Bedroom ventilation assumed when windows are closed</t>
  </si>
  <si>
    <t>litres/s</t>
  </si>
  <si>
    <t>CAR Estimate based on Part F of Building Reg's, on Ventilation, and British Standard 5925</t>
  </si>
  <si>
    <t>Bedroom ventilation assumed when windows are open</t>
  </si>
  <si>
    <t>Extra heat needed due to poor oven door seals</t>
  </si>
  <si>
    <t>Mudgall et al (2011) said improving the design of oven door seals on new ovens could deliver 1% savings in energy; this gives an absolute minimum bound to the savings from fixing poor seals. Also, opening the door 4 times during cooking would offset 16% of savings from using a solid door, suggesting that each door opening wastes 4% of the oven energy. CAR estimate that poor door seals will add ventilation equivalent to opening the oven door 0.5-3 times per use (depending on oven and dish geometry and whether the oven has a fan or is pure convection), giving savings of 4-12%.</t>
  </si>
  <si>
    <t>Mudgall, S., Tinetti, B., Hoa, E., Audard, G., Robertson, C., Goodman, P. and Pitman, S., 2011, Lot 22 Domestic and commercial ovens included when incorporated in cookers Task 6: Technical Analysis BAT  [pdf] Available from: http://www.ecocooking.org/lot22/documents.php [Accessed 24 May 2012]</t>
  </si>
  <si>
    <t>CAR Measurement. This varies by a few degrees according to user preferences. Walker (2009) says bath TMVs are normally set to a maximum value of 44-46C (higher for metal baths).</t>
  </si>
  <si>
    <t>CAR Measurement. This varies by a few degrees according to user preferences. Walker (2009) says shower mixer valves (TMVs) are normally set to a maximum 39-43C.</t>
  </si>
  <si>
    <t>can use more energy than a modest bath</t>
  </si>
  <si>
    <t>2 minutes' flow saved</t>
  </si>
  <si>
    <t>Install cylinder thermostat and use to control tank temperature (modelled)</t>
  </si>
  <si>
    <t>Insulate hot water pipework (primary circuit, modelled)</t>
  </si>
  <si>
    <t>Insulate water tank using a thermal jacket (modelled)</t>
  </si>
  <si>
    <t>Turn thermostat down by 1 degree from 19C to 18C (modelled)</t>
  </si>
  <si>
    <t>Turn thermostat down by 2 degrees from 20C to 18C (modelled)</t>
  </si>
  <si>
    <t>Delay start of heating from October to November (modelled)</t>
  </si>
  <si>
    <t>Close bedroom window at night instead of leaving a little open (modelled)</t>
  </si>
  <si>
    <t>7 minutes' flow</t>
  </si>
  <si>
    <t>Dripping tap flow rate</t>
  </si>
  <si>
    <t xml:space="preserve">Walker, G., 2009 The Water and Energy Implications of Bathing and Showering Behaviours and Technologies, Waterwise [pdf]  Available from: http://www.waterwise.org.uk/data/resources/27/final-water-and-energy-implications-of-personal-bathing.pdf [Accessed 18 May 2012] </t>
  </si>
  <si>
    <t xml:space="preserve">Households using partly-filled dishwasher </t>
  </si>
  <si>
    <t>CAR Estimate based on English Housing Survey</t>
  </si>
  <si>
    <t>CAR Estimate: reduce frequency by one third</t>
  </si>
  <si>
    <t xml:space="preserve">Average 260 cycles/year from Zimmerman (2012), ranging from 100 to 700 </t>
  </si>
  <si>
    <t>Average 250 cycles/year, range from 50 to 500, Zimmerman (2012)</t>
  </si>
  <si>
    <t>Average 280 cycles/year from Zimmerman (2012) which would be 5.5 cycles/week, but many of these will be at 40 degrees or less, because the clothing material requires it.</t>
  </si>
  <si>
    <t>Thornton (2009) Table 6</t>
  </si>
  <si>
    <t>Proportion of households using washing machine above 40 degrees</t>
  </si>
  <si>
    <t>Using the low energe use figure for eco settings, the savings are the difference between this and the previous energy use per cycle, times the number of cycles/year.</t>
  </si>
  <si>
    <t>Savings higher when initial energy use is higher</t>
  </si>
  <si>
    <t>Savings are the energy use per cycle times the reduction in cycles/year.</t>
  </si>
  <si>
    <t>If the tumble dryer is never used, then the energy saved is the previous frequency of drier use times the energy per use.</t>
  </si>
  <si>
    <t>The energy saved is the energy saved per cycle by switching to a 40 degree programme, times the number of times it was being used with a higher temperature programme.</t>
  </si>
  <si>
    <t>Zimmerman, J., Evans, M., Griggs, J., King, N., Harding, L., Roberts, P. and Evans, C., 2012, Household Electricity Survey A study of domestic electrical product usage (Draft). DECC.</t>
  </si>
  <si>
    <t>For unheated rooms (Behaviour 45)</t>
  </si>
  <si>
    <t>Average thermostat setting reduction when householders wear jumpers</t>
  </si>
  <si>
    <t>CAR Estimate based on literature cited above</t>
  </si>
  <si>
    <t>47 Wear a thick jumper at home in the heating season</t>
  </si>
  <si>
    <t>Mean saving/home w/jumpers and lower thermostat settings</t>
  </si>
  <si>
    <t>Savings from different behaviours cannot be added together simply.</t>
  </si>
  <si>
    <t>There is limited robust published data about how wearing extra clothes affects people's perception of temperature, and whether wearing a jumper means they are prepared to set thermostats lower. However, some people find it easier to tolerate cooler temperatures than others and many people are comfortable in room temperatures as low as 18C if they put a jumper on (Parsons, 2002). The insulation impact of of a jumper is normally considered to enable the wearer to tolerate conditions 2C cooler. However, putting on a second jumper does not allow another drop of 2C, because it still leaves much of the body unprotected. About 50% of residents are uncomfortable in a room with temperature between 17C and 18C (Hong et al, 2009). At 15C most people will be uncomfortable even with a heavy woolly jumper keeping their body warm, because their feet are cold (McIntyre and Griffiths, 1975). Women are generally less tolerant of cool temperatures than men, even in identical clothing, and they are more likely to complain of cold hands and feet (Parsons, 2002).</t>
  </si>
  <si>
    <t>Based on this analysis, CAR's estimate of the effect of wearing a thick jumper is that, where wearing jumpers makes any difference, it results in a range of changes to thermostat settings - from 0.5C to 2C lower. In the absence of any more reliable data, we further estimate that half of households would not make any change to thermostat settings after putting on jumpers, and of the remaining half, a quarter already wear thick jumpers in the heating season. This translates into a 'maximum uptake' for this behaviour of 25% of households.</t>
  </si>
  <si>
    <t>McIntyre, D. A, and Griffiths, I. D. The Effects of Added Clothing on Warmth and Comfort in Cool Conditions, Ergonomics, 18(2), 205-211</t>
  </si>
  <si>
    <t>Hong, S. H., Gilbertson, J., Oreszczyn,  T., Green, G. and Ridley, I. (2009) A field study of thermal comfort in low-income dwellings in England before and after energy efficient refurbishment, Building and Environment, 44(6) 1228-1236</t>
  </si>
  <si>
    <t>Parsons, K. C. (2002) The effects of gender, acclimation state, the opportunity to adjust clothing and physical disability on requirements for thermal comfort, Energy and Buildings, 34, 593-599</t>
  </si>
  <si>
    <t>European Environment Agency (2010) reports up to 
1 litre/hour (but this sounds high to CAR)</t>
  </si>
  <si>
    <t>Walker (2009) reports an average flow rate of 8 l/min for gravity-fed showers, 10 l/min with an integrated pump, or 12 l/min with a separate pump. Electric showers have lower flow rates: about 4 l/min. Several eco products claim their showers have half the normal flow rate such as ecoswitch.com (2009) and Eco Products UK (2008). This brings the 8 l/min average down to 4 l/min. Critchley (2007) reports pumped showers can have flow rates from 10 to over 20 l/min, but these are rarely used above 14 l/min.</t>
  </si>
  <si>
    <t>CAR Estimate based on Zimmerman (2012), our experiments, and manufacturers' data.</t>
  </si>
  <si>
    <t xml:space="preserve">CAR Estimate </t>
  </si>
  <si>
    <t>Dishwasher energy use</t>
  </si>
  <si>
    <t>5%, 50% and 95% percentiles from Zimmerman (2012)</t>
  </si>
  <si>
    <t>The low and high values for this calculation both refer to average TV use but differ in the proportion of time this is being watched. This gives a fair range of values for the UK as a whole, but under-estimates the uncertainty in savings for each house.</t>
  </si>
  <si>
    <t>If sensors are used to turn lights off when they are not needed then the sensors themselves will consume some energy, so potential savings are less than if this was done manually, though automatic switching is more reliable.</t>
  </si>
  <si>
    <t>Zimmerman, J., Evans, M., Griggs, J., King, N., Harding, L., Roberts, P. and Evans, C., 2012, Household Electricity Survey: A study of domestic electrical product usage (Draft). DECC.</t>
  </si>
  <si>
    <t>Terry, N., 2011, Energy and Carbon Emissions: The way we live today, UIT Ltd, Cambridge.</t>
  </si>
  <si>
    <t>ONS, 2011, Social Trends 41 e-Society. [xls] Available from: http://www.ons.gov.uk/ons/publications/re-reference-tables.html?edition=tcm%3A77-218733 [Accessed 18 May 2012].</t>
  </si>
  <si>
    <t>Department for Transport, 2011, Transport Statistics Great Britain 2011 [xls] Available from: http://www.dft.gov.uk/statistics/releases/transport-statistics-great-britain-2011 [Accessed 18 May 2012].</t>
  </si>
  <si>
    <t>Danish Energy Savings Trust, 2008, Motion and Dusk Sensors [online] Available at http://www.savingtrust.dk/public-and-commerce/products/lighting/lighting-control [Accessed 18 May 2012].</t>
  </si>
  <si>
    <t>DCLG, 2010, Live tables on Households Projections [xls] Available from: http://www.communities.gov.uk/housing/housingresearch/housingstatistics/housingstatisticsby/householdestimates/livetables-households/ Accessed [16 May 2012].</t>
  </si>
  <si>
    <t>DECC, 2011, Energy Consumption in the UK Domestic data tables [xls] Available from: http://www.decc.gov.uk/en/content/cms/statistics/publications/ecuk/ecuk.aspx [Accessed 24/Apr/2012].</t>
  </si>
  <si>
    <t>MTP, 2009, BNCE TV02: Televisions (TVs) Government Standards Evidence Base 2009: Reference Scenario [pdf] Available from: http://efficient-products.defra.gov.uk/spm/download/document/id/838 [Accessed 9/May/2012].</t>
  </si>
  <si>
    <t xml:space="preserve">The savings are the energy used for lighting times the proportion of time they were not needed. This calculation assumes that people always remember and do turn the lights off when they leave a room. Note that switching lights on and off frequently can shorten the life of the bulb. Some sources advise not to use compact fluroescent bulbs for locations where the on-time is likely to be less than 15 minutes. </t>
  </si>
  <si>
    <t>Zimmerman (2012). The likely value is the average of chest and upright freezers, scaled by number of households owning them.</t>
  </si>
  <si>
    <t>CAR Estimate, based on small under-counter fridge and tall fridge-freezer (volume of fridge section)</t>
  </si>
  <si>
    <t>Assume that poor ventilation means the appliance is dumping heat to a place that is warmer than normal</t>
  </si>
  <si>
    <t>% of appliances that are badly ventilated and could be moved</t>
  </si>
  <si>
    <t>Frequency from Cooking Assumptions+Calcs. Assume each use is 1-1.5 hours.</t>
  </si>
  <si>
    <t>The likely value is based on 2.3 people per household and 1.4 kg/person/day, based on milk, cheese, meat, fish, eggs, fats, fruit/veg, bread, drinks and some other foods purchased, as reported in Defra (2011).</t>
  </si>
  <si>
    <t>Low is the climate average for central UK, High is the most likely kitchen ambient temperature. Likely is the average of these.</t>
  </si>
  <si>
    <t>Algorithm assumptions</t>
  </si>
  <si>
    <t>This is likely to be on the high side - although a lot of food is mainly water, other components like fat have lower heat capacities.</t>
  </si>
  <si>
    <t>kJ/litre/K</t>
  </si>
  <si>
    <t>'Freezer energy' is the portion of energy consumed by fridge-freezers which is due to the freezer, times the proportion of households who have fridge-freezers, plus the energy due to freezers times the proportion of households who have freezers. The calculation for fridges is similar. These values are used in later calculations.</t>
  </si>
  <si>
    <t>Proportion of households with a fridge (not fridge-freezers)</t>
  </si>
  <si>
    <t>Justification: assume the appliance is a Carnot cycle heat pump</t>
  </si>
  <si>
    <t>Total energy consumptiojn by fridge-freezers, fridges and freezers per home</t>
  </si>
  <si>
    <t>Energy consumption of a fridge-freezer</t>
  </si>
  <si>
    <t>Proportion of households with fridge-freezer</t>
  </si>
  <si>
    <t>Annual savings from regular defrost</t>
  </si>
  <si>
    <t>Household fridge energy consumption</t>
  </si>
  <si>
    <t>This calculation assumes that the item would otherwise be defrosted at room temperature. Defrosting in the microwave would use considerably more energy.</t>
  </si>
  <si>
    <t xml:space="preserve">This calculation compares three scenarios: A) replacing a fridge-freezer with a fridge and ice box, B) replacing a tall fridge with an under-counter fridge (likeliest) and C) replacing a fridge and a freezer with a single fridge-freezer. </t>
  </si>
  <si>
    <t>All these products are A rated: A+++ are now available, but in 2010, 85% of cold appliances sales were class A (EST, 2011). These figures compare new with new fridges - not replacing an old fridge with a new one. (Savings would be larger if replacing old for new at the same time as downsizing.)</t>
  </si>
  <si>
    <t>Fridge instead of fridge-freezer:</t>
  </si>
  <si>
    <t>This calculation compares 3 scenarios: a small high efficiency freezer which is switched on only when needed which is a small proportion of the time, a less efficient (perhaps second-hand) freezer which is switched on a similar proportion of the time, and finally the less efficient freezer switched on all the time.</t>
  </si>
  <si>
    <t>Proportion of daily food intake frozen unnecessarily</t>
  </si>
  <si>
    <t>Proportion of daily food intake refrigerated unnecessarily</t>
  </si>
  <si>
    <t xml:space="preserve">Low is the climate average for central UK, High is the most likely kitchen ambient temperature </t>
  </si>
  <si>
    <t>This calculation assumes that all the air in the fridge is exchanged with fresh air from the room every time the door is opened, and all the moisture in this air is condensed. The volume of water condensed depends on the volume of the fridge which is air and the relative humidity of the air in the kitchen.</t>
  </si>
  <si>
    <t>CAR Estimate based on Zimmerman (2012)</t>
  </si>
  <si>
    <t>The likely value is the average from Zimmerman (2012). This is 20%  lower than reported by Palmer and Cooper (2011). The low value is half the likely value and the high value is twice the likely value.</t>
  </si>
  <si>
    <t>The amount of food cooled unnecessarily is calculated as a proportion of the total household food consumption. The initial temperature of this food is somewhere between the ambient external temperature and the kitchen room temperature. This is then cooled to the internal fridge temperature for refrigerated food, and right down to the freezer temperature for frozen food. Extracting this heat requires the fridge/freezer to use electricity,  depending on its COP.</t>
  </si>
  <si>
    <t xml:space="preserve">The rate of heat loss from this room is reduced by H/(1+H), as explained above. This is multiplied by  the fraction of external envelope from this room to get the impact on overall heating requirements. The heating requirement is adjusted for solar gains only, because the unused room does not have other gains such as appliances or hot water distribution losses.
NB. Solar gains contribute about 20% of the heating load. We allowed for this in calculating the temperature in the unused room, so in practice we have overestimated the savings. </t>
  </si>
  <si>
    <t>Heat loss factor (He/Hi) indicating heat loss per unit temperature difference through the external envelope divided by the same for the internal partitions. If Tr = room temperature, Ti - rest-of-house mean temperature, and Te = external temperature, then He(Tr-Te) is theexternal envelope heat loss and Hi(Ti-Tr) is the heat gain through the internal envelope. He and Hi depend on the area of the envelope or partitions, the average U-value and also the air tightness.
The Cambridge Housing Model is used for part of the unused room calculation. The only gains that apply in an unused room are solar gains. The CHM calculates the heating requirement, minus solar gains (adjusted for seasonal utilisation factor) and divided by the main heating system efficiency.</t>
  </si>
  <si>
    <t>Mean winter heating requirement per home with solar but no internal gains</t>
  </si>
  <si>
    <t>Mean energy/y for water heating in homes w/cylinders+no thermostats*</t>
  </si>
  <si>
    <t>*Homes with cylinders but not thermostats tend to use less energy for water heating because they tend to be larger, with more occupants, on average.</t>
  </si>
  <si>
    <t>1 Install cylinder thermostat and use to control tank temperature</t>
  </si>
  <si>
    <t>2 Install programmer or time switch to control heating, and use to control space heating</t>
  </si>
  <si>
    <t>3 Insulate hot water pipework (primary circuit)</t>
  </si>
  <si>
    <t>For maintenance of the heating system (Behaviour 5)</t>
  </si>
  <si>
    <t>For wearing a thick jumper at home (Behaviour 45)</t>
  </si>
  <si>
    <t>4 Insulate water tank using a 50mm thermal jacket</t>
  </si>
  <si>
    <t xml:space="preserve">5 Regularly maintain heating system: use chemical inhibitor to reduce </t>
  </si>
  <si>
    <t>6 Turn thermostat down by 1 degree from 19C to 18C*</t>
  </si>
  <si>
    <t>7 Turn thermostat down by 2 degrees from 20C to 18C*</t>
  </si>
  <si>
    <t>Use radiator valves to turn off heating in unused rooms (modelled)</t>
  </si>
  <si>
    <t>Wear a thick jumper at home in the heating season (modelled)</t>
  </si>
  <si>
    <t>Install programmer or time switch to control heating, and use (modelled)</t>
  </si>
  <si>
    <t>There is very little research on the performance of unserviced heating systems. However, anecdotal evidence (Webb, 2012) suggests that boilers continue to perform well as long as the heating circuit is properly protected by corrosion inhibitor. This prevents the radiators being clogged up with sludge and also reduces scaling. Airlocks in radiators also cause blockages which the householder can fix by bleeding the radiator. Scaling on the heat exchangers reduces the boiler efficiency directly but this effect is usually minor. 
Clogging up the radiators has indirect effects which can work either way. Firstly, when the radiators are blocked, parts of the surface are not warmed up at all and the radiator is less effective at transferring heat to the room. This means the water returning to the radiator is hotter and the boiler has to operate at a higher temperature and for longer, which reduces efficiency. The residents are likely to turn up the thermostat, if they have one, because the radiators are not working effectively. Unpublished data (Webb, 2012) suggests that this effect can reduce heating efficiency by 3-6% and this is consistent with EST advice that using corrosion inhibitor typically improves heating system efficiency by 3% (EST, 2012) 
On the other hand, if the radiators are not working effectively and, as a result, the dwelling is not heated to the thermostat temperature,  the resulting heat loss is lower and even allowing for poor efficiency energy use may be reduced. For example, our model shows that a drop in temperature of 1C can reduce heating energy by 13%, which would be 7%-10% after a 3%-6% drop in efficiency.</t>
  </si>
  <si>
    <t xml:space="preserve">   = (Ti-(Ti+H.Te)/(H+1)) / (Ti-Te)</t>
  </si>
  <si>
    <t xml:space="preserve">   =  Ti(H+1) -Ti -H.Te) / ((Ti-Te)(H+1))</t>
  </si>
  <si>
    <t>Modelled using CHM assuming open windows achieve 8 l/s of ventilation</t>
  </si>
  <si>
    <t>Modelled using CHM assuming closed windows result in 4 l/s of ventilation</t>
  </si>
  <si>
    <t xml:space="preserve">Proportion of time second freezer switched on </t>
  </si>
  <si>
    <t>These estimates of energy savings were assembled by Cambridge Architectural Research under contract to DECC, the Department of Energy and Climate Change.
The Final Report that accompanies this spreadsheet describes the context for the work, and an overview of our methods for estimating the savings from different behaviours.
There is more information about the Cambridge Housing Model, used as a starting point for 12 of these estimates, here:
http://tinyurl.com/HousingFactFile</t>
  </si>
  <si>
    <r>
      <t xml:space="preserve">Mean </t>
    </r>
    <r>
      <rPr>
        <b/>
        <sz val="11"/>
        <rFont val="Calibri"/>
        <family val="2"/>
      </rPr>
      <t>extra</t>
    </r>
    <r>
      <rPr>
        <sz val="11"/>
        <rFont val="Calibri"/>
        <family val="2"/>
      </rPr>
      <t xml:space="preserve"> energy for space heating in these homes after upgrade</t>
    </r>
  </si>
  <si>
    <t>The energy used to remove the extra heat also increases linearly with the temperature difference</t>
  </si>
  <si>
    <r>
      <rPr>
        <b/>
        <sz val="11"/>
        <rFont val="Calibri"/>
        <family val="2"/>
      </rPr>
      <t>Air exchange</t>
    </r>
    <r>
      <rPr>
        <sz val="11"/>
        <rFont val="Calibri"/>
        <family val="2"/>
      </rPr>
      <t>:</t>
    </r>
  </si>
  <si>
    <t>km</t>
  </si>
  <si>
    <t>/week</t>
  </si>
  <si>
    <t>Annual energy savings from appliance</t>
  </si>
  <si>
    <t>Extra shopping trips by car</t>
  </si>
  <si>
    <t>Annual energy used in extra shopping</t>
  </si>
  <si>
    <t>Round trip shopping distance</t>
  </si>
  <si>
    <t>Net annual energy savings</t>
  </si>
  <si>
    <t>60% reported by Terry (2011a) The experiment compared simmering potatoes with and without a lid.</t>
  </si>
  <si>
    <t>CAR Estimate based on experiment. Simmering rather than boiling (a good simmer, very close to 100C) reduced evaporation by half and overall energy use by 20%.</t>
  </si>
  <si>
    <t>Extra shopping trips by car due to buying food more often</t>
  </si>
  <si>
    <t>We assume that there are no exposed hot water pipes leaking heat into the unheated room, all appliances in the room are switched off, and the internal doors are kept closed. Still, there is net heat transfer through the internal doors, walls and floor/ceiling into the unheated room. If there is an occupied room below it is possible that heat loss through the ceiling could  trigger convection currents, which might be perceived by occupants as draughts. If they then turn up the radiator valves one or two degrees to compensate, this will offset some of the savings from the unheated room above. However, this effect is likely to be small and we have ignored it.
The hIgh case (most savings) is for a room in a detached house with an uninsulated solid wall and double glazed windows (because most houses have at least some). Then the U-values of the walls, windows and the internal partition walls are similar: around 2.0. However, an upper floor ceiling is likely to be better insulated than the floor to the level below, and air leakage around the internal door is greater than air leakage around the windows. The floor area is equal to the ceiling area and for a corner room with 2 external walls the internal wall area is approximately equal to the external wall area. The heat loss factor is then a little less than 1 and room temperature is about half way between inside and outside. 
A low case would be a room with 1 external wall and in a well-insulated top-floor flat. There is now 1 external wall and 1 external ceiling to 3 internal walls and an internal floor. The U-value for the external wall (excluding the window) could be as low as a tenth the internal wall. The room temperature is likely to be close to the whole dwelling average.</t>
  </si>
  <si>
    <t>NB. Too little ventilation can damage your health. Building Regulations require the whole building ventilation rate is at least 5 l/s + 4 l/s/person.</t>
  </si>
  <si>
    <t>Diesel (but petrol saving is almost identical). Low is Toyota Prius. Likely is an average car bought new in 2009. High is that plus 30%. Data from Terry (2011).</t>
  </si>
  <si>
    <t>There is a common belief that leaving fridges empty, or near empty, makes them less efficient and hence advice given to fill the fridge with bottles of water when it is near empty. However, putting bottles into the fridge  requires more energy to cool them down. This calculation shows that the empty fridge uses hardly more energy than a full one.</t>
  </si>
  <si>
    <t>Oven usage reduction by households trying to fill it on each use</t>
  </si>
  <si>
    <t>CAR Estimate. Some households may fill the oven with more food rather than cooking the same amount of food in larger batches.</t>
  </si>
  <si>
    <t>This refers to making the best use of the oven when it is on - e.g. baking potatoes at the same time as cooking meat in the oven.</t>
  </si>
  <si>
    <t>Likely value from MTP (2008). Low is 50% less and high is 50% more.</t>
  </si>
  <si>
    <t xml:space="preserve">CAR Estimate. NB. BARB (www.barb.co.uk) collects data on what TV programs people are watching. In monitored housholds, the TV activity is monitored and also who is present. If no-one is present then no-one is watching the TV. However, it is not published, and even this data has considerable uncertainty. </t>
  </si>
  <si>
    <t>Savings from Behaviour 43 minus energy used by the sensors</t>
  </si>
  <si>
    <t xml:space="preserve">The likely value is 3% of average fridge energy consumption. This figure is broadly consistent with data from Zimmerman, which shows variation in fridge energy use through the day of about 30%, from 17W early in the morning to 21W in the early evening. A good deal of this variation is due to changes in room temperature rather than door activity. If a third of the fridge load variation was due to door opening and a quarter of those openings were unnecessary then you could expect savings of 30% divided by 3, divided by 4, or 2.5% </t>
  </si>
  <si>
    <r>
      <t xml:space="preserve">This calculation is based on the total energy consumption by TVs in the UK. It assumes these TVs are equally divided between all households, and the TV is on for the same time in each household. There is some variation in the estimate of total energy, but most of the variation is in the estimated proportion of time the TV is on but no-one is watching. The range of values given is for the national average, and is much less than the variation between individual households (because it ignores variation due to some households using the TV much more than others).
</t>
    </r>
    <r>
      <rPr>
        <sz val="11"/>
        <color indexed="10"/>
        <rFont val="Calibri"/>
        <family val="2"/>
      </rPr>
      <t xml:space="preserve">
</t>
    </r>
    <r>
      <rPr>
        <sz val="11"/>
        <rFont val="Calibri"/>
        <family val="2"/>
      </rPr>
      <t>If TVs are switched to standby mode rather than completely off there is still  some power consumption, which we have ignored. However this is small (less than 1W for TVs bought since 2010).  Also we have not considered power for other equipment such as DVRs or set top boxes. Households with these extras would save more.</t>
    </r>
  </si>
  <si>
    <t>Proportion of households with a TV</t>
  </si>
  <si>
    <t>Number of households</t>
  </si>
  <si>
    <t>Number of households with a TV</t>
  </si>
  <si>
    <t>TV energy per household*</t>
  </si>
  <si>
    <t>kWh/house/year</t>
  </si>
  <si>
    <t>*This includes multiple TVs in some households</t>
  </si>
  <si>
    <t>8 Delay start of heating from October to November*</t>
  </si>
  <si>
    <t>9 Close bedroom window at night instead of leaving a little open*</t>
  </si>
  <si>
    <t>43 Use radiator valves to turn off heating in unused rooms</t>
  </si>
  <si>
    <t>10 Take 2 showers lasting 7 minutes each instead of 2 baths per week</t>
  </si>
  <si>
    <t>11 Take showers lasting 5 minutes, not 7 minutes, 4 times a week</t>
  </si>
  <si>
    <t>12 Install water efficient shower head and use twice every day</t>
  </si>
  <si>
    <t>13 Repair leaks in hot water system (dripping tap)</t>
  </si>
  <si>
    <t>14 Always use the dishwasher on eco settings</t>
  </si>
  <si>
    <t>15 Use dishwasher only when full</t>
  </si>
  <si>
    <t>16 Air dry laundry instead of using the tumble dryer</t>
  </si>
  <si>
    <t>17 Wash clothes at 40 degrees or less</t>
  </si>
  <si>
    <t>18 Switch televisions off when not being watched instead of leaving on in the background</t>
  </si>
  <si>
    <t>40 Turn off lights when not in use</t>
  </si>
  <si>
    <t>41 Install sensors and use to turn off lights</t>
  </si>
  <si>
    <t>42 Install sensor in hall and use to turn off lights</t>
  </si>
  <si>
    <t>19 Put cold appliance in cool place with enough room for ventilation</t>
  </si>
  <si>
    <t>20 When designing the kitchen, site fridge away from oven</t>
  </si>
  <si>
    <t>21 Avoid 'fast freeze' setting on freezer</t>
  </si>
  <si>
    <t xml:space="preserve">22 Avoid setting fridge thermostat too cold </t>
  </si>
  <si>
    <t>23 Avoid leaving fridges empty</t>
  </si>
  <si>
    <t>24 Defrost freezer regularly</t>
  </si>
  <si>
    <t>25 Maintain fridge well (defrost, clean coils)</t>
  </si>
  <si>
    <t xml:space="preserve">27 Put cold items back in the fridge as soon as possible </t>
  </si>
  <si>
    <t>26 Defrost food in the fridge</t>
  </si>
  <si>
    <t xml:space="preserve">28 Avoid cooling hot food in the fridge </t>
  </si>
  <si>
    <t xml:space="preserve">29 Buying less food more frequently to reduce the fridge capacity </t>
  </si>
  <si>
    <t xml:space="preserve">30 Refitting old and damaged seals on refrigerators and freezers </t>
  </si>
  <si>
    <t>31 Avoid use of second freezers</t>
  </si>
  <si>
    <t xml:space="preserve">32 Not refrigerating / freezing items unnecessarily </t>
  </si>
  <si>
    <t>33 Avoid opening fridge door unnecessarily</t>
  </si>
  <si>
    <t>34 Cook with the microwave not the oven</t>
  </si>
  <si>
    <t>35 Fill oven when on</t>
  </si>
  <si>
    <t xml:space="preserve">36 Only fill kettle to the level required </t>
  </si>
  <si>
    <t xml:space="preserve">37 Checking oven seals, and replacing if necessary </t>
  </si>
  <si>
    <t xml:space="preserve">38 Simmering rather than boiling food when cooking </t>
  </si>
  <si>
    <t>39 Put lids on saucepans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</si>
</sst>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71">
    <font>
      <sz val="11"/>
      <color theme="1"/>
      <name val="Calibri"/>
      <family val="2"/>
    </font>
    <font>
      <sz val="11"/>
      <color indexed="8"/>
      <name val="Calibri"/>
      <family val="2"/>
    </font>
    <font>
      <sz val="11"/>
      <name val="Calibri"/>
      <family val="2"/>
    </font>
    <font>
      <i/>
      <sz val="11"/>
      <name val="Calibri"/>
      <family val="2"/>
    </font>
    <font>
      <sz val="8"/>
      <name val="Calibri"/>
      <family val="2"/>
    </font>
    <font>
      <b/>
      <sz val="11"/>
      <name val="Calibri"/>
      <family val="2"/>
    </font>
    <font>
      <b/>
      <sz val="18"/>
      <name val="Calibri"/>
      <family val="2"/>
    </font>
    <font>
      <sz val="16"/>
      <name val="Calibri"/>
      <family val="2"/>
    </font>
    <font>
      <b/>
      <sz val="10"/>
      <name val="Calibri"/>
      <family val="2"/>
    </font>
    <font>
      <b/>
      <sz val="14"/>
      <name val="Calibri"/>
      <family val="2"/>
    </font>
    <font>
      <sz val="10"/>
      <name val="Calibri"/>
      <family val="2"/>
    </font>
    <font>
      <sz val="9"/>
      <name val="Calibri"/>
      <family val="2"/>
    </font>
    <font>
      <b/>
      <sz val="16"/>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6"/>
      <color indexed="8"/>
      <name val="Calibri"/>
      <family val="2"/>
    </font>
    <font>
      <b/>
      <sz val="16"/>
      <color indexed="8"/>
      <name val="Calibri"/>
      <family val="2"/>
    </font>
    <font>
      <sz val="10"/>
      <color indexed="8"/>
      <name val="Calibri"/>
      <family val="2"/>
    </font>
    <font>
      <b/>
      <sz val="18"/>
      <color indexed="8"/>
      <name val="Calibri"/>
      <family val="2"/>
    </font>
    <font>
      <sz val="26"/>
      <color indexed="40"/>
      <name val="Calibri"/>
      <family val="2"/>
    </font>
    <font>
      <sz val="14"/>
      <color indexed="40"/>
      <name val="Calibri"/>
      <family val="2"/>
    </font>
    <font>
      <sz val="8"/>
      <color indexed="10"/>
      <name val="Calibri"/>
      <family val="2"/>
    </font>
    <font>
      <sz val="11"/>
      <color indexed="53"/>
      <name val="Calibri"/>
      <family val="2"/>
    </font>
    <font>
      <b/>
      <sz val="11"/>
      <color indexed="10"/>
      <name val="Calibri"/>
      <family val="2"/>
    </font>
    <font>
      <u val="single"/>
      <sz val="11"/>
      <name val="Calibri"/>
      <family val="2"/>
    </font>
    <font>
      <sz val="17"/>
      <color indexed="40"/>
      <name val="Calibri"/>
      <family val="0"/>
    </font>
    <font>
      <sz val="5"/>
      <color indexed="40"/>
      <name val="Calibri"/>
      <family val="0"/>
    </font>
    <font>
      <sz val="9"/>
      <color indexed="4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1"/>
      <name val="Calibri"/>
      <family val="2"/>
    </font>
    <font>
      <sz val="10"/>
      <color rgb="FF000000"/>
      <name val="Calibri"/>
      <family val="2"/>
    </font>
    <font>
      <b/>
      <sz val="18"/>
      <color theme="1"/>
      <name val="Calibri"/>
      <family val="2"/>
    </font>
    <font>
      <sz val="26"/>
      <color rgb="FF009EE3"/>
      <name val="Calibri"/>
      <family val="2"/>
    </font>
    <font>
      <sz val="14"/>
      <color rgb="FF009EE3"/>
      <name val="Calibri"/>
      <family val="2"/>
    </font>
    <font>
      <sz val="8"/>
      <color rgb="FFFF0000"/>
      <name val="Calibri"/>
      <family val="2"/>
    </font>
    <font>
      <sz val="11"/>
      <color rgb="FF000000"/>
      <name val="Calibri"/>
      <family val="2"/>
    </font>
    <font>
      <sz val="16"/>
      <color rgb="FF000000"/>
      <name val="Calibri"/>
      <family val="2"/>
    </font>
    <font>
      <sz val="11"/>
      <color theme="9" tint="-0.24997000396251678"/>
      <name val="Calibri"/>
      <family val="2"/>
    </font>
    <font>
      <b/>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E4BC"/>
        <bgColor indexed="64"/>
      </patternFill>
    </fill>
    <fill>
      <patternFill patternType="solid">
        <fgColor rgb="FF8CB1CC"/>
        <bgColor indexed="64"/>
      </patternFill>
    </fill>
    <fill>
      <patternFill patternType="solid">
        <fgColor rgb="FFCFD9FB"/>
        <bgColor indexed="64"/>
      </patternFill>
    </fill>
    <fill>
      <patternFill patternType="solid">
        <fgColor theme="0" tint="-0.24997000396251678"/>
        <bgColor indexed="64"/>
      </patternFill>
    </fill>
    <fill>
      <patternFill patternType="solid">
        <fgColor theme="4" tint="0.5999600291252136"/>
        <bgColor indexed="64"/>
      </patternFill>
    </fill>
    <fill>
      <patternFill patternType="solid">
        <fgColor theme="3" tint="0.39998000860214233"/>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rgb="FFC4D79B"/>
        <bgColor indexed="64"/>
      </patternFill>
    </fill>
    <fill>
      <patternFill patternType="solid">
        <fgColor rgb="FFEBF1D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3" tint="0.39987999200820923"/>
      </bottom>
    </border>
    <border>
      <left/>
      <right style="medium">
        <color theme="3" tint="0.39987999200820923"/>
      </right>
      <top/>
      <bottom/>
    </border>
    <border>
      <left style="medium">
        <color theme="3" tint="0.39987999200820923"/>
      </left>
      <right style="medium">
        <color theme="3" tint="0.39987999200820923"/>
      </right>
      <top style="thin">
        <color theme="0" tint="-0.14990000426769257"/>
      </top>
      <bottom style="thin">
        <color theme="0" tint="-0.14990000426769257"/>
      </bottom>
    </border>
    <border>
      <left style="medium">
        <color theme="3" tint="0.39987999200820923"/>
      </left>
      <right/>
      <top/>
      <bottom/>
    </border>
    <border>
      <left style="medium">
        <color theme="3" tint="0.3999499976634979"/>
      </left>
      <right/>
      <top/>
      <bottom/>
    </border>
    <border>
      <left/>
      <right style="medium">
        <color theme="3" tint="0.39991000294685364"/>
      </right>
      <top/>
      <bottom/>
    </border>
    <border>
      <left style="medium">
        <color theme="3" tint="0.39991000294685364"/>
      </left>
      <right/>
      <top/>
      <bottom style="medium">
        <color theme="3" tint="0.3999499976634979"/>
      </bottom>
    </border>
    <border>
      <left style="medium">
        <color theme="3" tint="0.39991000294685364"/>
      </left>
      <right style="medium">
        <color theme="3" tint="0.3999499976634979"/>
      </right>
      <top style="medium">
        <color theme="3" tint="0.3999499976634979"/>
      </top>
      <bottom style="medium">
        <color theme="3" tint="0.39987999200820923"/>
      </bottom>
    </border>
    <border>
      <left/>
      <right/>
      <top/>
      <bottom style="medium">
        <color theme="3" tint="0.39987999200820923"/>
      </bottom>
    </border>
    <border>
      <left/>
      <right style="medium">
        <color theme="3" tint="0.39991000294685364"/>
      </right>
      <top/>
      <bottom style="medium">
        <color theme="3" tint="0.39987999200820923"/>
      </bottom>
    </border>
    <border>
      <left/>
      <right/>
      <top style="medium">
        <color theme="3" tint="0.3999499976634979"/>
      </top>
      <bottom style="medium">
        <color theme="3" tint="0.39987999200820923"/>
      </bottom>
    </border>
    <border>
      <left/>
      <right style="medium">
        <color theme="3" tint="0.3999499976634979"/>
      </right>
      <top style="medium">
        <color theme="3" tint="0.3999499976634979"/>
      </top>
      <bottom style="medium">
        <color theme="3" tint="0.39987999200820923"/>
      </bottom>
    </border>
    <border>
      <left style="medium">
        <color theme="3" tint="0.3999499976634979"/>
      </left>
      <right/>
      <top style="medium">
        <color theme="3" tint="0.3999499976634979"/>
      </top>
      <bottom style="medium">
        <color theme="3" tint="0.39991000294685364"/>
      </bottom>
    </border>
    <border>
      <left/>
      <right style="medium">
        <color theme="3" tint="0.3999499976634979"/>
      </right>
      <top style="medium">
        <color theme="3" tint="0.3999499976634979"/>
      </top>
      <bottom style="medium">
        <color theme="3" tint="0.39991000294685364"/>
      </bottom>
    </border>
    <border>
      <left/>
      <right/>
      <top/>
      <bottom style="medium">
        <color theme="3" tint="0.39991000294685364"/>
      </bottom>
    </border>
    <border>
      <left style="medium">
        <color theme="3" tint="0.39987999200820923"/>
      </left>
      <right style="medium">
        <color theme="3" tint="0.39987999200820923"/>
      </right>
      <top/>
      <bottom/>
    </border>
    <border>
      <left/>
      <right style="medium">
        <color theme="3" tint="0.39987999200820923"/>
      </right>
      <top/>
      <bottom style="thin">
        <color theme="0" tint="-0.14993000030517578"/>
      </bottom>
    </border>
    <border>
      <left/>
      <right style="medium">
        <color theme="3" tint="0.3998500108718872"/>
      </right>
      <top/>
      <bottom/>
    </border>
    <border>
      <left style="medium">
        <color theme="3" tint="0.3998500108718872"/>
      </left>
      <right/>
      <top/>
      <bottom/>
    </border>
    <border>
      <left style="medium">
        <color theme="3" tint="0.39987999200820923"/>
      </left>
      <right style="medium">
        <color theme="3" tint="0.39987999200820923"/>
      </right>
      <top/>
      <bottom style="medium">
        <color theme="3" tint="0.3998500108718872"/>
      </bottom>
    </border>
    <border>
      <left style="medium">
        <color theme="3" tint="0.39987999200820923"/>
      </left>
      <right/>
      <top/>
      <bottom style="medium">
        <color theme="3" tint="0.3998500108718872"/>
      </bottom>
    </border>
    <border>
      <left/>
      <right/>
      <top/>
      <bottom style="medium">
        <color theme="3" tint="0.3998500108718872"/>
      </bottom>
    </border>
    <border>
      <left/>
      <right style="medium">
        <color theme="3" tint="0.39987999200820923"/>
      </right>
      <top/>
      <bottom style="medium">
        <color theme="3" tint="0.3998500108718872"/>
      </bottom>
    </border>
    <border>
      <left style="medium">
        <color theme="3" tint="0.3999499976634979"/>
      </left>
      <right style="medium">
        <color theme="3" tint="0.39991000294685364"/>
      </right>
      <top/>
      <bottom/>
    </border>
    <border>
      <left/>
      <right/>
      <top/>
      <bottom style="medium">
        <color theme="3" tint="0.399949997663497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88">
    <xf numFmtId="0" fontId="0" fillId="0" borderId="0" xfId="0" applyFont="1" applyAlignment="1">
      <alignment/>
    </xf>
    <xf numFmtId="0" fontId="0" fillId="0" borderId="0" xfId="0" applyAlignment="1">
      <alignment horizontal="center" vertical="top"/>
    </xf>
    <xf numFmtId="0" fontId="0" fillId="0" borderId="0" xfId="0" applyAlignment="1">
      <alignment vertical="top" wrapText="1"/>
    </xf>
    <xf numFmtId="0" fontId="60" fillId="0" borderId="0" xfId="0" applyFont="1" applyAlignment="1">
      <alignment vertical="top"/>
    </xf>
    <xf numFmtId="0" fontId="0" fillId="0" borderId="0" xfId="0" applyAlignment="1">
      <alignment vertical="top"/>
    </xf>
    <xf numFmtId="0" fontId="0" fillId="0" borderId="0" xfId="0" applyFill="1" applyAlignment="1">
      <alignment vertical="top"/>
    </xf>
    <xf numFmtId="0" fontId="0" fillId="0" borderId="0" xfId="0" applyBorder="1" applyAlignment="1">
      <alignment vertical="top"/>
    </xf>
    <xf numFmtId="0" fontId="0" fillId="0" borderId="0" xfId="0" applyFont="1" applyAlignment="1">
      <alignment vertical="top"/>
    </xf>
    <xf numFmtId="0" fontId="0" fillId="33" borderId="0" xfId="0" applyFill="1" applyAlignment="1">
      <alignment vertical="top"/>
    </xf>
    <xf numFmtId="0" fontId="0" fillId="16" borderId="0" xfId="0" applyFill="1" applyAlignment="1">
      <alignment vertical="top"/>
    </xf>
    <xf numFmtId="0" fontId="0" fillId="16" borderId="0" xfId="0" applyFill="1" applyAlignment="1">
      <alignment vertical="top" wrapText="1"/>
    </xf>
    <xf numFmtId="0" fontId="59" fillId="33" borderId="0" xfId="0" applyFont="1" applyFill="1" applyAlignment="1">
      <alignment vertical="top"/>
    </xf>
    <xf numFmtId="0" fontId="0" fillId="0" borderId="0" xfId="0" applyAlignment="1" quotePrefix="1">
      <alignment vertical="top"/>
    </xf>
    <xf numFmtId="0" fontId="0" fillId="33" borderId="0" xfId="0" applyFill="1" applyAlignment="1">
      <alignment vertical="top" wrapText="1"/>
    </xf>
    <xf numFmtId="0" fontId="0" fillId="33" borderId="0" xfId="0" applyFill="1" applyAlignment="1">
      <alignment horizontal="center" vertical="top"/>
    </xf>
    <xf numFmtId="0" fontId="0" fillId="33" borderId="0" xfId="0" applyFill="1" applyBorder="1" applyAlignment="1">
      <alignment vertical="top" wrapText="1"/>
    </xf>
    <xf numFmtId="0" fontId="61" fillId="33" borderId="0" xfId="0" applyFont="1" applyFill="1" applyAlignment="1">
      <alignment vertical="top"/>
    </xf>
    <xf numFmtId="0" fontId="60" fillId="33" borderId="0" xfId="0" applyFont="1" applyFill="1" applyAlignment="1">
      <alignment vertical="top"/>
    </xf>
    <xf numFmtId="0" fontId="60" fillId="33" borderId="0" xfId="0" applyFont="1" applyFill="1" applyAlignment="1">
      <alignment horizontal="center" vertical="top"/>
    </xf>
    <xf numFmtId="0" fontId="60" fillId="33" borderId="0" xfId="0" applyFont="1" applyFill="1" applyAlignment="1">
      <alignment vertical="top" wrapText="1"/>
    </xf>
    <xf numFmtId="0" fontId="62" fillId="33" borderId="0" xfId="0" applyFont="1" applyFill="1" applyAlignment="1">
      <alignment vertical="top"/>
    </xf>
    <xf numFmtId="0" fontId="0" fillId="10" borderId="0" xfId="0" applyFill="1" applyAlignment="1">
      <alignment vertical="top" wrapText="1"/>
    </xf>
    <xf numFmtId="0" fontId="0" fillId="10" borderId="0" xfId="0" applyFill="1" applyAlignment="1">
      <alignment vertical="top"/>
    </xf>
    <xf numFmtId="0" fontId="0" fillId="16" borderId="0" xfId="0" applyFill="1" applyBorder="1" applyAlignment="1">
      <alignment vertical="top"/>
    </xf>
    <xf numFmtId="0" fontId="0" fillId="16" borderId="0" xfId="0" applyFill="1" applyAlignment="1">
      <alignment horizontal="right" vertical="top"/>
    </xf>
    <xf numFmtId="0" fontId="0" fillId="10" borderId="0" xfId="0" applyFill="1" applyBorder="1" applyAlignment="1">
      <alignment vertical="top"/>
    </xf>
    <xf numFmtId="0" fontId="0" fillId="4" borderId="0" xfId="0" applyFill="1" applyAlignment="1">
      <alignment vertical="top"/>
    </xf>
    <xf numFmtId="0" fontId="0" fillId="4" borderId="0" xfId="0" applyFill="1" applyAlignment="1">
      <alignment vertical="top" wrapText="1"/>
    </xf>
    <xf numFmtId="9" fontId="0" fillId="10" borderId="0" xfId="0" applyNumberFormat="1" applyFill="1" applyAlignment="1">
      <alignment horizontal="center" vertical="top"/>
    </xf>
    <xf numFmtId="0" fontId="0" fillId="10" borderId="0" xfId="0" applyFill="1" applyAlignment="1">
      <alignment horizontal="center" vertical="top"/>
    </xf>
    <xf numFmtId="0" fontId="0" fillId="10" borderId="0" xfId="0" applyFill="1" applyBorder="1" applyAlignment="1">
      <alignment vertical="top" wrapText="1"/>
    </xf>
    <xf numFmtId="0" fontId="0" fillId="4" borderId="0" xfId="0" applyFill="1" applyAlignment="1">
      <alignment horizontal="center" vertical="top"/>
    </xf>
    <xf numFmtId="0" fontId="63" fillId="10" borderId="0" xfId="0" applyFont="1" applyFill="1" applyBorder="1" applyAlignment="1">
      <alignment vertical="top"/>
    </xf>
    <xf numFmtId="0" fontId="63" fillId="0" borderId="0" xfId="0" applyFont="1" applyAlignment="1">
      <alignment vertical="top"/>
    </xf>
    <xf numFmtId="0" fontId="2" fillId="10" borderId="0" xfId="0" applyFont="1" applyFill="1" applyBorder="1" applyAlignment="1">
      <alignment vertical="top"/>
    </xf>
    <xf numFmtId="0" fontId="0" fillId="10" borderId="0" xfId="0" applyFill="1" applyAlignment="1">
      <alignment horizontal="right" vertical="top"/>
    </xf>
    <xf numFmtId="9" fontId="0" fillId="10" borderId="0" xfId="0" applyNumberFormat="1" applyFill="1" applyAlignment="1">
      <alignment horizontal="right" vertical="top"/>
    </xf>
    <xf numFmtId="0" fontId="59" fillId="0" borderId="0" xfId="0" applyFont="1" applyAlignment="1">
      <alignment vertical="top"/>
    </xf>
    <xf numFmtId="0" fontId="0" fillId="0" borderId="0" xfId="0" applyFill="1" applyBorder="1" applyAlignment="1">
      <alignment vertical="top"/>
    </xf>
    <xf numFmtId="0" fontId="2" fillId="4" borderId="0" xfId="0" applyFont="1" applyFill="1" applyBorder="1" applyAlignment="1">
      <alignment vertical="top"/>
    </xf>
    <xf numFmtId="0" fontId="5" fillId="16" borderId="0" xfId="0" applyFont="1" applyFill="1" applyBorder="1" applyAlignment="1">
      <alignment vertical="top"/>
    </xf>
    <xf numFmtId="0" fontId="0" fillId="0" borderId="0" xfId="0" applyBorder="1" applyAlignment="1">
      <alignment vertical="top" wrapText="1"/>
    </xf>
    <xf numFmtId="0" fontId="59" fillId="0" borderId="0" xfId="0" applyFont="1" applyBorder="1" applyAlignment="1">
      <alignment vertical="top"/>
    </xf>
    <xf numFmtId="0" fontId="61" fillId="16" borderId="0" xfId="0" applyFont="1" applyFill="1" applyAlignment="1">
      <alignment vertical="top"/>
    </xf>
    <xf numFmtId="0" fontId="0" fillId="16" borderId="0" xfId="0" applyFill="1" applyBorder="1" applyAlignment="1">
      <alignment vertical="top" wrapText="1"/>
    </xf>
    <xf numFmtId="0" fontId="2" fillId="4" borderId="0" xfId="0" applyFont="1" applyFill="1" applyBorder="1" applyAlignment="1">
      <alignment vertical="top"/>
    </xf>
    <xf numFmtId="0" fontId="2" fillId="4" borderId="0" xfId="0" applyFont="1" applyFill="1" applyBorder="1" applyAlignment="1">
      <alignment vertical="top" wrapText="1"/>
    </xf>
    <xf numFmtId="0" fontId="2" fillId="10" borderId="0" xfId="0" applyFont="1" applyFill="1" applyBorder="1" applyAlignment="1">
      <alignment horizontal="right" vertical="top"/>
    </xf>
    <xf numFmtId="1" fontId="2" fillId="10" borderId="0" xfId="0" applyNumberFormat="1" applyFont="1" applyFill="1" applyBorder="1" applyAlignment="1">
      <alignment horizontal="right" vertical="top"/>
    </xf>
    <xf numFmtId="0" fontId="3" fillId="10" borderId="0" xfId="0" applyFont="1" applyFill="1" applyBorder="1" applyAlignment="1">
      <alignment vertical="top"/>
    </xf>
    <xf numFmtId="9" fontId="2" fillId="10" borderId="0" xfId="0" applyNumberFormat="1" applyFont="1" applyFill="1" applyBorder="1" applyAlignment="1">
      <alignment horizontal="right" vertical="top"/>
    </xf>
    <xf numFmtId="0" fontId="2" fillId="4" borderId="0" xfId="0" applyFont="1" applyFill="1" applyBorder="1" applyAlignment="1">
      <alignment horizontal="right" vertical="top"/>
    </xf>
    <xf numFmtId="0" fontId="2" fillId="16" borderId="0" xfId="0" applyFont="1" applyFill="1" applyBorder="1" applyAlignment="1">
      <alignment vertical="top"/>
    </xf>
    <xf numFmtId="0" fontId="2" fillId="16" borderId="0" xfId="0" applyFont="1" applyFill="1" applyBorder="1" applyAlignment="1">
      <alignment vertical="top" wrapText="1"/>
    </xf>
    <xf numFmtId="0" fontId="58" fillId="16" borderId="0" xfId="0" applyFont="1" applyFill="1" applyAlignment="1">
      <alignment horizontal="center" vertical="top"/>
    </xf>
    <xf numFmtId="0" fontId="60" fillId="16" borderId="0" xfId="0" applyFont="1" applyFill="1" applyAlignment="1">
      <alignment vertical="top"/>
    </xf>
    <xf numFmtId="0" fontId="60" fillId="16" borderId="0" xfId="0" applyFont="1" applyFill="1" applyAlignment="1">
      <alignment vertical="top" wrapText="1"/>
    </xf>
    <xf numFmtId="0" fontId="63" fillId="33" borderId="0" xfId="0" applyFont="1" applyFill="1" applyAlignment="1">
      <alignment vertical="top"/>
    </xf>
    <xf numFmtId="0" fontId="0" fillId="33" borderId="0" xfId="0" applyFill="1" applyBorder="1" applyAlignment="1">
      <alignment vertical="top"/>
    </xf>
    <xf numFmtId="0" fontId="63" fillId="33" borderId="0" xfId="0" applyFont="1" applyFill="1" applyBorder="1" applyAlignment="1">
      <alignment vertical="top"/>
    </xf>
    <xf numFmtId="0" fontId="60" fillId="33" borderId="0" xfId="0" applyFont="1" applyFill="1" applyBorder="1" applyAlignment="1">
      <alignment vertical="top"/>
    </xf>
    <xf numFmtId="0" fontId="0" fillId="33" borderId="0" xfId="0" applyFont="1" applyFill="1" applyBorder="1" applyAlignment="1">
      <alignment vertical="top"/>
    </xf>
    <xf numFmtId="0" fontId="0" fillId="10" borderId="0" xfId="0" applyFill="1" applyBorder="1" applyAlignment="1">
      <alignment horizontal="center" vertical="top"/>
    </xf>
    <xf numFmtId="9" fontId="2" fillId="10" borderId="0" xfId="0" applyNumberFormat="1" applyFont="1" applyFill="1" applyBorder="1" applyAlignment="1">
      <alignment horizontal="center" vertical="top"/>
    </xf>
    <xf numFmtId="9" fontId="2" fillId="4" borderId="0" xfId="0" applyNumberFormat="1" applyFont="1" applyFill="1" applyBorder="1" applyAlignment="1">
      <alignment vertical="top"/>
    </xf>
    <xf numFmtId="3" fontId="0" fillId="10" borderId="0" xfId="0" applyNumberFormat="1" applyFill="1" applyAlignment="1">
      <alignment horizontal="center" vertical="top"/>
    </xf>
    <xf numFmtId="0" fontId="0" fillId="33" borderId="0" xfId="0" applyFill="1" applyAlignment="1">
      <alignment/>
    </xf>
    <xf numFmtId="0" fontId="59" fillId="0" borderId="0" xfId="0" applyFont="1" applyAlignment="1">
      <alignment/>
    </xf>
    <xf numFmtId="0" fontId="63" fillId="16" borderId="0" xfId="0" applyFont="1" applyFill="1" applyBorder="1" applyAlignment="1">
      <alignment vertical="top"/>
    </xf>
    <xf numFmtId="0" fontId="58" fillId="16" borderId="0" xfId="0" applyFont="1" applyFill="1" applyBorder="1" applyAlignment="1">
      <alignment horizontal="center" vertical="top"/>
    </xf>
    <xf numFmtId="0" fontId="0" fillId="10" borderId="0" xfId="0" applyFill="1" applyAlignment="1">
      <alignment vertical="top" wrapText="1"/>
    </xf>
    <xf numFmtId="0" fontId="0" fillId="0" borderId="0" xfId="0" applyAlignment="1">
      <alignment vertical="top" wrapText="1"/>
    </xf>
    <xf numFmtId="0" fontId="58" fillId="16" borderId="0" xfId="0" applyFont="1" applyFill="1" applyAlignment="1">
      <alignment vertical="top" wrapText="1"/>
    </xf>
    <xf numFmtId="0" fontId="0" fillId="0" borderId="0" xfId="0" applyFill="1" applyAlignment="1">
      <alignment vertical="top" wrapText="1"/>
    </xf>
    <xf numFmtId="0" fontId="0" fillId="0" borderId="0" xfId="0" applyFill="1" applyAlignment="1">
      <alignment horizontal="right" vertical="top"/>
    </xf>
    <xf numFmtId="9" fontId="0" fillId="0" borderId="0" xfId="0" applyNumberFormat="1" applyFill="1" applyAlignment="1">
      <alignment horizontal="right" vertical="top"/>
    </xf>
    <xf numFmtId="0" fontId="58" fillId="16" borderId="0" xfId="0" applyFont="1" applyFill="1" applyAlignment="1">
      <alignment vertical="top"/>
    </xf>
    <xf numFmtId="0" fontId="0" fillId="10" borderId="0" xfId="0" applyFill="1" applyAlignment="1">
      <alignment vertical="top" wrapText="1"/>
    </xf>
    <xf numFmtId="0" fontId="2" fillId="10" borderId="0" xfId="0" applyFont="1" applyFill="1" applyAlignment="1">
      <alignment vertical="top"/>
    </xf>
    <xf numFmtId="0" fontId="2" fillId="10" borderId="0" xfId="0" applyFont="1" applyFill="1" applyAlignment="1">
      <alignment horizontal="center" vertical="top"/>
    </xf>
    <xf numFmtId="2" fontId="2" fillId="10" borderId="0" xfId="0" applyNumberFormat="1" applyFont="1" applyFill="1" applyAlignment="1">
      <alignment horizontal="center" vertical="top"/>
    </xf>
    <xf numFmtId="0" fontId="2" fillId="10" borderId="0" xfId="0" applyFont="1" applyFill="1" applyAlignment="1">
      <alignment vertical="top" wrapText="1"/>
    </xf>
    <xf numFmtId="0" fontId="2" fillId="0" borderId="0" xfId="0" applyFont="1" applyAlignment="1">
      <alignment/>
    </xf>
    <xf numFmtId="0" fontId="59" fillId="4" borderId="0" xfId="0" applyFont="1" applyFill="1" applyAlignment="1">
      <alignment vertical="top"/>
    </xf>
    <xf numFmtId="1" fontId="59" fillId="4" borderId="0" xfId="0" applyNumberFormat="1" applyFont="1" applyFill="1" applyAlignment="1">
      <alignment horizontal="center" vertical="top"/>
    </xf>
    <xf numFmtId="0" fontId="2" fillId="0" borderId="0" xfId="0" applyFont="1" applyAlignment="1">
      <alignment vertical="top"/>
    </xf>
    <xf numFmtId="0" fontId="6" fillId="0" borderId="0" xfId="0" applyFont="1" applyAlignment="1">
      <alignment vertical="top"/>
    </xf>
    <xf numFmtId="0" fontId="2" fillId="0" borderId="0" xfId="0" applyFont="1" applyAlignment="1">
      <alignment vertical="top" wrapText="1"/>
    </xf>
    <xf numFmtId="0" fontId="7" fillId="0" borderId="0" xfId="0" applyFont="1" applyAlignment="1">
      <alignment vertical="top"/>
    </xf>
    <xf numFmtId="0" fontId="2" fillId="16" borderId="0" xfId="0" applyFont="1" applyFill="1" applyAlignment="1">
      <alignment vertical="top" wrapText="1"/>
    </xf>
    <xf numFmtId="0" fontId="5" fillId="16" borderId="0" xfId="0" applyFont="1" applyFill="1" applyAlignment="1">
      <alignment horizontal="right" vertical="top"/>
    </xf>
    <xf numFmtId="0" fontId="2" fillId="16" borderId="0" xfId="0" applyFont="1" applyFill="1" applyAlignment="1">
      <alignment vertical="top"/>
    </xf>
    <xf numFmtId="0" fontId="2" fillId="10" borderId="0" xfId="0" applyFont="1" applyFill="1" applyAlignment="1">
      <alignment vertical="top" wrapText="1"/>
    </xf>
    <xf numFmtId="0" fontId="5" fillId="10" borderId="0" xfId="0" applyFont="1" applyFill="1" applyAlignment="1">
      <alignment horizontal="right" vertical="top"/>
    </xf>
    <xf numFmtId="9" fontId="2" fillId="10" borderId="0" xfId="0" applyNumberFormat="1" applyFont="1" applyFill="1" applyAlignment="1">
      <alignment horizontal="right" vertical="top"/>
    </xf>
    <xf numFmtId="0" fontId="2" fillId="10" borderId="0" xfId="0" applyFont="1" applyFill="1" applyAlignment="1">
      <alignment vertical="top"/>
    </xf>
    <xf numFmtId="9" fontId="2" fillId="10" borderId="0" xfId="0" applyNumberFormat="1" applyFont="1" applyFill="1" applyAlignment="1">
      <alignment vertical="top"/>
    </xf>
    <xf numFmtId="0" fontId="2" fillId="0" borderId="0" xfId="0" applyFont="1" applyFill="1" applyAlignment="1">
      <alignment vertical="top" wrapText="1"/>
    </xf>
    <xf numFmtId="0" fontId="2" fillId="0" borderId="0" xfId="0" applyFont="1" applyFill="1" applyAlignment="1">
      <alignment vertical="top"/>
    </xf>
    <xf numFmtId="0" fontId="5" fillId="16" borderId="0" xfId="0" applyFont="1" applyFill="1" applyAlignment="1">
      <alignment vertical="top" wrapText="1"/>
    </xf>
    <xf numFmtId="1" fontId="2" fillId="10" borderId="0" xfId="0" applyNumberFormat="1" applyFont="1" applyFill="1" applyAlignment="1">
      <alignment vertical="top"/>
    </xf>
    <xf numFmtId="0" fontId="2" fillId="34" borderId="0" xfId="0" applyFont="1" applyFill="1" applyAlignment="1">
      <alignment vertical="top" wrapText="1"/>
    </xf>
    <xf numFmtId="0" fontId="2" fillId="0" borderId="0" xfId="0" applyFont="1" applyBorder="1" applyAlignment="1">
      <alignment vertical="top"/>
    </xf>
    <xf numFmtId="9" fontId="2" fillId="0" borderId="0" xfId="0" applyNumberFormat="1" applyFont="1" applyFill="1" applyAlignment="1">
      <alignment vertical="top"/>
    </xf>
    <xf numFmtId="0" fontId="2" fillId="10" borderId="0" xfId="0" applyFont="1" applyFill="1" applyAlignment="1">
      <alignment horizontal="right" vertical="top"/>
    </xf>
    <xf numFmtId="164" fontId="2" fillId="10" borderId="0" xfId="0" applyNumberFormat="1" applyFont="1" applyFill="1" applyAlignment="1">
      <alignment vertical="top"/>
    </xf>
    <xf numFmtId="0" fontId="2" fillId="16" borderId="0" xfId="0" applyFont="1" applyFill="1" applyAlignment="1">
      <alignment horizontal="right" vertical="top"/>
    </xf>
    <xf numFmtId="9" fontId="2" fillId="10" borderId="0" xfId="0" applyNumberFormat="1" applyFont="1" applyFill="1" applyAlignment="1">
      <alignment vertical="top" wrapText="1"/>
    </xf>
    <xf numFmtId="164" fontId="2" fillId="10" borderId="0" xfId="0" applyNumberFormat="1" applyFont="1" applyFill="1" applyAlignment="1">
      <alignment vertical="top" wrapText="1"/>
    </xf>
    <xf numFmtId="0" fontId="2" fillId="4" borderId="0" xfId="0" applyFont="1" applyFill="1" applyAlignment="1">
      <alignment vertical="top" wrapText="1"/>
    </xf>
    <xf numFmtId="9" fontId="2" fillId="4" borderId="0" xfId="0" applyNumberFormat="1" applyFont="1" applyFill="1" applyAlignment="1">
      <alignment vertical="top" wrapText="1"/>
    </xf>
    <xf numFmtId="0" fontId="2" fillId="4" borderId="0" xfId="0" applyFont="1" applyFill="1" applyAlignment="1">
      <alignment vertical="top"/>
    </xf>
    <xf numFmtId="164" fontId="2" fillId="4" borderId="0" xfId="0" applyNumberFormat="1" applyFont="1" applyFill="1" applyAlignment="1">
      <alignment vertical="top" wrapText="1"/>
    </xf>
    <xf numFmtId="164" fontId="2" fillId="0" borderId="0" xfId="0" applyNumberFormat="1" applyFont="1" applyFill="1" applyAlignment="1">
      <alignment vertical="top" wrapText="1"/>
    </xf>
    <xf numFmtId="164" fontId="2" fillId="16" borderId="0" xfId="0" applyNumberFormat="1" applyFont="1" applyFill="1" applyAlignment="1">
      <alignment vertical="top" wrapText="1"/>
    </xf>
    <xf numFmtId="1" fontId="2" fillId="4" borderId="0" xfId="0" applyNumberFormat="1" applyFont="1" applyFill="1" applyAlignment="1">
      <alignment vertical="top" wrapText="1"/>
    </xf>
    <xf numFmtId="1" fontId="2" fillId="4" borderId="0" xfId="0" applyNumberFormat="1" applyFont="1" applyFill="1" applyAlignment="1">
      <alignment horizontal="right" vertical="top"/>
    </xf>
    <xf numFmtId="9" fontId="2" fillId="4" borderId="0" xfId="0" applyNumberFormat="1" applyFont="1" applyFill="1" applyAlignment="1">
      <alignment horizontal="right" vertical="top"/>
    </xf>
    <xf numFmtId="0" fontId="2" fillId="0" borderId="0" xfId="0" applyFont="1" applyFill="1" applyAlignment="1">
      <alignment horizontal="right" vertical="top"/>
    </xf>
    <xf numFmtId="0" fontId="5" fillId="16" borderId="0" xfId="0" applyFont="1" applyFill="1" applyAlignment="1">
      <alignment vertical="top"/>
    </xf>
    <xf numFmtId="164" fontId="2" fillId="10" borderId="0" xfId="0" applyNumberFormat="1" applyFont="1" applyFill="1" applyAlignment="1">
      <alignment horizontal="right" vertical="top"/>
    </xf>
    <xf numFmtId="164" fontId="2" fillId="4" borderId="0" xfId="0" applyNumberFormat="1" applyFont="1" applyFill="1" applyAlignment="1">
      <alignment vertical="top"/>
    </xf>
    <xf numFmtId="0" fontId="59" fillId="0" borderId="0" xfId="0" applyFont="1" applyFill="1" applyBorder="1" applyAlignment="1">
      <alignment vertical="top"/>
    </xf>
    <xf numFmtId="0" fontId="59" fillId="0" borderId="0" xfId="0" applyFont="1" applyBorder="1" applyAlignment="1">
      <alignment vertical="top"/>
    </xf>
    <xf numFmtId="0" fontId="0" fillId="33" borderId="0" xfId="0" applyFont="1" applyFill="1" applyAlignment="1">
      <alignment vertical="top"/>
    </xf>
    <xf numFmtId="0" fontId="63" fillId="33" borderId="0" xfId="0" applyFont="1" applyFill="1" applyAlignment="1">
      <alignment vertical="top"/>
    </xf>
    <xf numFmtId="0" fontId="0" fillId="33" borderId="0" xfId="0" applyFont="1" applyFill="1" applyAlignment="1">
      <alignment horizontal="center" vertical="top"/>
    </xf>
    <xf numFmtId="0" fontId="60" fillId="33" borderId="0" xfId="0" applyFont="1" applyFill="1" applyAlignment="1">
      <alignment vertical="top"/>
    </xf>
    <xf numFmtId="0" fontId="0" fillId="0" borderId="0" xfId="0" applyFont="1" applyBorder="1" applyAlignment="1">
      <alignment vertical="top"/>
    </xf>
    <xf numFmtId="0" fontId="0" fillId="0" borderId="0" xfId="0" applyFont="1" applyAlignment="1">
      <alignment horizontal="center" vertical="top"/>
    </xf>
    <xf numFmtId="0" fontId="0" fillId="0" borderId="10" xfId="0" applyFont="1" applyBorder="1" applyAlignment="1">
      <alignment vertical="top"/>
    </xf>
    <xf numFmtId="0" fontId="59" fillId="0" borderId="0" xfId="0" applyFont="1" applyAlignment="1">
      <alignment vertical="top"/>
    </xf>
    <xf numFmtId="0" fontId="59" fillId="33" borderId="0" xfId="0" applyFont="1" applyFill="1" applyAlignment="1">
      <alignment vertical="top"/>
    </xf>
    <xf numFmtId="0" fontId="59" fillId="4" borderId="0" xfId="0" applyFont="1" applyFill="1" applyBorder="1" applyAlignment="1">
      <alignment vertical="top"/>
    </xf>
    <xf numFmtId="0" fontId="2" fillId="4" borderId="0" xfId="0" applyFont="1" applyFill="1" applyBorder="1" applyAlignment="1">
      <alignment horizontal="left" vertical="top" wrapText="1"/>
    </xf>
    <xf numFmtId="0" fontId="6" fillId="4" borderId="0" xfId="0" applyFont="1" applyFill="1" applyAlignment="1">
      <alignment vertical="top"/>
    </xf>
    <xf numFmtId="0" fontId="59" fillId="0" borderId="0" xfId="0" applyFont="1" applyFill="1" applyAlignment="1">
      <alignment vertical="top"/>
    </xf>
    <xf numFmtId="0" fontId="59" fillId="0" borderId="0" xfId="0" applyFont="1" applyAlignment="1">
      <alignment/>
    </xf>
    <xf numFmtId="0" fontId="59" fillId="0" borderId="0" xfId="0" applyFont="1" applyFill="1" applyAlignment="1">
      <alignment vertical="top"/>
    </xf>
    <xf numFmtId="0" fontId="2" fillId="16" borderId="0" xfId="0" applyFont="1" applyFill="1" applyBorder="1" applyAlignment="1">
      <alignment horizontal="center" vertical="top"/>
    </xf>
    <xf numFmtId="0" fontId="2" fillId="16" borderId="0" xfId="0" applyFont="1" applyFill="1" applyAlignment="1">
      <alignment horizontal="center" vertical="top"/>
    </xf>
    <xf numFmtId="0" fontId="2" fillId="16" borderId="0" xfId="0" applyFont="1" applyFill="1" applyAlignment="1">
      <alignment vertical="top"/>
    </xf>
    <xf numFmtId="0" fontId="2" fillId="16" borderId="0" xfId="0" applyFont="1" applyFill="1" applyAlignment="1">
      <alignment vertical="top" wrapText="1"/>
    </xf>
    <xf numFmtId="3" fontId="2" fillId="10" borderId="0" xfId="0" applyNumberFormat="1" applyFont="1" applyFill="1" applyAlignment="1">
      <alignment horizontal="center" vertical="top"/>
    </xf>
    <xf numFmtId="0" fontId="2" fillId="10" borderId="0" xfId="0" applyFont="1" applyFill="1" applyBorder="1" applyAlignment="1">
      <alignment vertical="top"/>
    </xf>
    <xf numFmtId="0" fontId="2" fillId="4" borderId="0" xfId="0" applyFont="1" applyFill="1" applyAlignment="1">
      <alignment vertical="top"/>
    </xf>
    <xf numFmtId="3" fontId="2" fillId="4" borderId="0" xfId="0" applyNumberFormat="1" applyFont="1" applyFill="1" applyAlignment="1">
      <alignment horizontal="center" vertical="top"/>
    </xf>
    <xf numFmtId="0" fontId="2" fillId="4" borderId="0" xfId="0" applyFont="1" applyFill="1" applyAlignment="1">
      <alignment vertical="top" wrapText="1"/>
    </xf>
    <xf numFmtId="0" fontId="2" fillId="33" borderId="0" xfId="0" applyFont="1" applyFill="1" applyAlignment="1">
      <alignment vertical="top" wrapText="1"/>
    </xf>
    <xf numFmtId="0" fontId="2" fillId="33" borderId="0" xfId="0" applyFont="1" applyFill="1" applyAlignment="1">
      <alignment horizontal="center" vertical="top"/>
    </xf>
    <xf numFmtId="0" fontId="2" fillId="33" borderId="0" xfId="0" applyFont="1" applyFill="1" applyAlignment="1">
      <alignment vertical="top"/>
    </xf>
    <xf numFmtId="0" fontId="8" fillId="33" borderId="0" xfId="0" applyFont="1" applyFill="1" applyAlignment="1">
      <alignment vertical="top"/>
    </xf>
    <xf numFmtId="1" fontId="2" fillId="4" borderId="0" xfId="0" applyNumberFormat="1" applyFont="1" applyFill="1" applyAlignment="1">
      <alignment horizontal="center" vertical="top"/>
    </xf>
    <xf numFmtId="0" fontId="2" fillId="10" borderId="0" xfId="52" applyFont="1" applyFill="1" applyAlignment="1">
      <alignment vertical="top" wrapText="1"/>
    </xf>
    <xf numFmtId="0" fontId="0" fillId="0" borderId="0" xfId="0" applyBorder="1" applyAlignment="1">
      <alignment vertical="top" wrapText="1"/>
    </xf>
    <xf numFmtId="0" fontId="0" fillId="0" borderId="0" xfId="0" applyFill="1" applyAlignment="1">
      <alignment/>
    </xf>
    <xf numFmtId="0" fontId="0" fillId="0" borderId="0" xfId="0" applyBorder="1" applyAlignment="1">
      <alignment vertical="top" wrapText="1"/>
    </xf>
    <xf numFmtId="0" fontId="0" fillId="0" borderId="11" xfId="0" applyFont="1" applyBorder="1" applyAlignment="1">
      <alignment vertical="top"/>
    </xf>
    <xf numFmtId="0" fontId="0" fillId="33" borderId="0" xfId="0" applyFill="1" applyAlignment="1">
      <alignment vertical="center"/>
    </xf>
    <xf numFmtId="0" fontId="9" fillId="33" borderId="0" xfId="0" applyFont="1" applyFill="1" applyAlignment="1">
      <alignment vertical="center"/>
    </xf>
    <xf numFmtId="0" fontId="0" fillId="33" borderId="0" xfId="0" applyFill="1" applyAlignment="1">
      <alignment horizontal="center"/>
    </xf>
    <xf numFmtId="0" fontId="64" fillId="33" borderId="0" xfId="0" applyFont="1" applyFill="1" applyAlignment="1" applyProtection="1">
      <alignment horizontal="left" vertical="top"/>
      <protection locked="0"/>
    </xf>
    <xf numFmtId="0" fontId="65" fillId="33" borderId="0" xfId="0" applyFont="1" applyFill="1" applyAlignment="1">
      <alignment horizontal="left"/>
    </xf>
    <xf numFmtId="0" fontId="0" fillId="35" borderId="0" xfId="0" applyFill="1" applyAlignment="1">
      <alignment vertical="center"/>
    </xf>
    <xf numFmtId="0" fontId="8" fillId="35" borderId="0" xfId="0" applyFont="1" applyFill="1" applyBorder="1" applyAlignment="1">
      <alignment vertical="center"/>
    </xf>
    <xf numFmtId="0" fontId="10" fillId="35" borderId="0" xfId="0" applyFont="1" applyFill="1" applyAlignment="1">
      <alignment vertical="center"/>
    </xf>
    <xf numFmtId="0" fontId="4" fillId="35" borderId="0" xfId="0" applyFont="1" applyFill="1" applyAlignment="1">
      <alignment vertical="center"/>
    </xf>
    <xf numFmtId="0" fontId="66" fillId="35" borderId="0" xfId="0" applyFont="1" applyFill="1" applyAlignment="1">
      <alignment vertical="center"/>
    </xf>
    <xf numFmtId="0" fontId="0" fillId="36" borderId="0" xfId="0" applyFill="1" applyAlignment="1">
      <alignment vertical="center"/>
    </xf>
    <xf numFmtId="0" fontId="11" fillId="36" borderId="0" xfId="0" applyFont="1" applyFill="1" applyBorder="1" applyAlignment="1" applyProtection="1">
      <alignment vertical="center"/>
      <protection/>
    </xf>
    <xf numFmtId="0" fontId="11" fillId="36" borderId="0" xfId="0" applyFont="1" applyFill="1" applyAlignment="1">
      <alignment vertical="center"/>
    </xf>
    <xf numFmtId="0" fontId="4" fillId="36" borderId="0" xfId="0" applyFont="1" applyFill="1" applyBorder="1" applyAlignment="1">
      <alignment vertical="center"/>
    </xf>
    <xf numFmtId="0" fontId="4" fillId="36" borderId="0" xfId="0" applyFont="1" applyFill="1" applyAlignment="1">
      <alignment vertical="center"/>
    </xf>
    <xf numFmtId="0" fontId="66" fillId="36" borderId="0" xfId="0" applyFont="1" applyFill="1" applyAlignment="1">
      <alignment vertical="center"/>
    </xf>
    <xf numFmtId="0" fontId="0" fillId="33" borderId="0" xfId="0" applyFill="1" applyAlignment="1">
      <alignment/>
    </xf>
    <xf numFmtId="0" fontId="0" fillId="33" borderId="0" xfId="0" applyFill="1" applyAlignment="1">
      <alignment vertical="center" wrapText="1"/>
    </xf>
    <xf numFmtId="0" fontId="0" fillId="0" borderId="0" xfId="0" applyAlignment="1">
      <alignment wrapText="1"/>
    </xf>
    <xf numFmtId="0" fontId="59" fillId="8" borderId="0" xfId="0" applyFont="1" applyFill="1" applyAlignment="1">
      <alignment vertical="top"/>
    </xf>
    <xf numFmtId="0" fontId="0" fillId="0" borderId="0" xfId="0" applyAlignment="1">
      <alignment vertical="top" wrapText="1"/>
    </xf>
    <xf numFmtId="0" fontId="0" fillId="0" borderId="0" xfId="0" applyAlignment="1">
      <alignment vertical="top"/>
    </xf>
    <xf numFmtId="0" fontId="0" fillId="0" borderId="0" xfId="0" applyBorder="1" applyAlignment="1">
      <alignment vertical="top" wrapText="1"/>
    </xf>
    <xf numFmtId="0" fontId="0" fillId="10" borderId="0" xfId="0" applyFill="1" applyAlignment="1">
      <alignment vertical="top" wrapText="1"/>
    </xf>
    <xf numFmtId="0" fontId="0" fillId="0" borderId="0" xfId="0" applyAlignment="1">
      <alignment vertical="top" wrapText="1"/>
    </xf>
    <xf numFmtId="0" fontId="59" fillId="4" borderId="0" xfId="0" applyFont="1" applyFill="1" applyAlignment="1">
      <alignment vertical="top" wrapText="1"/>
    </xf>
    <xf numFmtId="167" fontId="2" fillId="4" borderId="0" xfId="0" applyNumberFormat="1" applyFont="1" applyFill="1" applyBorder="1" applyAlignment="1">
      <alignment horizontal="right" vertical="top"/>
    </xf>
    <xf numFmtId="0" fontId="7" fillId="37" borderId="0" xfId="0" applyFont="1" applyFill="1" applyAlignment="1">
      <alignment vertical="top"/>
    </xf>
    <xf numFmtId="0" fontId="2" fillId="37" borderId="0" xfId="0" applyFont="1" applyFill="1" applyAlignment="1">
      <alignment vertical="top"/>
    </xf>
    <xf numFmtId="0" fontId="2" fillId="37" borderId="0" xfId="0" applyFont="1" applyFill="1" applyAlignment="1">
      <alignment vertical="top" wrapText="1"/>
    </xf>
    <xf numFmtId="0" fontId="2" fillId="37" borderId="0" xfId="0" applyFont="1" applyFill="1" applyAlignment="1">
      <alignment vertical="top" wrapText="1"/>
    </xf>
    <xf numFmtId="0" fontId="67" fillId="0" borderId="0" xfId="0" applyFont="1" applyAlignment="1">
      <alignment vertical="top" wrapText="1"/>
    </xf>
    <xf numFmtId="0" fontId="60" fillId="37" borderId="0" xfId="0" applyFont="1" applyFill="1" applyBorder="1" applyAlignment="1">
      <alignment vertical="top"/>
    </xf>
    <xf numFmtId="0" fontId="0" fillId="37" borderId="0" xfId="0" applyFill="1" applyBorder="1" applyAlignment="1">
      <alignment vertical="top"/>
    </xf>
    <xf numFmtId="0" fontId="60" fillId="37" borderId="0" xfId="0" applyFont="1" applyFill="1" applyAlignment="1">
      <alignment vertical="top"/>
    </xf>
    <xf numFmtId="0" fontId="0" fillId="37" borderId="0" xfId="0" applyFill="1" applyAlignment="1">
      <alignment vertical="top"/>
    </xf>
    <xf numFmtId="0" fontId="0" fillId="37" borderId="0" xfId="0" applyFill="1" applyAlignment="1">
      <alignment vertical="top" wrapText="1"/>
    </xf>
    <xf numFmtId="0" fontId="0" fillId="37" borderId="0" xfId="0" applyFill="1" applyAlignment="1">
      <alignment vertical="top"/>
    </xf>
    <xf numFmtId="0" fontId="60" fillId="37" borderId="0" xfId="0" applyFont="1" applyFill="1" applyAlignment="1">
      <alignment vertical="top" wrapText="1"/>
    </xf>
    <xf numFmtId="0" fontId="0" fillId="37" borderId="0" xfId="0" applyFill="1" applyAlignment="1">
      <alignment horizontal="left" vertical="top" wrapText="1"/>
    </xf>
    <xf numFmtId="0" fontId="68" fillId="37" borderId="0" xfId="0" applyFont="1" applyFill="1" applyAlignment="1">
      <alignment vertical="top"/>
    </xf>
    <xf numFmtId="0" fontId="0" fillId="37" borderId="0" xfId="0" applyFill="1" applyAlignment="1">
      <alignment horizontal="center" vertical="top"/>
    </xf>
    <xf numFmtId="0" fontId="62" fillId="37" borderId="0" xfId="0" applyFont="1" applyFill="1" applyBorder="1" applyAlignment="1">
      <alignment vertical="top"/>
    </xf>
    <xf numFmtId="0" fontId="0" fillId="37" borderId="0" xfId="0" applyFill="1" applyBorder="1" applyAlignment="1">
      <alignment horizontal="center" vertical="top"/>
    </xf>
    <xf numFmtId="0" fontId="0" fillId="37" borderId="0" xfId="0" applyFill="1" applyBorder="1" applyAlignment="1">
      <alignment vertical="top" wrapText="1"/>
    </xf>
    <xf numFmtId="0" fontId="0" fillId="37" borderId="0" xfId="0" applyFill="1" applyBorder="1" applyAlignment="1">
      <alignment/>
    </xf>
    <xf numFmtId="0" fontId="4" fillId="33" borderId="0" xfId="0" applyFont="1" applyFill="1" applyAlignment="1">
      <alignment vertical="center" wrapText="1"/>
    </xf>
    <xf numFmtId="0" fontId="69" fillId="0" borderId="0" xfId="0" applyFont="1" applyAlignment="1">
      <alignment/>
    </xf>
    <xf numFmtId="0" fontId="2" fillId="33" borderId="0" xfId="0" applyFont="1" applyFill="1" applyAlignment="1">
      <alignment/>
    </xf>
    <xf numFmtId="0" fontId="59" fillId="33" borderId="0" xfId="0" applyFont="1" applyFill="1" applyAlignment="1">
      <alignment/>
    </xf>
    <xf numFmtId="0" fontId="69" fillId="33" borderId="0" xfId="0" applyFont="1" applyFill="1" applyAlignment="1">
      <alignment/>
    </xf>
    <xf numFmtId="0" fontId="2" fillId="38" borderId="12" xfId="0" applyFont="1" applyFill="1" applyBorder="1" applyAlignment="1">
      <alignment vertical="top" wrapText="1"/>
    </xf>
    <xf numFmtId="9" fontId="2" fillId="8" borderId="13" xfId="0" applyNumberFormat="1" applyFont="1" applyFill="1" applyBorder="1" applyAlignment="1">
      <alignment horizontal="center" vertical="top"/>
    </xf>
    <xf numFmtId="2" fontId="2" fillId="38" borderId="11" xfId="0" applyNumberFormat="1" applyFont="1" applyFill="1" applyBorder="1" applyAlignment="1">
      <alignment horizontal="center" vertical="top"/>
    </xf>
    <xf numFmtId="2" fontId="2" fillId="38" borderId="14" xfId="0" applyNumberFormat="1" applyFont="1" applyFill="1" applyBorder="1" applyAlignment="1">
      <alignment horizontal="center" vertical="top"/>
    </xf>
    <xf numFmtId="2" fontId="2" fillId="38" borderId="15" xfId="0" applyNumberFormat="1" applyFont="1" applyFill="1" applyBorder="1" applyAlignment="1">
      <alignment horizontal="center" vertical="top"/>
    </xf>
    <xf numFmtId="3" fontId="2" fillId="38" borderId="0" xfId="0" applyNumberFormat="1" applyFont="1" applyFill="1" applyBorder="1" applyAlignment="1">
      <alignment horizontal="center" vertical="top"/>
    </xf>
    <xf numFmtId="0" fontId="2" fillId="0" borderId="0" xfId="0" applyFont="1" applyAlignment="1" quotePrefix="1">
      <alignment vertical="top"/>
    </xf>
    <xf numFmtId="0" fontId="61" fillId="16" borderId="0" xfId="0" applyFont="1" applyFill="1" applyAlignment="1">
      <alignment vertical="top" wrapText="1"/>
    </xf>
    <xf numFmtId="0" fontId="61" fillId="0" borderId="0" xfId="0" applyFont="1" applyAlignment="1">
      <alignment vertical="top"/>
    </xf>
    <xf numFmtId="3" fontId="2" fillId="38" borderId="0" xfId="0" applyNumberFormat="1" applyFont="1" applyFill="1" applyAlignment="1">
      <alignment horizontal="center" vertical="top"/>
    </xf>
    <xf numFmtId="0" fontId="59" fillId="33" borderId="0" xfId="0" applyFont="1" applyFill="1" applyBorder="1" applyAlignment="1">
      <alignment vertical="top"/>
    </xf>
    <xf numFmtId="0" fontId="59" fillId="33" borderId="0" xfId="0" applyFont="1" applyFill="1" applyBorder="1" applyAlignment="1">
      <alignment vertical="top"/>
    </xf>
    <xf numFmtId="0" fontId="70" fillId="33" borderId="0" xfId="0" applyFont="1" applyFill="1" applyBorder="1" applyAlignment="1">
      <alignment vertical="top"/>
    </xf>
    <xf numFmtId="0" fontId="2" fillId="33" borderId="0" xfId="0" applyFont="1" applyFill="1" applyBorder="1" applyAlignment="1">
      <alignment vertical="top"/>
    </xf>
    <xf numFmtId="0" fontId="2" fillId="10" borderId="0" xfId="0" applyFont="1" applyFill="1" applyAlignment="1">
      <alignment horizontal="right" vertical="top"/>
    </xf>
    <xf numFmtId="1" fontId="2" fillId="10" borderId="0" xfId="0" applyNumberFormat="1" applyFont="1" applyFill="1" applyAlignment="1">
      <alignment horizontal="right" vertical="top"/>
    </xf>
    <xf numFmtId="0" fontId="0" fillId="33" borderId="0" xfId="0" applyFill="1" applyAlignment="1">
      <alignment wrapText="1"/>
    </xf>
    <xf numFmtId="0" fontId="2" fillId="33" borderId="0" xfId="0" applyFont="1" applyFill="1" applyAlignment="1">
      <alignment vertical="top"/>
    </xf>
    <xf numFmtId="0" fontId="2" fillId="33" borderId="0" xfId="0" applyFont="1" applyFill="1" applyAlignment="1">
      <alignment horizontal="center" vertical="top"/>
    </xf>
    <xf numFmtId="3" fontId="2" fillId="33" borderId="0" xfId="0" applyNumberFormat="1" applyFont="1" applyFill="1" applyAlignment="1">
      <alignment horizontal="left" vertical="top"/>
    </xf>
    <xf numFmtId="0" fontId="2" fillId="33" borderId="0" xfId="0" applyFont="1" applyFill="1" applyAlignment="1">
      <alignment horizontal="left" vertical="top"/>
    </xf>
    <xf numFmtId="3" fontId="2" fillId="33" borderId="0" xfId="0" applyNumberFormat="1" applyFont="1" applyFill="1" applyAlignment="1">
      <alignment vertical="top"/>
    </xf>
    <xf numFmtId="0" fontId="2" fillId="39" borderId="16" xfId="0" applyFont="1" applyFill="1" applyBorder="1" applyAlignment="1">
      <alignment vertical="top"/>
    </xf>
    <xf numFmtId="0" fontId="2" fillId="33" borderId="17" xfId="0" applyFont="1" applyFill="1" applyBorder="1" applyAlignment="1">
      <alignment vertical="top"/>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33" borderId="12" xfId="0" applyFont="1" applyFill="1" applyBorder="1" applyAlignment="1">
      <alignment vertical="top" wrapText="1"/>
    </xf>
    <xf numFmtId="3" fontId="2" fillId="0" borderId="0" xfId="0" applyNumberFormat="1" applyFont="1" applyAlignment="1">
      <alignment horizontal="center" vertical="top"/>
    </xf>
    <xf numFmtId="9" fontId="2" fillId="0" borderId="13" xfId="0" applyNumberFormat="1" applyFont="1" applyBorder="1" applyAlignment="1">
      <alignment horizontal="center" vertical="top"/>
    </xf>
    <xf numFmtId="2" fontId="2" fillId="0" borderId="11" xfId="0" applyNumberFormat="1" applyFont="1" applyBorder="1" applyAlignment="1">
      <alignment horizontal="center" vertical="top"/>
    </xf>
    <xf numFmtId="2" fontId="2" fillId="0" borderId="14" xfId="0" applyNumberFormat="1" applyFont="1" applyFill="1" applyBorder="1" applyAlignment="1">
      <alignment horizontal="center" vertical="top"/>
    </xf>
    <xf numFmtId="2" fontId="2" fillId="0" borderId="15" xfId="0" applyNumberFormat="1" applyFont="1" applyFill="1" applyBorder="1" applyAlignment="1">
      <alignment horizontal="center" vertical="top"/>
    </xf>
    <xf numFmtId="3" fontId="2" fillId="0" borderId="0" xfId="0" applyNumberFormat="1" applyFont="1" applyBorder="1" applyAlignment="1">
      <alignment horizontal="center" vertical="top"/>
    </xf>
    <xf numFmtId="0" fontId="2" fillId="0" borderId="12" xfId="0" applyFont="1" applyFill="1" applyBorder="1" applyAlignment="1">
      <alignment vertical="top" wrapText="1"/>
    </xf>
    <xf numFmtId="3" fontId="2" fillId="0" borderId="0" xfId="0" applyNumberFormat="1" applyFont="1" applyFill="1" applyAlignment="1">
      <alignment horizontal="center" vertical="top"/>
    </xf>
    <xf numFmtId="9" fontId="2" fillId="0" borderId="13" xfId="0" applyNumberFormat="1" applyFont="1" applyFill="1" applyBorder="1" applyAlignment="1">
      <alignment horizontal="center" vertical="top"/>
    </xf>
    <xf numFmtId="2" fontId="2" fillId="0" borderId="11"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0" fontId="2" fillId="8" borderId="12" xfId="0" applyFont="1" applyFill="1" applyBorder="1" applyAlignment="1">
      <alignment vertical="top" wrapText="1"/>
    </xf>
    <xf numFmtId="3" fontId="2" fillId="8" borderId="0" xfId="0" applyNumberFormat="1" applyFont="1" applyFill="1" applyAlignment="1">
      <alignment horizontal="center" vertical="top"/>
    </xf>
    <xf numFmtId="2" fontId="2" fillId="8" borderId="11" xfId="0" applyNumberFormat="1" applyFont="1" applyFill="1" applyBorder="1" applyAlignment="1">
      <alignment horizontal="center" vertical="top"/>
    </xf>
    <xf numFmtId="2" fontId="2" fillId="8" borderId="14" xfId="0" applyNumberFormat="1" applyFont="1" applyFill="1" applyBorder="1" applyAlignment="1">
      <alignment horizontal="center" vertical="top"/>
    </xf>
    <xf numFmtId="2" fontId="2" fillId="8" borderId="15" xfId="0" applyNumberFormat="1" applyFont="1" applyFill="1" applyBorder="1" applyAlignment="1">
      <alignment horizontal="center" vertical="top"/>
    </xf>
    <xf numFmtId="3" fontId="2" fillId="8" borderId="0" xfId="0" applyNumberFormat="1" applyFont="1" applyFill="1" applyBorder="1" applyAlignment="1">
      <alignment horizontal="center" vertical="top"/>
    </xf>
    <xf numFmtId="0" fontId="2" fillId="0" borderId="25" xfId="0" applyFont="1" applyFill="1" applyBorder="1" applyAlignment="1">
      <alignment vertical="top" wrapText="1"/>
    </xf>
    <xf numFmtId="1" fontId="2" fillId="0" borderId="0" xfId="0" applyNumberFormat="1" applyFont="1" applyFill="1" applyAlignment="1">
      <alignment horizontal="center" vertical="top"/>
    </xf>
    <xf numFmtId="0" fontId="2" fillId="8" borderId="25" xfId="0" applyFont="1" applyFill="1" applyBorder="1" applyAlignment="1">
      <alignment vertical="top" wrapText="1"/>
    </xf>
    <xf numFmtId="2" fontId="2" fillId="8" borderId="26" xfId="0" applyNumberFormat="1" applyFont="1" applyFill="1" applyBorder="1" applyAlignment="1">
      <alignment horizontal="center" vertical="top"/>
    </xf>
    <xf numFmtId="0" fontId="2" fillId="0" borderId="11" xfId="0" applyFont="1" applyFill="1" applyBorder="1" applyAlignment="1">
      <alignment horizontal="center" vertical="top"/>
    </xf>
    <xf numFmtId="1" fontId="2" fillId="8" borderId="0" xfId="0" applyNumberFormat="1" applyFont="1" applyFill="1" applyAlignment="1">
      <alignment horizontal="center" vertical="top"/>
    </xf>
    <xf numFmtId="9" fontId="2" fillId="8" borderId="13" xfId="58" applyFont="1" applyFill="1" applyBorder="1" applyAlignment="1">
      <alignment horizontal="center" vertical="top"/>
    </xf>
    <xf numFmtId="2" fontId="2" fillId="0" borderId="26" xfId="0" applyNumberFormat="1" applyFont="1" applyFill="1" applyBorder="1" applyAlignment="1">
      <alignment horizontal="center" vertical="top"/>
    </xf>
    <xf numFmtId="0" fontId="2" fillId="0" borderId="0" xfId="0" applyFont="1" applyFill="1" applyAlignment="1">
      <alignment horizontal="center" vertical="top"/>
    </xf>
    <xf numFmtId="0" fontId="2" fillId="8" borderId="0" xfId="0" applyFont="1" applyFill="1" applyAlignment="1">
      <alignment horizontal="center" vertical="top"/>
    </xf>
    <xf numFmtId="164" fontId="2" fillId="8" borderId="0" xfId="0" applyNumberFormat="1" applyFont="1" applyFill="1" applyAlignment="1">
      <alignment horizontal="center" vertical="top"/>
    </xf>
    <xf numFmtId="164" fontId="2" fillId="0" borderId="0" xfId="0" applyNumberFormat="1" applyFont="1" applyFill="1" applyAlignment="1">
      <alignment horizontal="center" vertical="top"/>
    </xf>
    <xf numFmtId="0" fontId="2" fillId="8" borderId="11" xfId="0" applyFont="1" applyFill="1" applyBorder="1" applyAlignment="1">
      <alignment horizontal="center" vertical="top"/>
    </xf>
    <xf numFmtId="1" fontId="2" fillId="8" borderId="13" xfId="0" applyNumberFormat="1" applyFont="1" applyFill="1" applyBorder="1" applyAlignment="1">
      <alignment horizontal="center" vertical="top"/>
    </xf>
    <xf numFmtId="1" fontId="2" fillId="8" borderId="0" xfId="0" applyNumberFormat="1" applyFont="1" applyFill="1" applyBorder="1" applyAlignment="1">
      <alignment horizontal="center" vertical="top"/>
    </xf>
    <xf numFmtId="1" fontId="2" fillId="8" borderId="11" xfId="0" applyNumberFormat="1" applyFont="1" applyFill="1" applyBorder="1" applyAlignment="1">
      <alignment horizontal="center" vertical="top"/>
    </xf>
    <xf numFmtId="1" fontId="2" fillId="0" borderId="13" xfId="0" applyNumberFormat="1" applyFont="1" applyFill="1" applyBorder="1" applyAlignment="1">
      <alignment horizontal="center" vertical="top"/>
    </xf>
    <xf numFmtId="1" fontId="2" fillId="0" borderId="0" xfId="0" applyNumberFormat="1" applyFont="1" applyFill="1" applyBorder="1" applyAlignment="1">
      <alignment horizontal="center" vertical="top"/>
    </xf>
    <xf numFmtId="1" fontId="2" fillId="0" borderId="27" xfId="0" applyNumberFormat="1" applyFont="1" applyFill="1" applyBorder="1" applyAlignment="1">
      <alignment horizontal="center" vertical="top"/>
    </xf>
    <xf numFmtId="9" fontId="2" fillId="0" borderId="28" xfId="0" applyNumberFormat="1" applyFont="1" applyFill="1" applyBorder="1" applyAlignment="1">
      <alignment horizontal="center" vertical="top"/>
    </xf>
    <xf numFmtId="2" fontId="2" fillId="0" borderId="27" xfId="0" applyNumberFormat="1" applyFont="1" applyFill="1" applyBorder="1" applyAlignment="1">
      <alignment horizontal="center" vertical="top"/>
    </xf>
    <xf numFmtId="2" fontId="2" fillId="0" borderId="28" xfId="0" applyNumberFormat="1" applyFont="1" applyFill="1" applyBorder="1" applyAlignment="1">
      <alignment horizontal="center" vertical="top"/>
    </xf>
    <xf numFmtId="2" fontId="2" fillId="8" borderId="13" xfId="0" applyNumberFormat="1" applyFont="1" applyFill="1" applyBorder="1" applyAlignment="1">
      <alignment horizontal="center" vertical="top"/>
    </xf>
    <xf numFmtId="3" fontId="2" fillId="8" borderId="13" xfId="0" applyNumberFormat="1" applyFont="1" applyFill="1" applyBorder="1" applyAlignment="1">
      <alignment horizontal="center" vertical="top"/>
    </xf>
    <xf numFmtId="0" fontId="2" fillId="0" borderId="29" xfId="0" applyFont="1" applyFill="1" applyBorder="1" applyAlignment="1">
      <alignment vertical="top" wrapText="1"/>
    </xf>
    <xf numFmtId="1" fontId="2" fillId="0" borderId="30"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1" fontId="2" fillId="0" borderId="32" xfId="0" applyNumberFormat="1" applyFont="1" applyFill="1" applyBorder="1" applyAlignment="1">
      <alignment horizontal="center" vertical="top"/>
    </xf>
    <xf numFmtId="9" fontId="2" fillId="0" borderId="30" xfId="0" applyNumberFormat="1" applyFont="1" applyFill="1" applyBorder="1" applyAlignment="1">
      <alignment horizontal="center" vertical="top"/>
    </xf>
    <xf numFmtId="0" fontId="2" fillId="0" borderId="32" xfId="0" applyFont="1" applyFill="1" applyBorder="1" applyAlignment="1">
      <alignment horizontal="center" vertical="top"/>
    </xf>
    <xf numFmtId="2" fontId="2" fillId="0" borderId="30" xfId="0" applyNumberFormat="1" applyFont="1" applyFill="1" applyBorder="1" applyAlignment="1">
      <alignment horizontal="center" vertical="top"/>
    </xf>
    <xf numFmtId="2" fontId="2" fillId="0" borderId="32" xfId="0" applyNumberFormat="1" applyFont="1" applyFill="1" applyBorder="1" applyAlignment="1">
      <alignment horizontal="center" vertical="top"/>
    </xf>
    <xf numFmtId="3" fontId="2" fillId="0" borderId="30" xfId="0" applyNumberFormat="1" applyFont="1" applyFill="1" applyBorder="1" applyAlignment="1">
      <alignment horizontal="center" vertical="top"/>
    </xf>
    <xf numFmtId="1" fontId="2" fillId="10" borderId="0" xfId="0" applyNumberFormat="1" applyFont="1" applyFill="1" applyAlignment="1">
      <alignment horizontal="center" vertical="top"/>
    </xf>
    <xf numFmtId="0" fontId="5" fillId="10" borderId="0" xfId="0" applyFont="1" applyFill="1" applyAlignment="1">
      <alignment vertical="top"/>
    </xf>
    <xf numFmtId="0" fontId="39" fillId="10" borderId="0" xfId="52" applyFont="1" applyFill="1" applyAlignment="1">
      <alignment vertical="top" wrapText="1"/>
    </xf>
    <xf numFmtId="0" fontId="2" fillId="0" borderId="0" xfId="0" applyFont="1" applyFill="1" applyAlignment="1">
      <alignment vertical="top" wrapText="1"/>
    </xf>
    <xf numFmtId="0" fontId="39" fillId="0" borderId="0" xfId="52" applyFont="1" applyFill="1" applyAlignment="1">
      <alignment vertical="top" wrapText="1"/>
    </xf>
    <xf numFmtId="0" fontId="5" fillId="10" borderId="0" xfId="0" applyFont="1" applyFill="1" applyAlignment="1">
      <alignment vertical="top" wrapText="1"/>
    </xf>
    <xf numFmtId="9" fontId="2" fillId="10" borderId="0" xfId="0" applyNumberFormat="1" applyFont="1" applyFill="1" applyAlignment="1">
      <alignment vertical="top" wrapText="1"/>
    </xf>
    <xf numFmtId="0" fontId="2" fillId="10" borderId="0" xfId="0" applyFont="1" applyFill="1" applyBorder="1" applyAlignment="1">
      <alignment vertical="top" wrapText="1"/>
    </xf>
    <xf numFmtId="2" fontId="2" fillId="10" borderId="0" xfId="0" applyNumberFormat="1" applyFont="1" applyFill="1" applyAlignment="1">
      <alignment vertical="top" wrapText="1"/>
    </xf>
    <xf numFmtId="0" fontId="2" fillId="4" borderId="0" xfId="0" applyFont="1" applyFill="1" applyAlignment="1">
      <alignment horizontal="center" vertical="top"/>
    </xf>
    <xf numFmtId="0" fontId="2" fillId="4" borderId="0" xfId="0" applyFont="1" applyFill="1" applyAlignment="1">
      <alignment/>
    </xf>
    <xf numFmtId="0" fontId="2" fillId="4" borderId="0" xfId="0" applyFont="1" applyFill="1" applyAlignment="1">
      <alignment/>
    </xf>
    <xf numFmtId="0" fontId="2" fillId="33" borderId="0" xfId="0" applyFont="1" applyFill="1" applyBorder="1" applyAlignment="1">
      <alignment vertical="top" wrapText="1"/>
    </xf>
    <xf numFmtId="0" fontId="12" fillId="33" borderId="0" xfId="0" applyFont="1" applyFill="1" applyAlignment="1">
      <alignment vertical="top"/>
    </xf>
    <xf numFmtId="0" fontId="5" fillId="33" borderId="0" xfId="0" applyFont="1" applyFill="1" applyAlignment="1">
      <alignment vertical="top"/>
    </xf>
    <xf numFmtId="0" fontId="5" fillId="16" borderId="25" xfId="0" applyFont="1" applyFill="1" applyBorder="1" applyAlignment="1">
      <alignment vertical="top"/>
    </xf>
    <xf numFmtId="0" fontId="5" fillId="16" borderId="0" xfId="0" applyFont="1" applyFill="1" applyAlignment="1">
      <alignment vertical="top"/>
    </xf>
    <xf numFmtId="9" fontId="2" fillId="10" borderId="0" xfId="0" applyNumberFormat="1" applyFont="1" applyFill="1" applyAlignment="1">
      <alignment horizontal="center"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165" fontId="2" fillId="4" borderId="0" xfId="0" applyNumberFormat="1" applyFont="1" applyFill="1" applyAlignment="1">
      <alignment horizontal="center" vertical="top"/>
    </xf>
    <xf numFmtId="166" fontId="2" fillId="4" borderId="0" xfId="0" applyNumberFormat="1" applyFont="1" applyFill="1" applyAlignment="1">
      <alignment horizontal="center" vertical="top"/>
    </xf>
    <xf numFmtId="168" fontId="2" fillId="10" borderId="0" xfId="0" applyNumberFormat="1" applyFont="1" applyFill="1" applyAlignment="1">
      <alignment horizontal="center" vertical="top"/>
    </xf>
    <xf numFmtId="9" fontId="2" fillId="33" borderId="0" xfId="0" applyNumberFormat="1" applyFont="1" applyFill="1" applyAlignment="1">
      <alignment horizontal="center" vertical="top"/>
    </xf>
    <xf numFmtId="164" fontId="2" fillId="4" borderId="0" xfId="0" applyNumberFormat="1" applyFont="1" applyFill="1" applyAlignment="1">
      <alignment horizontal="center" vertical="top"/>
    </xf>
    <xf numFmtId="0" fontId="2" fillId="4" borderId="0" xfId="0" applyFont="1" applyFill="1" applyAlignment="1" quotePrefix="1">
      <alignment vertical="top" wrapText="1"/>
    </xf>
    <xf numFmtId="1" fontId="2" fillId="33" borderId="0" xfId="0" applyNumberFormat="1" applyFont="1" applyFill="1" applyAlignment="1">
      <alignment horizontal="center" vertical="top"/>
    </xf>
    <xf numFmtId="0" fontId="10" fillId="16" borderId="0" xfId="0" applyFont="1" applyFill="1" applyAlignment="1">
      <alignment vertical="top"/>
    </xf>
    <xf numFmtId="2" fontId="2" fillId="4" borderId="0" xfId="0" applyNumberFormat="1" applyFont="1" applyFill="1" applyAlignment="1">
      <alignment horizontal="center" vertical="top"/>
    </xf>
    <xf numFmtId="164" fontId="2" fillId="10" borderId="0" xfId="0" applyNumberFormat="1" applyFont="1" applyFill="1" applyAlignment="1">
      <alignment horizontal="center" vertical="top"/>
    </xf>
    <xf numFmtId="0" fontId="12" fillId="33" borderId="0" xfId="0" applyFont="1" applyFill="1" applyAlignment="1">
      <alignment vertical="top" wrapText="1"/>
    </xf>
    <xf numFmtId="0" fontId="5" fillId="16" borderId="13" xfId="0" applyFont="1" applyFill="1" applyBorder="1" applyAlignment="1">
      <alignment vertical="top"/>
    </xf>
    <xf numFmtId="0" fontId="2" fillId="16" borderId="0" xfId="0" applyFont="1" applyFill="1" applyBorder="1" applyAlignment="1">
      <alignment vertical="top"/>
    </xf>
    <xf numFmtId="0" fontId="5" fillId="16" borderId="13" xfId="0" applyFont="1" applyFill="1" applyBorder="1" applyAlignment="1">
      <alignment vertical="top" wrapText="1"/>
    </xf>
    <xf numFmtId="0" fontId="2" fillId="10" borderId="13" xfId="0" applyFont="1" applyFill="1" applyBorder="1" applyAlignment="1">
      <alignment vertical="top" wrapText="1"/>
    </xf>
    <xf numFmtId="0" fontId="2" fillId="10" borderId="0" xfId="0" applyFont="1" applyFill="1" applyBorder="1" applyAlignment="1">
      <alignment horizontal="center" vertical="top"/>
    </xf>
    <xf numFmtId="0" fontId="2" fillId="4" borderId="13" xfId="0" applyFont="1" applyFill="1" applyBorder="1" applyAlignment="1">
      <alignment vertical="top" wrapText="1"/>
    </xf>
    <xf numFmtId="0" fontId="2" fillId="4" borderId="0" xfId="0" applyFont="1" applyFill="1" applyBorder="1" applyAlignment="1">
      <alignment horizontal="center" vertical="top"/>
    </xf>
    <xf numFmtId="0" fontId="2" fillId="0" borderId="13" xfId="0" applyFont="1" applyFill="1" applyBorder="1" applyAlignment="1">
      <alignment vertical="top" wrapText="1"/>
    </xf>
    <xf numFmtId="0" fontId="2" fillId="0" borderId="0" xfId="0" applyFont="1" applyBorder="1" applyAlignment="1">
      <alignment vertical="top"/>
    </xf>
    <xf numFmtId="164" fontId="2" fillId="10" borderId="0" xfId="0" applyNumberFormat="1" applyFont="1" applyFill="1" applyBorder="1" applyAlignment="1">
      <alignment horizontal="center" vertical="top"/>
    </xf>
    <xf numFmtId="1" fontId="2" fillId="10" borderId="0" xfId="0" applyNumberFormat="1" applyFont="1" applyFill="1" applyBorder="1" applyAlignment="1">
      <alignment horizontal="center" vertical="top"/>
    </xf>
    <xf numFmtId="1" fontId="2" fillId="4" borderId="0" xfId="0" applyNumberFormat="1" applyFont="1" applyFill="1" applyBorder="1" applyAlignment="1">
      <alignment horizontal="center" vertical="top"/>
    </xf>
    <xf numFmtId="9" fontId="2" fillId="4" borderId="0" xfId="0" applyNumberFormat="1" applyFont="1" applyFill="1" applyBorder="1" applyAlignment="1">
      <alignment horizontal="center" vertical="top"/>
    </xf>
    <xf numFmtId="0" fontId="2" fillId="33" borderId="13" xfId="0" applyFont="1" applyFill="1" applyBorder="1" applyAlignment="1">
      <alignment vertical="top" wrapText="1"/>
    </xf>
    <xf numFmtId="0" fontId="2" fillId="33" borderId="0" xfId="0" applyFont="1" applyFill="1" applyBorder="1" applyAlignment="1">
      <alignment vertical="top"/>
    </xf>
    <xf numFmtId="1" fontId="2" fillId="10" borderId="0" xfId="0" applyNumberFormat="1" applyFont="1" applyFill="1" applyBorder="1" applyAlignment="1">
      <alignment horizontal="center" vertical="top"/>
    </xf>
    <xf numFmtId="9" fontId="2" fillId="10" borderId="0" xfId="0" applyNumberFormat="1" applyFont="1" applyFill="1" applyBorder="1" applyAlignment="1">
      <alignment horizontal="center" vertical="top"/>
    </xf>
    <xf numFmtId="3" fontId="2" fillId="4" borderId="0" xfId="0" applyNumberFormat="1" applyFont="1" applyFill="1" applyBorder="1" applyAlignment="1">
      <alignment horizontal="center" vertical="top"/>
    </xf>
    <xf numFmtId="1" fontId="2" fillId="4" borderId="0" xfId="0" applyNumberFormat="1" applyFont="1" applyFill="1" applyBorder="1" applyAlignment="1">
      <alignment horizontal="center" vertical="top"/>
    </xf>
    <xf numFmtId="9" fontId="2" fillId="4" borderId="0" xfId="0" applyNumberFormat="1" applyFont="1" applyFill="1" applyBorder="1" applyAlignment="1">
      <alignment horizontal="center" vertical="top"/>
    </xf>
    <xf numFmtId="3" fontId="2" fillId="10" borderId="0" xfId="0" applyNumberFormat="1" applyFont="1" applyFill="1" applyAlignment="1">
      <alignment horizontal="right" vertical="top"/>
    </xf>
    <xf numFmtId="9" fontId="2" fillId="10" borderId="0" xfId="0" applyNumberFormat="1" applyFont="1" applyFill="1" applyAlignment="1">
      <alignment horizontal="right" vertical="top"/>
    </xf>
    <xf numFmtId="164" fontId="2" fillId="10" borderId="0" xfId="0" applyNumberFormat="1" applyFont="1" applyFill="1" applyAlignment="1">
      <alignment horizontal="right" vertical="top"/>
    </xf>
    <xf numFmtId="164" fontId="2" fillId="10" borderId="0" xfId="0" applyNumberFormat="1" applyFont="1" applyFill="1" applyAlignment="1">
      <alignment vertical="top"/>
    </xf>
    <xf numFmtId="0" fontId="2" fillId="0" borderId="0" xfId="0" applyFont="1" applyFill="1" applyAlignment="1">
      <alignment vertical="top"/>
    </xf>
    <xf numFmtId="0" fontId="7" fillId="0" borderId="0" xfId="0" applyFont="1" applyAlignment="1">
      <alignment vertical="top"/>
    </xf>
    <xf numFmtId="0" fontId="2" fillId="16" borderId="0" xfId="0" applyFont="1" applyFill="1" applyBorder="1" applyAlignment="1">
      <alignment horizontal="right" vertical="top"/>
    </xf>
    <xf numFmtId="0" fontId="2" fillId="16" borderId="0" xfId="0" applyFont="1" applyFill="1" applyAlignment="1">
      <alignment horizontal="right" vertical="top"/>
    </xf>
    <xf numFmtId="9" fontId="2" fillId="10" borderId="0" xfId="0" applyNumberFormat="1" applyFont="1" applyFill="1" applyAlignment="1">
      <alignment vertical="top"/>
    </xf>
    <xf numFmtId="164" fontId="2" fillId="4" borderId="0" xfId="0" applyNumberFormat="1" applyFont="1" applyFill="1" applyAlignment="1">
      <alignment vertical="top"/>
    </xf>
    <xf numFmtId="1" fontId="2" fillId="4" borderId="0" xfId="0" applyNumberFormat="1" applyFont="1" applyFill="1" applyAlignment="1">
      <alignment vertical="top"/>
    </xf>
    <xf numFmtId="3" fontId="2" fillId="10" borderId="0" xfId="0" applyNumberFormat="1" applyFont="1" applyFill="1" applyAlignment="1">
      <alignment vertical="top"/>
    </xf>
    <xf numFmtId="1" fontId="2" fillId="10" borderId="0" xfId="0" applyNumberFormat="1" applyFont="1" applyFill="1" applyAlignment="1">
      <alignment vertical="top"/>
    </xf>
    <xf numFmtId="0" fontId="2" fillId="10" borderId="0" xfId="0" applyFont="1" applyFill="1" applyBorder="1" applyAlignment="1">
      <alignment horizontal="center" vertical="top"/>
    </xf>
    <xf numFmtId="0" fontId="2" fillId="10" borderId="0" xfId="0" applyFont="1" applyFill="1" applyBorder="1" applyAlignment="1">
      <alignment vertical="top" wrapText="1"/>
    </xf>
    <xf numFmtId="3" fontId="2" fillId="10" borderId="0" xfId="0" applyNumberFormat="1" applyFont="1" applyFill="1" applyBorder="1" applyAlignment="1">
      <alignment horizontal="center" vertical="top"/>
    </xf>
    <xf numFmtId="0" fontId="2" fillId="34" borderId="0" xfId="0" applyFont="1" applyFill="1" applyAlignment="1">
      <alignment vertical="top"/>
    </xf>
    <xf numFmtId="0" fontId="2" fillId="10" borderId="0" xfId="0" applyFont="1" applyFill="1" applyBorder="1" applyAlignment="1">
      <alignment horizontal="left" vertical="top" wrapText="1"/>
    </xf>
    <xf numFmtId="0" fontId="2" fillId="33" borderId="0" xfId="0" applyFont="1" applyFill="1" applyBorder="1" applyAlignment="1">
      <alignment horizontal="center" vertical="top"/>
    </xf>
    <xf numFmtId="0" fontId="6" fillId="16" borderId="0" xfId="0" applyFont="1" applyFill="1" applyBorder="1" applyAlignment="1">
      <alignment vertical="top"/>
    </xf>
    <xf numFmtId="0" fontId="5" fillId="16" borderId="0" xfId="0" applyFont="1" applyFill="1" applyBorder="1" applyAlignment="1">
      <alignment horizontal="center" vertical="top"/>
    </xf>
    <xf numFmtId="0" fontId="2" fillId="16" borderId="0" xfId="0" applyFont="1" applyFill="1" applyBorder="1" applyAlignment="1">
      <alignment vertical="top" wrapText="1"/>
    </xf>
    <xf numFmtId="2" fontId="2" fillId="10" borderId="0" xfId="0" applyNumberFormat="1" applyFont="1" applyFill="1" applyBorder="1" applyAlignment="1">
      <alignment horizontal="center" vertical="top"/>
    </xf>
    <xf numFmtId="0" fontId="12" fillId="10" borderId="0" xfId="0" applyFont="1" applyFill="1" applyBorder="1" applyAlignment="1">
      <alignment vertical="top"/>
    </xf>
    <xf numFmtId="0" fontId="5" fillId="10" borderId="0" xfId="0" applyFont="1" applyFill="1" applyBorder="1" applyAlignment="1">
      <alignment vertical="top"/>
    </xf>
    <xf numFmtId="0" fontId="3" fillId="10" borderId="0" xfId="0" applyFont="1" applyFill="1" applyBorder="1" applyAlignment="1">
      <alignment vertical="top"/>
    </xf>
    <xf numFmtId="0" fontId="3" fillId="10" borderId="0" xfId="0" applyFont="1" applyFill="1" applyBorder="1" applyAlignment="1">
      <alignment vertical="top" wrapText="1"/>
    </xf>
    <xf numFmtId="0" fontId="5" fillId="10" borderId="0" xfId="0" applyFont="1" applyFill="1" applyBorder="1" applyAlignment="1">
      <alignment vertical="top"/>
    </xf>
    <xf numFmtId="164" fontId="2" fillId="4" borderId="0" xfId="0" applyNumberFormat="1" applyFont="1" applyFill="1" applyBorder="1" applyAlignment="1">
      <alignment vertical="top"/>
    </xf>
    <xf numFmtId="0" fontId="2" fillId="0" borderId="0" xfId="0" applyFont="1" applyBorder="1" applyAlignment="1">
      <alignment vertical="top" wrapText="1"/>
    </xf>
    <xf numFmtId="0" fontId="12" fillId="16" borderId="0" xfId="0" applyFont="1" applyFill="1" applyAlignment="1">
      <alignment vertical="top"/>
    </xf>
    <xf numFmtId="0" fontId="6" fillId="0" borderId="0" xfId="0" applyFont="1" applyBorder="1" applyAlignment="1">
      <alignment vertical="top"/>
    </xf>
    <xf numFmtId="0" fontId="12" fillId="33" borderId="0" xfId="0" applyFont="1" applyFill="1" applyBorder="1" applyAlignment="1">
      <alignment vertical="top"/>
    </xf>
    <xf numFmtId="0" fontId="2" fillId="0" borderId="0" xfId="0" applyFont="1" applyFill="1" applyBorder="1" applyAlignment="1">
      <alignment vertical="top"/>
    </xf>
    <xf numFmtId="0" fontId="2" fillId="16" borderId="0" xfId="0" applyFont="1" applyFill="1" applyBorder="1" applyAlignment="1" quotePrefix="1">
      <alignment vertical="top" wrapText="1"/>
    </xf>
    <xf numFmtId="0" fontId="2" fillId="16" borderId="0" xfId="0" applyFont="1" applyFill="1" applyBorder="1" applyAlignment="1">
      <alignment horizontal="right" vertical="top" wrapText="1"/>
    </xf>
    <xf numFmtId="0" fontId="5" fillId="16" borderId="0" xfId="0" applyFont="1" applyFill="1" applyBorder="1" applyAlignment="1">
      <alignment horizontal="right" vertical="top"/>
    </xf>
    <xf numFmtId="0" fontId="5" fillId="16" borderId="0" xfId="0" applyFont="1" applyFill="1" applyBorder="1" applyAlignment="1">
      <alignment horizontal="center" vertical="top"/>
    </xf>
    <xf numFmtId="0" fontId="2" fillId="16" borderId="0" xfId="0" applyFont="1" applyFill="1" applyBorder="1" applyAlignment="1">
      <alignment horizontal="right" vertical="top"/>
    </xf>
    <xf numFmtId="9" fontId="2" fillId="10" borderId="0" xfId="0" applyNumberFormat="1" applyFont="1" applyFill="1" applyBorder="1" applyAlignment="1">
      <alignment vertical="top"/>
    </xf>
    <xf numFmtId="1" fontId="2" fillId="4" borderId="0" xfId="0" applyNumberFormat="1"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xf>
    <xf numFmtId="0" fontId="5" fillId="33" borderId="0" xfId="0" applyFont="1" applyFill="1" applyBorder="1" applyAlignment="1">
      <alignment vertical="top"/>
    </xf>
    <xf numFmtId="1" fontId="2" fillId="10" borderId="0" xfId="0" applyNumberFormat="1" applyFont="1" applyFill="1" applyBorder="1" applyAlignment="1">
      <alignment vertical="top"/>
    </xf>
    <xf numFmtId="0" fontId="2" fillId="33" borderId="0" xfId="0" applyFont="1" applyFill="1" applyBorder="1" applyAlignment="1">
      <alignment vertical="top" wrapText="1"/>
    </xf>
    <xf numFmtId="164" fontId="2" fillId="10" borderId="0" xfId="0" applyNumberFormat="1" applyFont="1" applyFill="1" applyBorder="1" applyAlignment="1">
      <alignment vertical="top" wrapText="1"/>
    </xf>
    <xf numFmtId="9" fontId="2" fillId="4" borderId="0" xfId="0" applyNumberFormat="1" applyFont="1" applyFill="1" applyBorder="1" applyAlignment="1">
      <alignment vertical="top"/>
    </xf>
    <xf numFmtId="0" fontId="2" fillId="0" borderId="0" xfId="0" applyFont="1" applyFill="1" applyBorder="1" applyAlignment="1">
      <alignment vertical="top"/>
    </xf>
    <xf numFmtId="0" fontId="5" fillId="16" borderId="0" xfId="0" applyFont="1" applyFill="1" applyBorder="1" applyAlignment="1">
      <alignment vertical="top" wrapText="1"/>
    </xf>
    <xf numFmtId="0" fontId="5" fillId="16" borderId="0" xfId="0" applyFont="1" applyFill="1" applyBorder="1" applyAlignment="1">
      <alignment horizontal="right" vertical="top"/>
    </xf>
    <xf numFmtId="0" fontId="5" fillId="33" borderId="0" xfId="0" applyFont="1" applyFill="1" applyBorder="1" applyAlignment="1">
      <alignment vertical="top" wrapText="1"/>
    </xf>
    <xf numFmtId="1" fontId="2" fillId="4" borderId="0" xfId="0" applyNumberFormat="1" applyFont="1" applyFill="1" applyBorder="1" applyAlignment="1">
      <alignment vertical="top" wrapText="1"/>
    </xf>
    <xf numFmtId="1" fontId="2" fillId="33" borderId="0" xfId="0" applyNumberFormat="1" applyFont="1" applyFill="1" applyBorder="1" applyAlignment="1">
      <alignment vertical="top"/>
    </xf>
    <xf numFmtId="0" fontId="3" fillId="16" borderId="0" xfId="0" applyFont="1" applyFill="1" applyBorder="1" applyAlignment="1">
      <alignment vertical="top"/>
    </xf>
    <xf numFmtId="0" fontId="3" fillId="40" borderId="0" xfId="0" applyFont="1" applyFill="1" applyAlignment="1">
      <alignment vertical="top"/>
    </xf>
    <xf numFmtId="0" fontId="5" fillId="40" borderId="0" xfId="0" applyFont="1" applyFill="1" applyAlignment="1">
      <alignment horizontal="right" vertical="top"/>
    </xf>
    <xf numFmtId="0" fontId="2" fillId="40" borderId="0" xfId="0" applyFont="1" applyFill="1" applyAlignment="1">
      <alignment vertical="top"/>
    </xf>
    <xf numFmtId="0" fontId="2" fillId="40" borderId="0" xfId="0" applyFont="1" applyFill="1" applyAlignment="1">
      <alignment vertical="top" wrapText="1"/>
    </xf>
    <xf numFmtId="0" fontId="2" fillId="41" borderId="0" xfId="0" applyFont="1" applyFill="1" applyAlignment="1">
      <alignment vertical="top"/>
    </xf>
    <xf numFmtId="9" fontId="2" fillId="41" borderId="0" xfId="0" applyNumberFormat="1" applyFont="1" applyFill="1" applyAlignment="1">
      <alignment horizontal="right" vertical="top"/>
    </xf>
    <xf numFmtId="0" fontId="2" fillId="41" borderId="0" xfId="0" applyFont="1" applyFill="1" applyAlignment="1">
      <alignment vertical="top" wrapText="1"/>
    </xf>
    <xf numFmtId="0" fontId="2" fillId="42" borderId="0" xfId="0" applyFont="1" applyFill="1" applyAlignment="1">
      <alignment vertical="top" wrapText="1"/>
    </xf>
    <xf numFmtId="1" fontId="2" fillId="42" borderId="0" xfId="0" applyNumberFormat="1" applyFont="1" applyFill="1" applyAlignment="1">
      <alignment horizontal="right" vertical="top"/>
    </xf>
    <xf numFmtId="0" fontId="2" fillId="42" borderId="0" xfId="0" applyFont="1" applyFill="1" applyAlignment="1">
      <alignment vertical="top"/>
    </xf>
    <xf numFmtId="1" fontId="2" fillId="33" borderId="0" xfId="0" applyNumberFormat="1" applyFont="1" applyFill="1" applyAlignment="1">
      <alignment horizontal="right" vertical="top"/>
    </xf>
    <xf numFmtId="0" fontId="3" fillId="43" borderId="0" xfId="0" applyFont="1" applyFill="1" applyAlignment="1">
      <alignment vertical="top"/>
    </xf>
    <xf numFmtId="0" fontId="5" fillId="43" borderId="0" xfId="0" applyFont="1" applyFill="1" applyAlignment="1">
      <alignment horizontal="right" vertical="top"/>
    </xf>
    <xf numFmtId="0" fontId="2" fillId="43" borderId="0" xfId="0" applyFont="1" applyFill="1" applyAlignment="1">
      <alignment vertical="top"/>
    </xf>
    <xf numFmtId="0" fontId="2" fillId="43" borderId="0" xfId="0" applyFont="1" applyFill="1" applyAlignment="1">
      <alignment vertical="top" wrapText="1"/>
    </xf>
    <xf numFmtId="0" fontId="2" fillId="33" borderId="0" xfId="0" applyFont="1" applyFill="1" applyAlignment="1">
      <alignment horizontal="right" vertical="top"/>
    </xf>
    <xf numFmtId="0" fontId="2" fillId="33" borderId="0" xfId="0" applyFont="1" applyFill="1" applyBorder="1" applyAlignment="1">
      <alignment horizontal="right" vertical="top" wrapText="1"/>
    </xf>
    <xf numFmtId="0" fontId="2" fillId="33" borderId="0" xfId="0" applyFont="1" applyFill="1" applyBorder="1" applyAlignment="1">
      <alignment horizontal="right" vertical="top"/>
    </xf>
    <xf numFmtId="0" fontId="2" fillId="34" borderId="0" xfId="0" applyFont="1" applyFill="1" applyAlignment="1">
      <alignment horizontal="right" vertical="top"/>
    </xf>
    <xf numFmtId="9" fontId="2" fillId="34" borderId="0" xfId="0" applyNumberFormat="1" applyFont="1" applyFill="1" applyAlignment="1">
      <alignment horizontal="right" vertical="top"/>
    </xf>
    <xf numFmtId="0" fontId="2" fillId="34" borderId="0" xfId="0" applyFont="1" applyFill="1" applyAlignment="1">
      <alignment vertical="top" wrapText="1"/>
    </xf>
    <xf numFmtId="164" fontId="2" fillId="34" borderId="0" xfId="0" applyNumberFormat="1" applyFont="1" applyFill="1" applyAlignment="1">
      <alignment horizontal="right" vertical="top"/>
    </xf>
    <xf numFmtId="0" fontId="2" fillId="44" borderId="0" xfId="0" applyFont="1" applyFill="1" applyAlignment="1">
      <alignment vertical="top"/>
    </xf>
    <xf numFmtId="0" fontId="2" fillId="44" borderId="0" xfId="0" applyFont="1" applyFill="1" applyAlignment="1">
      <alignment horizontal="right" vertical="top"/>
    </xf>
    <xf numFmtId="1" fontId="2" fillId="44" borderId="0" xfId="0" applyNumberFormat="1" applyFont="1" applyFill="1" applyAlignment="1">
      <alignment horizontal="right" vertical="top"/>
    </xf>
    <xf numFmtId="0" fontId="2" fillId="44" borderId="0" xfId="0" applyFont="1" applyFill="1" applyAlignment="1">
      <alignment vertical="top" wrapText="1"/>
    </xf>
    <xf numFmtId="0" fontId="2" fillId="10" borderId="0" xfId="0" applyFont="1" applyFill="1" applyBorder="1" applyAlignment="1">
      <alignment horizontal="right" vertical="top"/>
    </xf>
    <xf numFmtId="9" fontId="2" fillId="10" borderId="0" xfId="0" applyNumberFormat="1" applyFont="1" applyFill="1" applyBorder="1" applyAlignment="1">
      <alignment horizontal="right" vertical="top" wrapText="1"/>
    </xf>
    <xf numFmtId="0" fontId="6" fillId="10" borderId="0" xfId="0" applyFont="1" applyFill="1" applyAlignment="1">
      <alignment vertical="top"/>
    </xf>
    <xf numFmtId="0" fontId="2" fillId="33" borderId="0" xfId="0" applyFont="1" applyFill="1" applyBorder="1" applyAlignment="1">
      <alignment horizontal="left" vertical="top" wrapText="1"/>
    </xf>
    <xf numFmtId="0" fontId="6" fillId="33" borderId="0" xfId="0" applyFont="1" applyFill="1" applyAlignment="1">
      <alignment vertical="top"/>
    </xf>
    <xf numFmtId="0" fontId="2" fillId="16" borderId="0" xfId="0" applyFont="1" applyFill="1" applyBorder="1" applyAlignment="1">
      <alignment horizontal="left" vertical="top" wrapText="1"/>
    </xf>
    <xf numFmtId="9" fontId="2" fillId="16" borderId="0" xfId="0" applyNumberFormat="1" applyFont="1" applyFill="1" applyBorder="1" applyAlignment="1">
      <alignment horizontal="right" vertical="top"/>
    </xf>
    <xf numFmtId="1" fontId="2" fillId="4" borderId="0" xfId="0" applyNumberFormat="1" applyFont="1" applyFill="1" applyBorder="1" applyAlignment="1">
      <alignment horizontal="right" vertical="top"/>
    </xf>
    <xf numFmtId="164" fontId="2" fillId="4" borderId="0" xfId="0" applyNumberFormat="1" applyFont="1" applyFill="1" applyBorder="1" applyAlignment="1">
      <alignment horizontal="right" vertical="top"/>
    </xf>
    <xf numFmtId="0" fontId="2" fillId="4" borderId="0" xfId="0" applyFont="1" applyFill="1" applyBorder="1" applyAlignment="1">
      <alignment horizontal="left" vertical="top"/>
    </xf>
    <xf numFmtId="164" fontId="2" fillId="4" borderId="0" xfId="0" applyNumberFormat="1" applyFont="1" applyFill="1" applyBorder="1" applyAlignment="1">
      <alignment vertical="top"/>
    </xf>
    <xf numFmtId="0" fontId="2" fillId="4" borderId="0" xfId="0" applyFont="1" applyFill="1" applyBorder="1" applyAlignment="1">
      <alignment horizontal="left" vertical="top"/>
    </xf>
    <xf numFmtId="1" fontId="2" fillId="4" borderId="0" xfId="0" applyNumberFormat="1" applyFont="1" applyFill="1" applyBorder="1" applyAlignment="1">
      <alignment vertical="top"/>
    </xf>
    <xf numFmtId="0" fontId="2" fillId="33" borderId="0" xfId="0" applyFont="1" applyFill="1" applyBorder="1" applyAlignment="1">
      <alignment horizontal="left" vertical="top"/>
    </xf>
    <xf numFmtId="1" fontId="2" fillId="10" borderId="0" xfId="0" applyNumberFormat="1" applyFont="1" applyFill="1" applyAlignment="1">
      <alignment horizontal="left" vertical="top"/>
    </xf>
    <xf numFmtId="1" fontId="2" fillId="10" borderId="0" xfId="0" applyNumberFormat="1" applyFont="1" applyFill="1" applyAlignment="1">
      <alignment horizontal="right" vertical="top"/>
    </xf>
    <xf numFmtId="0" fontId="2" fillId="10" borderId="0" xfId="0" applyFont="1" applyFill="1" applyAlignment="1">
      <alignment/>
    </xf>
    <xf numFmtId="164" fontId="2" fillId="10" borderId="0" xfId="0" applyNumberFormat="1" applyFont="1" applyFill="1" applyAlignment="1">
      <alignment/>
    </xf>
    <xf numFmtId="0" fontId="59" fillId="10" borderId="0" xfId="0" applyFont="1" applyFill="1" applyAlignment="1">
      <alignment vertical="top"/>
    </xf>
    <xf numFmtId="0" fontId="59" fillId="4" borderId="0" xfId="0" applyFont="1" applyFill="1" applyBorder="1" applyAlignment="1">
      <alignment vertical="top" wrapText="1"/>
    </xf>
    <xf numFmtId="0" fontId="2" fillId="10" borderId="0" xfId="0" applyFont="1" applyFill="1" applyAlignment="1">
      <alignment horizontal="center" vertical="top"/>
    </xf>
    <xf numFmtId="0" fontId="2" fillId="16" borderId="0" xfId="0" applyFont="1" applyFill="1" applyAlignment="1">
      <alignment wrapText="1"/>
    </xf>
    <xf numFmtId="0" fontId="2" fillId="0" borderId="33" xfId="0" applyFont="1" applyBorder="1" applyAlignment="1">
      <alignment vertical="top"/>
    </xf>
    <xf numFmtId="0" fontId="5" fillId="10" borderId="0" xfId="0" applyFont="1" applyFill="1" applyBorder="1" applyAlignment="1">
      <alignment horizontal="right" vertical="top"/>
    </xf>
    <xf numFmtId="0" fontId="58" fillId="33" borderId="0" xfId="0" applyFont="1" applyFill="1" applyAlignment="1">
      <alignment horizontal="center" vertical="top"/>
    </xf>
    <xf numFmtId="0" fontId="5" fillId="33" borderId="0" xfId="0" applyFont="1" applyFill="1" applyAlignment="1">
      <alignment horizontal="center" vertical="top"/>
    </xf>
    <xf numFmtId="0" fontId="58" fillId="0" borderId="0" xfId="0" applyFont="1" applyAlignment="1">
      <alignment horizontal="center" vertical="top"/>
    </xf>
    <xf numFmtId="3" fontId="2" fillId="0" borderId="27" xfId="0" applyNumberFormat="1" applyFont="1" applyFill="1" applyBorder="1" applyAlignment="1">
      <alignment horizontal="center" vertical="top"/>
    </xf>
    <xf numFmtId="3" fontId="2" fillId="38" borderId="27" xfId="0" applyNumberFormat="1" applyFont="1" applyFill="1" applyBorder="1" applyAlignment="1">
      <alignment horizontal="center" vertical="top"/>
    </xf>
    <xf numFmtId="3" fontId="2" fillId="8" borderId="27" xfId="0" applyNumberFormat="1" applyFont="1" applyFill="1" applyBorder="1" applyAlignment="1">
      <alignment horizontal="center" vertical="top"/>
    </xf>
    <xf numFmtId="3" fontId="2" fillId="8" borderId="11" xfId="0" applyNumberFormat="1" applyFont="1" applyFill="1" applyBorder="1" applyAlignment="1">
      <alignment horizontal="center" vertical="top"/>
    </xf>
    <xf numFmtId="3" fontId="2" fillId="0" borderId="32" xfId="0" applyNumberFormat="1" applyFont="1" applyFill="1" applyBorder="1" applyAlignment="1">
      <alignment horizontal="center" vertical="top"/>
    </xf>
    <xf numFmtId="0" fontId="2" fillId="4" borderId="0" xfId="0" applyFont="1" applyFill="1" applyAlignment="1">
      <alignment vertical="top" wrapText="1"/>
    </xf>
    <xf numFmtId="0" fontId="2" fillId="10" borderId="0" xfId="0" applyFont="1" applyFill="1" applyAlignment="1">
      <alignment vertical="top" wrapText="1"/>
    </xf>
    <xf numFmtId="0" fontId="2" fillId="0" borderId="0" xfId="0" applyFont="1" applyAlignment="1">
      <alignment vertical="top" wrapText="1"/>
    </xf>
    <xf numFmtId="0" fontId="2" fillId="4" borderId="0" xfId="0" applyFont="1" applyFill="1" applyAlignment="1">
      <alignment vertical="top" wrapText="1"/>
    </xf>
    <xf numFmtId="2" fontId="2" fillId="34" borderId="0" xfId="0" applyNumberFormat="1" applyFont="1" applyFill="1" applyAlignment="1">
      <alignment vertical="top" wrapText="1"/>
    </xf>
    <xf numFmtId="2" fontId="2" fillId="4" borderId="0" xfId="0" applyNumberFormat="1" applyFont="1" applyFill="1" applyAlignment="1">
      <alignment vertical="top" wrapText="1"/>
    </xf>
    <xf numFmtId="1" fontId="2" fillId="4" borderId="0" xfId="0" applyNumberFormat="1" applyFont="1" applyFill="1" applyAlignment="1">
      <alignment vertical="top" wrapText="1"/>
    </xf>
    <xf numFmtId="1" fontId="2" fillId="0" borderId="0" xfId="0" applyNumberFormat="1" applyFont="1" applyFill="1" applyAlignment="1">
      <alignment vertical="top"/>
    </xf>
    <xf numFmtId="9" fontId="2" fillId="10" borderId="0" xfId="58" applyFont="1" applyFill="1" applyAlignment="1">
      <alignment vertical="top" wrapText="1"/>
    </xf>
    <xf numFmtId="0" fontId="4" fillId="33" borderId="0" xfId="0" applyFont="1" applyFill="1" applyAlignment="1">
      <alignment vertical="center" wrapText="1"/>
    </xf>
    <xf numFmtId="0" fontId="0" fillId="0" borderId="0" xfId="0" applyAlignment="1">
      <alignment/>
    </xf>
    <xf numFmtId="0" fontId="0" fillId="33" borderId="0" xfId="0" applyFill="1" applyAlignment="1">
      <alignment wrapText="1"/>
    </xf>
    <xf numFmtId="0" fontId="5" fillId="39" borderId="34" xfId="0" applyFont="1" applyFill="1" applyBorder="1" applyAlignment="1">
      <alignment horizontal="center" vertical="top" wrapText="1"/>
    </xf>
    <xf numFmtId="0" fontId="5" fillId="39" borderId="0" xfId="0" applyFont="1" applyFill="1" applyAlignment="1">
      <alignment horizontal="center" vertical="top"/>
    </xf>
    <xf numFmtId="0" fontId="5" fillId="39" borderId="0" xfId="0" applyFont="1" applyFill="1" applyAlignment="1">
      <alignment vertical="top"/>
    </xf>
    <xf numFmtId="0" fontId="5" fillId="39" borderId="0" xfId="0" applyFont="1" applyFill="1" applyAlignment="1">
      <alignment horizontal="center" vertical="top" wrapText="1"/>
    </xf>
    <xf numFmtId="0" fontId="0" fillId="37" borderId="0" xfId="0" applyFill="1" applyAlignment="1">
      <alignment vertical="top" wrapText="1"/>
    </xf>
    <xf numFmtId="0" fontId="2" fillId="10" borderId="0" xfId="0" applyFont="1" applyFill="1" applyAlignment="1">
      <alignment vertical="top" wrapText="1"/>
    </xf>
    <xf numFmtId="0" fontId="2" fillId="0" borderId="0" xfId="0" applyFont="1" applyAlignment="1">
      <alignment vertical="top" wrapText="1"/>
    </xf>
    <xf numFmtId="0" fontId="2" fillId="4" borderId="0" xfId="0" applyFont="1" applyFill="1" applyAlignment="1">
      <alignment vertical="top" wrapText="1"/>
    </xf>
    <xf numFmtId="0" fontId="0" fillId="37" borderId="0" xfId="0" applyFill="1" applyBorder="1" applyAlignment="1">
      <alignment wrapText="1"/>
    </xf>
    <xf numFmtId="0" fontId="0" fillId="37" borderId="0" xfId="0" applyFill="1" applyBorder="1" applyAlignment="1">
      <alignment vertical="top" wrapText="1"/>
    </xf>
    <xf numFmtId="0" fontId="0" fillId="37" borderId="0" xfId="0" applyFill="1" applyBorder="1" applyAlignment="1">
      <alignment horizontal="left" wrapText="1"/>
    </xf>
    <xf numFmtId="0" fontId="0" fillId="37" borderId="0" xfId="0" applyFill="1" applyAlignment="1">
      <alignment wrapText="1"/>
    </xf>
    <xf numFmtId="0" fontId="0" fillId="37" borderId="0" xfId="0" applyFill="1" applyAlignment="1">
      <alignment horizontal="left" vertical="top" wrapText="1"/>
    </xf>
    <xf numFmtId="0" fontId="0" fillId="0" borderId="0" xfId="0" applyNumberFormat="1" applyAlignment="1">
      <alignment vertical="top" wrapText="1"/>
    </xf>
    <xf numFmtId="0" fontId="0" fillId="0" borderId="0" xfId="0" applyAlignment="1">
      <alignment vertical="top" wrapText="1"/>
    </xf>
    <xf numFmtId="0" fontId="0" fillId="37" borderId="0" xfId="0" applyFill="1" applyAlignment="1">
      <alignment horizontal="left" vertical="top"/>
    </xf>
    <xf numFmtId="0" fontId="0" fillId="37" borderId="0" xfId="0" applyFill="1" applyAlignment="1">
      <alignment vertical="top"/>
    </xf>
    <xf numFmtId="0" fontId="67" fillId="37" borderId="0" xfId="0" applyFont="1" applyFill="1" applyAlignment="1">
      <alignment vertical="top" wrapText="1"/>
    </xf>
    <xf numFmtId="0" fontId="2" fillId="37" borderId="0" xfId="0" applyFont="1" applyFill="1" applyAlignment="1">
      <alignment vertical="top" wrapText="1"/>
    </xf>
    <xf numFmtId="0" fontId="2" fillId="37"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152400</xdr:rowOff>
    </xdr:from>
    <xdr:to>
      <xdr:col>12</xdr:col>
      <xdr:colOff>19050</xdr:colOff>
      <xdr:row>25</xdr:row>
      <xdr:rowOff>133350</xdr:rowOff>
    </xdr:to>
    <xdr:pic>
      <xdr:nvPicPr>
        <xdr:cNvPr id="1" name="Picture 1" descr="Houses-energy rating (Shuttershock)"/>
        <xdr:cNvPicPr preferRelativeResize="1">
          <a:picLocks noChangeAspect="1"/>
        </xdr:cNvPicPr>
      </xdr:nvPicPr>
      <xdr:blipFill>
        <a:blip r:embed="rId1"/>
        <a:srcRect b="23622"/>
        <a:stretch>
          <a:fillRect/>
        </a:stretch>
      </xdr:blipFill>
      <xdr:spPr>
        <a:xfrm>
          <a:off x="266700" y="152400"/>
          <a:ext cx="6838950" cy="5314950"/>
        </a:xfrm>
        <a:prstGeom prst="rect">
          <a:avLst/>
        </a:prstGeom>
        <a:noFill/>
        <a:ln w="9525" cmpd="sng">
          <a:noFill/>
        </a:ln>
      </xdr:spPr>
    </xdr:pic>
    <xdr:clientData/>
  </xdr:twoCellAnchor>
  <xdr:twoCellAnchor>
    <xdr:from>
      <xdr:col>1</xdr:col>
      <xdr:colOff>57150</xdr:colOff>
      <xdr:row>1</xdr:row>
      <xdr:rowOff>219075</xdr:rowOff>
    </xdr:from>
    <xdr:to>
      <xdr:col>9</xdr:col>
      <xdr:colOff>476250</xdr:colOff>
      <xdr:row>6</xdr:row>
      <xdr:rowOff>409575</xdr:rowOff>
    </xdr:to>
    <xdr:sp>
      <xdr:nvSpPr>
        <xdr:cNvPr id="2" name="Rectangle 6"/>
        <xdr:cNvSpPr>
          <a:spLocks/>
        </xdr:cNvSpPr>
      </xdr:nvSpPr>
      <xdr:spPr>
        <a:xfrm>
          <a:off x="647700" y="409575"/>
          <a:ext cx="5143500" cy="1381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276225</xdr:colOff>
      <xdr:row>1</xdr:row>
      <xdr:rowOff>219075</xdr:rowOff>
    </xdr:from>
    <xdr:to>
      <xdr:col>4</xdr:col>
      <xdr:colOff>66675</xdr:colOff>
      <xdr:row>4</xdr:row>
      <xdr:rowOff>0</xdr:rowOff>
    </xdr:to>
    <xdr:pic>
      <xdr:nvPicPr>
        <xdr:cNvPr id="3" name="Picture 1" descr="decc-logo"/>
        <xdr:cNvPicPr preferRelativeResize="1">
          <a:picLocks noChangeAspect="1"/>
        </xdr:cNvPicPr>
      </xdr:nvPicPr>
      <xdr:blipFill>
        <a:blip r:embed="rId2"/>
        <a:stretch>
          <a:fillRect/>
        </a:stretch>
      </xdr:blipFill>
      <xdr:spPr>
        <a:xfrm>
          <a:off x="866775" y="409575"/>
          <a:ext cx="1562100" cy="495300"/>
        </a:xfrm>
        <a:prstGeom prst="rect">
          <a:avLst/>
        </a:prstGeom>
        <a:noFill/>
        <a:ln w="9525" cmpd="sng">
          <a:noFill/>
        </a:ln>
      </xdr:spPr>
    </xdr:pic>
    <xdr:clientData/>
  </xdr:twoCellAnchor>
  <xdr:twoCellAnchor>
    <xdr:from>
      <xdr:col>1</xdr:col>
      <xdr:colOff>219075</xdr:colOff>
      <xdr:row>3</xdr:row>
      <xdr:rowOff>219075</xdr:rowOff>
    </xdr:from>
    <xdr:to>
      <xdr:col>8</xdr:col>
      <xdr:colOff>142875</xdr:colOff>
      <xdr:row>6</xdr:row>
      <xdr:rowOff>371475</xdr:rowOff>
    </xdr:to>
    <xdr:sp>
      <xdr:nvSpPr>
        <xdr:cNvPr id="4" name="TextBox 7"/>
        <xdr:cNvSpPr txBox="1">
          <a:spLocks noChangeArrowheads="1"/>
        </xdr:cNvSpPr>
      </xdr:nvSpPr>
      <xdr:spPr>
        <a:xfrm>
          <a:off x="809625" y="885825"/>
          <a:ext cx="4057650" cy="866775"/>
        </a:xfrm>
        <a:prstGeom prst="rect">
          <a:avLst/>
        </a:prstGeom>
        <a:solidFill>
          <a:srgbClr val="FFFFFF"/>
        </a:solidFill>
        <a:ln w="9525" cmpd="sng">
          <a:noFill/>
        </a:ln>
      </xdr:spPr>
      <xdr:txBody>
        <a:bodyPr vertOverflow="clip" wrap="square"/>
        <a:p>
          <a:pPr algn="l">
            <a:defRPr/>
          </a:pPr>
          <a:r>
            <a:rPr lang="en-US" cap="none" sz="1700" b="0" i="0" u="none" baseline="0">
              <a:solidFill>
                <a:srgbClr val="00CCFF"/>
              </a:solidFill>
              <a:latin typeface="Calibri"/>
              <a:ea typeface="Calibri"/>
              <a:cs typeface="Calibri"/>
            </a:rPr>
            <a:t>How much energy could be saved by changing everyday household behaviours?</a:t>
          </a:r>
          <a:r>
            <a:rPr lang="en-US" cap="none" sz="1700" b="0" i="0" u="none" baseline="0">
              <a:solidFill>
                <a:srgbClr val="00CCFF"/>
              </a:solidFill>
              <a:latin typeface="Calibri"/>
              <a:ea typeface="Calibri"/>
              <a:cs typeface="Calibri"/>
            </a:rPr>
            <a:t> 
</a:t>
          </a:r>
          <a:r>
            <a:rPr lang="en-US" cap="none" sz="500" b="0" i="0" u="none" baseline="0">
              <a:solidFill>
                <a:srgbClr val="00CCFF"/>
              </a:solidFill>
              <a:latin typeface="Calibri"/>
              <a:ea typeface="Calibri"/>
              <a:cs typeface="Calibri"/>
            </a:rPr>
            <a:t>
</a:t>
          </a:r>
          <a:r>
            <a:rPr lang="en-US" cap="none" sz="900" b="0" i="0" u="none" baseline="0">
              <a:solidFill>
                <a:srgbClr val="00CCFF"/>
              </a:solidFill>
              <a:latin typeface="Calibri"/>
              <a:ea typeface="Calibri"/>
              <a:cs typeface="Calibri"/>
            </a:rPr>
            <a:t>URN: 12D/353</a:t>
          </a:r>
        </a:p>
      </xdr:txBody>
    </xdr:sp>
    <xdr:clientData/>
  </xdr:twoCellAnchor>
  <xdr:twoCellAnchor editAs="oneCell">
    <xdr:from>
      <xdr:col>5</xdr:col>
      <xdr:colOff>238125</xdr:colOff>
      <xdr:row>2</xdr:row>
      <xdr:rowOff>28575</xdr:rowOff>
    </xdr:from>
    <xdr:to>
      <xdr:col>8</xdr:col>
      <xdr:colOff>38100</xdr:colOff>
      <xdr:row>3</xdr:row>
      <xdr:rowOff>219075</xdr:rowOff>
    </xdr:to>
    <xdr:pic>
      <xdr:nvPicPr>
        <xdr:cNvPr id="5" name="Picture 1" descr="CAR logo"/>
        <xdr:cNvPicPr preferRelativeResize="1">
          <a:picLocks noChangeAspect="1"/>
        </xdr:cNvPicPr>
      </xdr:nvPicPr>
      <xdr:blipFill>
        <a:blip r:embed="rId3"/>
        <a:stretch>
          <a:fillRect/>
        </a:stretch>
      </xdr:blipFill>
      <xdr:spPr>
        <a:xfrm>
          <a:off x="3190875" y="457200"/>
          <a:ext cx="15716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mputer\AppData\Local\Temp\DECC%20Household%20Behaviours%20Spreadsheet%20010512%20(j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gy+Adoption"/>
      <sheetName val="Heating Assumptions+Calcs (CHM)"/>
      <sheetName val="Hot Water Assumptions+Calcs"/>
      <sheetName val="Washing Assumptions+Calcs"/>
      <sheetName val="TV"/>
      <sheetName val="Refrigerat. Assumptions + Calcs"/>
      <sheetName val="Constants"/>
    </sheetNames>
    <sheetDataSet>
      <sheetData sheetId="2">
        <row r="5">
          <cell r="B5">
            <v>0.35</v>
          </cell>
          <cell r="C5">
            <v>0.9</v>
          </cell>
          <cell r="D5">
            <v>0.7</v>
          </cell>
        </row>
        <row r="7">
          <cell r="D7">
            <v>15.2</v>
          </cell>
        </row>
        <row r="8">
          <cell r="B8">
            <v>42</v>
          </cell>
          <cell r="C8">
            <v>60</v>
          </cell>
          <cell r="D8">
            <v>52</v>
          </cell>
        </row>
        <row r="10">
          <cell r="D10">
            <v>39</v>
          </cell>
        </row>
        <row r="11">
          <cell r="D11">
            <v>41</v>
          </cell>
        </row>
        <row r="14">
          <cell r="B14">
            <v>6</v>
          </cell>
          <cell r="C14">
            <v>20</v>
          </cell>
          <cell r="D14">
            <v>12</v>
          </cell>
        </row>
        <row r="19">
          <cell r="B19">
            <v>3</v>
          </cell>
          <cell r="C19">
            <v>10</v>
          </cell>
          <cell r="D19">
            <v>5</v>
          </cell>
        </row>
        <row r="21">
          <cell r="B21">
            <v>70</v>
          </cell>
          <cell r="C21">
            <v>150</v>
          </cell>
          <cell r="D21">
            <v>100</v>
          </cell>
        </row>
        <row r="29">
          <cell r="B29">
            <v>1</v>
          </cell>
          <cell r="C29">
            <v>24</v>
          </cell>
          <cell r="D29">
            <v>8</v>
          </cell>
        </row>
      </sheetData>
      <sheetData sheetId="3">
        <row r="4">
          <cell r="B4">
            <v>2</v>
          </cell>
          <cell r="C4">
            <v>14</v>
          </cell>
          <cell r="D4">
            <v>7</v>
          </cell>
        </row>
        <row r="6">
          <cell r="B6">
            <v>1</v>
          </cell>
          <cell r="C6">
            <v>4</v>
          </cell>
          <cell r="D6">
            <v>2</v>
          </cell>
        </row>
      </sheetData>
      <sheetData sheetId="4">
        <row r="5">
          <cell r="B5">
            <v>1</v>
          </cell>
          <cell r="C5">
            <v>10</v>
          </cell>
          <cell r="D5">
            <v>4</v>
          </cell>
        </row>
      </sheetData>
      <sheetData sheetId="6">
        <row r="3">
          <cell r="B3">
            <v>4.2</v>
          </cell>
        </row>
        <row r="4">
          <cell r="B4">
            <v>334</v>
          </cell>
        </row>
        <row r="5">
          <cell r="B5">
            <v>2260</v>
          </cell>
        </row>
        <row r="6">
          <cell r="B6">
            <v>1.3</v>
          </cell>
        </row>
        <row r="7">
          <cell r="B7">
            <v>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36"/>
  <sheetViews>
    <sheetView tabSelected="1" zoomScalePageLayoutView="0" workbookViewId="0" topLeftCell="A1">
      <selection activeCell="M27" sqref="M27"/>
    </sheetView>
  </sheetViews>
  <sheetFormatPr defaultColWidth="8.8515625" defaultRowHeight="15"/>
  <cols>
    <col min="1" max="12" width="8.8515625" style="0" customWidth="1"/>
    <col min="13" max="13" width="8.421875" style="0" customWidth="1"/>
    <col min="14" max="22" width="8.8515625" style="0" customWidth="1"/>
    <col min="23" max="23" width="11.00390625" style="0" customWidth="1"/>
  </cols>
  <sheetData>
    <row r="1" spans="1:23" ht="15">
      <c r="A1" s="158"/>
      <c r="B1" s="158"/>
      <c r="C1" s="158"/>
      <c r="D1" s="158"/>
      <c r="E1" s="158"/>
      <c r="F1" s="158"/>
      <c r="G1" s="158"/>
      <c r="H1" s="158"/>
      <c r="I1" s="158"/>
      <c r="J1" s="158"/>
      <c r="K1" s="158"/>
      <c r="L1" s="158"/>
      <c r="M1" s="158"/>
      <c r="N1" s="158"/>
      <c r="O1" s="158"/>
      <c r="P1" s="158"/>
      <c r="Q1" s="158"/>
      <c r="R1" s="158"/>
      <c r="S1" s="158"/>
      <c r="T1" s="158"/>
      <c r="U1" s="158"/>
      <c r="V1" s="158"/>
      <c r="W1" s="66"/>
    </row>
    <row r="2" spans="1:27" ht="18.75">
      <c r="A2" s="158"/>
      <c r="B2" s="158"/>
      <c r="C2" s="158"/>
      <c r="D2" s="159"/>
      <c r="E2" s="158"/>
      <c r="F2" s="158"/>
      <c r="G2" s="158"/>
      <c r="H2" s="158"/>
      <c r="I2" s="158"/>
      <c r="J2" s="158"/>
      <c r="K2" s="158"/>
      <c r="L2" s="160"/>
      <c r="M2" s="158"/>
      <c r="N2" s="158"/>
      <c r="O2" s="158"/>
      <c r="P2" s="158"/>
      <c r="Q2" s="158"/>
      <c r="R2" s="158"/>
      <c r="S2" s="158"/>
      <c r="T2" s="158"/>
      <c r="U2" s="158"/>
      <c r="V2" s="158"/>
      <c r="W2" s="66"/>
      <c r="X2" s="66"/>
      <c r="Y2" s="66"/>
      <c r="Z2" s="66"/>
      <c r="AA2" s="66"/>
    </row>
    <row r="3" spans="1:27" ht="18.75">
      <c r="A3" s="158"/>
      <c r="B3" s="158"/>
      <c r="C3" s="158"/>
      <c r="D3" s="159"/>
      <c r="E3" s="158"/>
      <c r="F3" s="158"/>
      <c r="G3" s="158"/>
      <c r="H3" s="158"/>
      <c r="I3" s="158"/>
      <c r="J3" s="158"/>
      <c r="K3" s="158"/>
      <c r="L3" s="160"/>
      <c r="M3" s="158"/>
      <c r="N3" s="158"/>
      <c r="O3" s="158"/>
      <c r="P3" s="158"/>
      <c r="Q3" s="158"/>
      <c r="R3" s="158"/>
      <c r="S3" s="158"/>
      <c r="T3" s="158"/>
      <c r="U3" s="158"/>
      <c r="V3" s="158"/>
      <c r="W3" s="66"/>
      <c r="X3" s="66"/>
      <c r="Y3" s="66"/>
      <c r="Z3" s="66"/>
      <c r="AA3" s="66"/>
    </row>
    <row r="4" spans="1:27" ht="18.75" customHeight="1">
      <c r="A4" s="158"/>
      <c r="B4" s="158"/>
      <c r="C4" s="158"/>
      <c r="D4" s="159"/>
      <c r="E4" s="158"/>
      <c r="F4" s="158"/>
      <c r="G4" s="158"/>
      <c r="H4" s="158"/>
      <c r="I4" s="158"/>
      <c r="J4" s="158"/>
      <c r="K4" s="158"/>
      <c r="L4" s="160"/>
      <c r="M4" s="158"/>
      <c r="N4" s="465" t="s">
        <v>715</v>
      </c>
      <c r="O4" s="466"/>
      <c r="P4" s="466"/>
      <c r="Q4" s="466"/>
      <c r="R4" s="466"/>
      <c r="S4" s="466"/>
      <c r="T4" s="466"/>
      <c r="U4" s="204"/>
      <c r="V4" s="225"/>
      <c r="W4" s="225"/>
      <c r="X4" s="225"/>
      <c r="Y4" s="225"/>
      <c r="Z4" s="225"/>
      <c r="AA4" s="66"/>
    </row>
    <row r="5" spans="1:27" ht="18.75">
      <c r="A5" s="158"/>
      <c r="B5" s="158"/>
      <c r="C5" s="158"/>
      <c r="D5" s="159"/>
      <c r="E5" s="158"/>
      <c r="F5" s="158"/>
      <c r="G5" s="158"/>
      <c r="H5" s="158"/>
      <c r="I5" s="158"/>
      <c r="J5" s="158"/>
      <c r="K5" s="158"/>
      <c r="L5" s="160"/>
      <c r="M5" s="158"/>
      <c r="N5" s="466"/>
      <c r="O5" s="466"/>
      <c r="P5" s="466"/>
      <c r="Q5" s="466"/>
      <c r="R5" s="466"/>
      <c r="S5" s="466"/>
      <c r="T5" s="466"/>
      <c r="U5" s="225"/>
      <c r="V5" s="225"/>
      <c r="W5" s="225"/>
      <c r="X5" s="225"/>
      <c r="Y5" s="225"/>
      <c r="Z5" s="225"/>
      <c r="AA5" s="66"/>
    </row>
    <row r="6" spans="1:27" ht="18.75" customHeight="1">
      <c r="A6" s="158"/>
      <c r="B6" s="159"/>
      <c r="C6" s="158"/>
      <c r="D6" s="159"/>
      <c r="E6" s="158"/>
      <c r="F6" s="158"/>
      <c r="G6" s="158"/>
      <c r="H6" s="158"/>
      <c r="I6" s="158"/>
      <c r="J6" s="158"/>
      <c r="K6" s="158"/>
      <c r="L6" s="160"/>
      <c r="M6" s="158"/>
      <c r="N6" s="466"/>
      <c r="O6" s="466"/>
      <c r="P6" s="466"/>
      <c r="Q6" s="466"/>
      <c r="R6" s="466"/>
      <c r="S6" s="466"/>
      <c r="T6" s="466"/>
      <c r="U6" s="225"/>
      <c r="V6" s="225"/>
      <c r="W6" s="225"/>
      <c r="X6" s="225"/>
      <c r="Y6" s="225"/>
      <c r="Z6" s="225"/>
      <c r="AA6" s="66"/>
    </row>
    <row r="7" spans="1:27" ht="33.75">
      <c r="A7" s="158"/>
      <c r="B7" s="161"/>
      <c r="C7" s="158"/>
      <c r="D7" s="159"/>
      <c r="E7" s="158"/>
      <c r="F7" s="158"/>
      <c r="G7" s="158"/>
      <c r="H7" s="158"/>
      <c r="I7" s="158"/>
      <c r="J7" s="158"/>
      <c r="K7" s="158"/>
      <c r="L7" s="160"/>
      <c r="M7" s="158"/>
      <c r="N7" s="466"/>
      <c r="O7" s="466"/>
      <c r="P7" s="466"/>
      <c r="Q7" s="466"/>
      <c r="R7" s="466"/>
      <c r="S7" s="466"/>
      <c r="T7" s="466"/>
      <c r="U7" s="225"/>
      <c r="V7" s="225"/>
      <c r="W7" s="225"/>
      <c r="X7" s="225"/>
      <c r="Y7" s="225"/>
      <c r="Z7" s="225"/>
      <c r="AA7" s="66"/>
    </row>
    <row r="8" spans="1:27" ht="18.75">
      <c r="A8" s="158"/>
      <c r="B8" s="162"/>
      <c r="C8" s="158"/>
      <c r="D8" s="159"/>
      <c r="E8" s="158"/>
      <c r="F8" s="158"/>
      <c r="G8" s="158"/>
      <c r="H8" s="158"/>
      <c r="I8" s="158"/>
      <c r="J8" s="158"/>
      <c r="K8" s="158"/>
      <c r="L8" s="160"/>
      <c r="M8" s="158"/>
      <c r="N8" s="466"/>
      <c r="O8" s="466"/>
      <c r="P8" s="466"/>
      <c r="Q8" s="466"/>
      <c r="R8" s="466"/>
      <c r="S8" s="466"/>
      <c r="T8" s="466"/>
      <c r="U8" s="225"/>
      <c r="V8" s="225"/>
      <c r="W8" s="225"/>
      <c r="X8" s="225"/>
      <c r="Y8" s="225"/>
      <c r="Z8" s="225"/>
      <c r="AA8" s="66"/>
    </row>
    <row r="9" spans="1:27" ht="18.75">
      <c r="A9" s="158"/>
      <c r="B9" s="159"/>
      <c r="C9" s="158"/>
      <c r="D9" s="159"/>
      <c r="E9" s="158"/>
      <c r="F9" s="158"/>
      <c r="G9" s="158"/>
      <c r="H9" s="158"/>
      <c r="I9" s="158"/>
      <c r="J9" s="158"/>
      <c r="N9" s="163"/>
      <c r="O9" s="164" t="s">
        <v>540</v>
      </c>
      <c r="P9" s="165"/>
      <c r="Q9" s="164" t="s">
        <v>541</v>
      </c>
      <c r="R9" s="166"/>
      <c r="S9" s="166"/>
      <c r="T9" s="166"/>
      <c r="U9" s="166"/>
      <c r="V9" s="167"/>
      <c r="W9" s="163"/>
      <c r="X9" s="163"/>
      <c r="Y9" s="163"/>
      <c r="Z9" s="163"/>
      <c r="AA9" s="66"/>
    </row>
    <row r="10" spans="1:27" ht="15">
      <c r="A10" s="158"/>
      <c r="B10" s="158"/>
      <c r="C10" s="158"/>
      <c r="D10" s="158"/>
      <c r="E10" s="158"/>
      <c r="F10" s="158"/>
      <c r="G10" s="158"/>
      <c r="H10" s="158"/>
      <c r="I10" s="158"/>
      <c r="J10" s="158"/>
      <c r="M10" s="66"/>
      <c r="N10" s="168"/>
      <c r="O10" s="169" t="s">
        <v>542</v>
      </c>
      <c r="P10" s="170"/>
      <c r="Q10" s="171" t="s">
        <v>549</v>
      </c>
      <c r="R10" s="172"/>
      <c r="S10" s="172"/>
      <c r="T10" s="172"/>
      <c r="U10" s="172"/>
      <c r="V10" s="172"/>
      <c r="W10" s="168"/>
      <c r="X10" s="168"/>
      <c r="Y10" s="168"/>
      <c r="Z10" s="168"/>
      <c r="AA10" s="66"/>
    </row>
    <row r="11" spans="1:27" ht="15">
      <c r="A11" s="158"/>
      <c r="B11" s="158"/>
      <c r="C11" s="158"/>
      <c r="D11" s="158"/>
      <c r="E11" s="158"/>
      <c r="F11" s="158"/>
      <c r="G11" s="158"/>
      <c r="H11" s="158"/>
      <c r="I11" s="158"/>
      <c r="J11" s="158"/>
      <c r="M11" s="66"/>
      <c r="N11" s="168"/>
      <c r="O11" s="169" t="s">
        <v>543</v>
      </c>
      <c r="P11" s="170"/>
      <c r="Q11" s="171" t="s">
        <v>550</v>
      </c>
      <c r="R11" s="172"/>
      <c r="S11" s="172"/>
      <c r="T11" s="172"/>
      <c r="U11" s="172"/>
      <c r="V11" s="172"/>
      <c r="W11" s="168"/>
      <c r="X11" s="168"/>
      <c r="Y11" s="168"/>
      <c r="Z11" s="168"/>
      <c r="AA11" s="66"/>
    </row>
    <row r="12" spans="1:27" ht="15">
      <c r="A12" s="158"/>
      <c r="B12" s="158"/>
      <c r="C12" s="158"/>
      <c r="D12" s="158"/>
      <c r="E12" s="158"/>
      <c r="F12" s="158"/>
      <c r="G12" s="158"/>
      <c r="H12" s="158"/>
      <c r="I12" s="158"/>
      <c r="J12" s="158"/>
      <c r="M12" s="66"/>
      <c r="N12" s="168"/>
      <c r="O12" s="169"/>
      <c r="P12" s="170"/>
      <c r="Q12" s="171" t="s">
        <v>582</v>
      </c>
      <c r="R12" s="172"/>
      <c r="S12" s="172"/>
      <c r="T12" s="172"/>
      <c r="U12" s="172"/>
      <c r="V12" s="172"/>
      <c r="W12" s="168"/>
      <c r="X12" s="168"/>
      <c r="Y12" s="168"/>
      <c r="Z12" s="168"/>
      <c r="AA12" s="66"/>
    </row>
    <row r="13" spans="1:27" ht="15">
      <c r="A13" s="158"/>
      <c r="B13" s="158"/>
      <c r="C13" s="158"/>
      <c r="D13" s="158"/>
      <c r="E13" s="158"/>
      <c r="F13" s="158"/>
      <c r="G13" s="158"/>
      <c r="H13" s="158"/>
      <c r="I13" s="158"/>
      <c r="J13" s="158"/>
      <c r="M13" s="66"/>
      <c r="N13" s="168"/>
      <c r="O13" s="169" t="s">
        <v>544</v>
      </c>
      <c r="P13" s="170"/>
      <c r="Q13" s="171" t="s">
        <v>551</v>
      </c>
      <c r="R13" s="172"/>
      <c r="S13" s="172"/>
      <c r="T13" s="172"/>
      <c r="U13" s="172"/>
      <c r="V13" s="172"/>
      <c r="W13" s="168"/>
      <c r="X13" s="168"/>
      <c r="Y13" s="168"/>
      <c r="Z13" s="168"/>
      <c r="AA13" s="66"/>
    </row>
    <row r="14" spans="1:27" ht="15">
      <c r="A14" s="158"/>
      <c r="B14" s="158"/>
      <c r="C14" s="158"/>
      <c r="D14" s="158"/>
      <c r="E14" s="158"/>
      <c r="F14" s="158"/>
      <c r="G14" s="158"/>
      <c r="H14" s="158"/>
      <c r="I14" s="158"/>
      <c r="J14" s="158"/>
      <c r="M14" s="66"/>
      <c r="N14" s="168"/>
      <c r="O14" s="169" t="s">
        <v>545</v>
      </c>
      <c r="P14" s="170"/>
      <c r="Q14" s="171" t="s">
        <v>552</v>
      </c>
      <c r="R14" s="172"/>
      <c r="S14" s="172"/>
      <c r="T14" s="172"/>
      <c r="U14" s="172"/>
      <c r="V14" s="172"/>
      <c r="W14" s="173"/>
      <c r="X14" s="168"/>
      <c r="Y14" s="168"/>
      <c r="Z14" s="168"/>
      <c r="AA14" s="66"/>
    </row>
    <row r="15" spans="1:27" ht="15">
      <c r="A15" s="158"/>
      <c r="B15" s="158"/>
      <c r="C15" s="158"/>
      <c r="D15" s="158"/>
      <c r="E15" s="158"/>
      <c r="F15" s="158"/>
      <c r="G15" s="158"/>
      <c r="H15" s="158"/>
      <c r="I15" s="158"/>
      <c r="J15" s="158"/>
      <c r="M15" s="66"/>
      <c r="N15" s="168"/>
      <c r="O15" s="169" t="s">
        <v>546</v>
      </c>
      <c r="P15" s="170"/>
      <c r="Q15" s="171" t="s">
        <v>553</v>
      </c>
      <c r="R15" s="172"/>
      <c r="S15" s="172"/>
      <c r="T15" s="172"/>
      <c r="U15" s="172"/>
      <c r="V15" s="172"/>
      <c r="W15" s="173"/>
      <c r="X15" s="168"/>
      <c r="Y15" s="168"/>
      <c r="Z15" s="168"/>
      <c r="AA15" s="66"/>
    </row>
    <row r="16" spans="1:27" ht="15">
      <c r="A16" s="158"/>
      <c r="B16" s="158"/>
      <c r="C16" s="158"/>
      <c r="D16" s="158"/>
      <c r="E16" s="158"/>
      <c r="F16" s="158"/>
      <c r="G16" s="158"/>
      <c r="H16" s="158"/>
      <c r="I16" s="158"/>
      <c r="J16" s="158"/>
      <c r="M16" s="66"/>
      <c r="N16" s="168"/>
      <c r="O16" s="169" t="s">
        <v>547</v>
      </c>
      <c r="P16" s="170"/>
      <c r="Q16" s="171" t="s">
        <v>554</v>
      </c>
      <c r="R16" s="172"/>
      <c r="S16" s="172"/>
      <c r="T16" s="172"/>
      <c r="U16" s="172"/>
      <c r="V16" s="172"/>
      <c r="W16" s="173"/>
      <c r="X16" s="168"/>
      <c r="Y16" s="168"/>
      <c r="Z16" s="168"/>
      <c r="AA16" s="66"/>
    </row>
    <row r="17" spans="1:27" ht="15">
      <c r="A17" s="158"/>
      <c r="B17" s="158"/>
      <c r="C17" s="158"/>
      <c r="D17" s="158"/>
      <c r="E17" s="158"/>
      <c r="F17" s="158"/>
      <c r="G17" s="158"/>
      <c r="H17" s="158"/>
      <c r="I17" s="158"/>
      <c r="J17" s="158"/>
      <c r="M17" s="66"/>
      <c r="N17" s="168"/>
      <c r="O17" s="169" t="s">
        <v>548</v>
      </c>
      <c r="P17" s="170"/>
      <c r="Q17" s="171" t="s">
        <v>555</v>
      </c>
      <c r="R17" s="172"/>
      <c r="S17" s="172"/>
      <c r="T17" s="172"/>
      <c r="U17" s="172"/>
      <c r="V17" s="172"/>
      <c r="W17" s="173"/>
      <c r="X17" s="168"/>
      <c r="Y17" s="168"/>
      <c r="Z17" s="168"/>
      <c r="AA17" s="66"/>
    </row>
    <row r="18" spans="1:27" ht="15">
      <c r="A18" s="158"/>
      <c r="B18" s="158"/>
      <c r="C18" s="158"/>
      <c r="D18" s="158"/>
      <c r="E18" s="158"/>
      <c r="F18" s="158"/>
      <c r="G18" s="158"/>
      <c r="H18" s="158"/>
      <c r="I18" s="158"/>
      <c r="J18" s="158"/>
      <c r="N18" s="168"/>
      <c r="O18" s="168"/>
      <c r="P18" s="168"/>
      <c r="Q18" s="168"/>
      <c r="R18" s="168"/>
      <c r="S18" s="168"/>
      <c r="T18" s="168"/>
      <c r="U18" s="168"/>
      <c r="V18" s="168"/>
      <c r="W18" s="168"/>
      <c r="X18" s="168"/>
      <c r="Y18" s="168"/>
      <c r="Z18" s="168"/>
      <c r="AA18" s="66"/>
    </row>
    <row r="19" spans="1:27" ht="15">
      <c r="A19" s="158"/>
      <c r="B19" s="158"/>
      <c r="C19" s="158"/>
      <c r="D19" s="158"/>
      <c r="E19" s="158"/>
      <c r="F19" s="158"/>
      <c r="G19" s="158"/>
      <c r="H19" s="158"/>
      <c r="I19" s="158"/>
      <c r="J19" s="158"/>
      <c r="K19" s="66"/>
      <c r="L19" s="66"/>
      <c r="M19" s="66"/>
      <c r="N19" s="66"/>
      <c r="O19" s="66"/>
      <c r="P19" s="66"/>
      <c r="Q19" s="66"/>
      <c r="R19" s="66"/>
      <c r="S19" s="66"/>
      <c r="T19" s="66"/>
      <c r="U19" s="66"/>
      <c r="V19" s="66"/>
      <c r="W19" s="66"/>
      <c r="X19" s="66"/>
      <c r="Y19" s="66"/>
      <c r="Z19" s="66"/>
      <c r="AA19" s="66"/>
    </row>
    <row r="20" spans="1:27" ht="15">
      <c r="A20" s="158"/>
      <c r="B20" s="465"/>
      <c r="C20" s="467"/>
      <c r="D20" s="467"/>
      <c r="E20" s="467"/>
      <c r="F20" s="467"/>
      <c r="G20" s="467"/>
      <c r="H20" s="467"/>
      <c r="I20" s="467"/>
      <c r="J20" s="158"/>
      <c r="K20" s="66"/>
      <c r="L20" s="66"/>
      <c r="M20" s="66"/>
      <c r="N20" s="66"/>
      <c r="O20" s="66"/>
      <c r="P20" s="66"/>
      <c r="Q20" s="66"/>
      <c r="R20" s="66"/>
      <c r="S20" s="66"/>
      <c r="T20" s="66"/>
      <c r="U20" s="66"/>
      <c r="V20" s="66"/>
      <c r="W20" s="66"/>
      <c r="X20" s="66"/>
      <c r="Y20" s="66"/>
      <c r="Z20" s="66"/>
      <c r="AA20" s="66"/>
    </row>
    <row r="21" spans="1:27" ht="15">
      <c r="A21" s="158"/>
      <c r="B21" s="467"/>
      <c r="C21" s="467"/>
      <c r="D21" s="467"/>
      <c r="E21" s="467"/>
      <c r="F21" s="467"/>
      <c r="G21" s="467"/>
      <c r="H21" s="467"/>
      <c r="I21" s="467"/>
      <c r="J21" s="158"/>
      <c r="K21" s="66"/>
      <c r="L21" s="66"/>
      <c r="M21" s="66"/>
      <c r="N21" s="66"/>
      <c r="O21" s="66"/>
      <c r="P21" s="66"/>
      <c r="Q21" s="66"/>
      <c r="R21" s="66"/>
      <c r="S21" s="66"/>
      <c r="T21" s="66"/>
      <c r="U21" s="66"/>
      <c r="V21" s="66"/>
      <c r="W21" s="66"/>
      <c r="X21" s="66"/>
      <c r="Y21" s="66"/>
      <c r="Z21" s="66"/>
      <c r="AA21" s="66"/>
    </row>
    <row r="22" spans="1:27" ht="15">
      <c r="A22" s="158"/>
      <c r="B22" s="467"/>
      <c r="C22" s="467"/>
      <c r="D22" s="467"/>
      <c r="E22" s="467"/>
      <c r="F22" s="467"/>
      <c r="G22" s="467"/>
      <c r="H22" s="467"/>
      <c r="I22" s="467"/>
      <c r="J22" s="158"/>
      <c r="K22" s="66"/>
      <c r="L22" s="66"/>
      <c r="M22" s="66"/>
      <c r="N22" s="66"/>
      <c r="O22" s="66"/>
      <c r="P22" s="66"/>
      <c r="Q22" s="66"/>
      <c r="R22" s="66"/>
      <c r="S22" s="66"/>
      <c r="T22" s="66"/>
      <c r="U22" s="66"/>
      <c r="V22" s="66"/>
      <c r="W22" s="66"/>
      <c r="X22" s="66"/>
      <c r="Y22" s="66"/>
      <c r="Z22" s="66"/>
      <c r="AA22" s="66"/>
    </row>
    <row r="23" spans="1:27" ht="15">
      <c r="A23" s="158"/>
      <c r="B23" s="467"/>
      <c r="C23" s="467"/>
      <c r="D23" s="467"/>
      <c r="E23" s="467"/>
      <c r="F23" s="467"/>
      <c r="G23" s="467"/>
      <c r="H23" s="467"/>
      <c r="I23" s="467"/>
      <c r="J23" s="158"/>
      <c r="K23" s="66"/>
      <c r="L23" s="66"/>
      <c r="M23" s="66"/>
      <c r="N23" s="66"/>
      <c r="O23" s="66"/>
      <c r="P23" s="66"/>
      <c r="Q23" s="66"/>
      <c r="R23" s="66"/>
      <c r="S23" s="66"/>
      <c r="T23" s="66"/>
      <c r="U23" s="66"/>
      <c r="V23" s="66"/>
      <c r="W23" s="66"/>
      <c r="X23" s="66"/>
      <c r="Y23" s="66"/>
      <c r="Z23" s="66"/>
      <c r="AA23" s="66"/>
    </row>
    <row r="24" spans="1:27" ht="15">
      <c r="A24" s="158"/>
      <c r="B24" s="467"/>
      <c r="C24" s="467"/>
      <c r="D24" s="467"/>
      <c r="E24" s="467"/>
      <c r="F24" s="467"/>
      <c r="G24" s="467"/>
      <c r="H24" s="467"/>
      <c r="I24" s="467"/>
      <c r="J24" s="158"/>
      <c r="K24" s="66"/>
      <c r="L24" s="66"/>
      <c r="M24" s="66"/>
      <c r="N24" s="66"/>
      <c r="O24" s="66"/>
      <c r="P24" s="66"/>
      <c r="Q24" s="66"/>
      <c r="R24" s="66"/>
      <c r="S24" s="66"/>
      <c r="T24" s="66"/>
      <c r="U24" s="66"/>
      <c r="V24" s="66"/>
      <c r="W24" s="66"/>
      <c r="X24" s="66"/>
      <c r="Y24" s="66"/>
      <c r="Z24" s="66"/>
      <c r="AA24" s="66"/>
    </row>
    <row r="25" spans="1:27" ht="15" customHeight="1">
      <c r="A25" s="174"/>
      <c r="B25" s="467"/>
      <c r="C25" s="467"/>
      <c r="D25" s="467"/>
      <c r="E25" s="467"/>
      <c r="F25" s="467"/>
      <c r="G25" s="467"/>
      <c r="H25" s="467"/>
      <c r="I25" s="467"/>
      <c r="J25" s="176"/>
      <c r="K25" s="66"/>
      <c r="L25" s="66"/>
      <c r="M25" s="66"/>
      <c r="N25" s="66"/>
      <c r="O25" s="66"/>
      <c r="P25" s="66"/>
      <c r="Q25" s="66"/>
      <c r="R25" s="66"/>
      <c r="S25" s="66"/>
      <c r="T25" s="66"/>
      <c r="U25" s="66"/>
      <c r="V25" s="66"/>
      <c r="W25" s="66"/>
      <c r="X25" s="66"/>
      <c r="Y25" s="66"/>
      <c r="Z25" s="66"/>
      <c r="AA25" s="66"/>
    </row>
    <row r="26" spans="1:27" ht="15">
      <c r="A26" s="174"/>
      <c r="B26" s="467"/>
      <c r="C26" s="467"/>
      <c r="D26" s="467"/>
      <c r="E26" s="467"/>
      <c r="F26" s="467"/>
      <c r="G26" s="467"/>
      <c r="H26" s="467"/>
      <c r="I26" s="467"/>
      <c r="J26" s="158"/>
      <c r="K26" s="158"/>
      <c r="L26" s="158"/>
      <c r="M26" s="158"/>
      <c r="N26" s="158"/>
      <c r="O26" s="158"/>
      <c r="P26" s="158"/>
      <c r="Q26" s="158"/>
      <c r="R26" s="158"/>
      <c r="S26" s="158"/>
      <c r="T26" s="158"/>
      <c r="U26" s="158"/>
      <c r="V26" s="158"/>
      <c r="W26" s="158"/>
      <c r="X26" s="66"/>
      <c r="Y26" s="66"/>
      <c r="Z26" s="66"/>
      <c r="AA26" s="66"/>
    </row>
    <row r="27" spans="1:27" ht="15">
      <c r="A27" s="158"/>
      <c r="B27" s="467"/>
      <c r="C27" s="467"/>
      <c r="D27" s="467"/>
      <c r="E27" s="467"/>
      <c r="F27" s="467"/>
      <c r="G27" s="467"/>
      <c r="H27" s="467"/>
      <c r="I27" s="467"/>
      <c r="J27" s="158"/>
      <c r="K27" s="158"/>
      <c r="L27" s="158"/>
      <c r="M27" s="158"/>
      <c r="N27" s="158"/>
      <c r="O27" s="158"/>
      <c r="P27" s="158"/>
      <c r="Q27" s="158"/>
      <c r="R27" s="158"/>
      <c r="S27" s="158"/>
      <c r="T27" s="158"/>
      <c r="U27" s="158"/>
      <c r="V27" s="158"/>
      <c r="W27" s="158"/>
      <c r="X27" s="66"/>
      <c r="Y27" s="66"/>
      <c r="Z27" s="66"/>
      <c r="AA27" s="66"/>
    </row>
    <row r="28" spans="1:27" ht="15">
      <c r="A28" s="158"/>
      <c r="B28" s="225"/>
      <c r="C28" s="225"/>
      <c r="D28" s="225"/>
      <c r="E28" s="225"/>
      <c r="F28" s="225"/>
      <c r="G28" s="225"/>
      <c r="H28" s="225"/>
      <c r="I28" s="225"/>
      <c r="J28" s="158"/>
      <c r="K28" s="175"/>
      <c r="L28" s="158"/>
      <c r="M28" s="158"/>
      <c r="N28" s="158"/>
      <c r="O28" s="158"/>
      <c r="P28" s="158"/>
      <c r="Q28" s="158"/>
      <c r="R28" s="158"/>
      <c r="S28" s="158"/>
      <c r="T28" s="158"/>
      <c r="U28" s="158"/>
      <c r="V28" s="158"/>
      <c r="W28" s="66"/>
      <c r="X28" s="66"/>
      <c r="Y28" s="66"/>
      <c r="Z28" s="66"/>
      <c r="AA28" s="66"/>
    </row>
    <row r="29" spans="1:27" ht="15">
      <c r="A29" s="158"/>
      <c r="B29" s="225"/>
      <c r="C29" s="225"/>
      <c r="D29" s="225"/>
      <c r="E29" s="225"/>
      <c r="F29" s="225"/>
      <c r="G29" s="225"/>
      <c r="H29" s="225"/>
      <c r="I29" s="225"/>
      <c r="J29" s="158"/>
      <c r="K29" s="175"/>
      <c r="L29" s="175"/>
      <c r="M29" s="158"/>
      <c r="N29" s="158"/>
      <c r="O29" s="158"/>
      <c r="P29" s="158"/>
      <c r="Q29" s="158"/>
      <c r="R29" s="158"/>
      <c r="S29" s="158"/>
      <c r="T29" s="158"/>
      <c r="U29" s="158"/>
      <c r="V29" s="158"/>
      <c r="W29" s="66"/>
      <c r="X29" s="66"/>
      <c r="Y29" s="66"/>
      <c r="Z29" s="66"/>
      <c r="AA29" s="66"/>
    </row>
    <row r="30" spans="1:27" ht="15">
      <c r="A30" s="158"/>
      <c r="B30" s="66"/>
      <c r="C30" s="66"/>
      <c r="D30" s="66"/>
      <c r="E30" s="66"/>
      <c r="F30" s="66"/>
      <c r="G30" s="66"/>
      <c r="H30" s="66"/>
      <c r="I30" s="66"/>
      <c r="J30" s="158"/>
      <c r="K30" s="175"/>
      <c r="L30" s="175"/>
      <c r="M30" s="158"/>
      <c r="N30" s="158"/>
      <c r="O30" s="158"/>
      <c r="P30" s="158"/>
      <c r="Q30" s="158"/>
      <c r="R30" s="158"/>
      <c r="S30" s="158"/>
      <c r="T30" s="158"/>
      <c r="U30" s="158"/>
      <c r="V30" s="158"/>
      <c r="W30" s="66"/>
      <c r="X30" s="66"/>
      <c r="Y30" s="66"/>
      <c r="Z30" s="66"/>
      <c r="AA30" s="66"/>
    </row>
    <row r="31" spans="2:27" ht="15">
      <c r="B31" s="66"/>
      <c r="C31" s="66"/>
      <c r="D31" s="66"/>
      <c r="E31" s="66"/>
      <c r="F31" s="66"/>
      <c r="G31" s="66"/>
      <c r="H31" s="66"/>
      <c r="I31" s="66"/>
      <c r="J31" s="158"/>
      <c r="K31" s="66"/>
      <c r="L31" s="66"/>
      <c r="M31" s="66"/>
      <c r="N31" s="66"/>
      <c r="O31" s="66"/>
      <c r="P31" s="66"/>
      <c r="Q31" s="66"/>
      <c r="R31" s="66"/>
      <c r="S31" s="66"/>
      <c r="T31" s="66"/>
      <c r="U31" s="66"/>
      <c r="V31" s="66"/>
      <c r="W31" s="66"/>
      <c r="X31" s="66"/>
      <c r="Y31" s="66"/>
      <c r="Z31" s="66"/>
      <c r="AA31" s="66"/>
    </row>
    <row r="32" spans="10:27" ht="15">
      <c r="J32" s="176"/>
      <c r="X32" s="66"/>
      <c r="Y32" s="66"/>
      <c r="Z32" s="66"/>
      <c r="AA32" s="66"/>
    </row>
    <row r="33" ht="15">
      <c r="J33" s="176"/>
    </row>
    <row r="34" ht="15">
      <c r="J34" s="176"/>
    </row>
    <row r="35" spans="2:10" ht="15">
      <c r="B35" s="176"/>
      <c r="C35" s="176"/>
      <c r="D35" s="176"/>
      <c r="E35" s="176"/>
      <c r="F35" s="176"/>
      <c r="G35" s="176"/>
      <c r="H35" s="176"/>
      <c r="I35" s="176"/>
      <c r="J35" s="176"/>
    </row>
    <row r="36" spans="2:10" ht="15">
      <c r="B36" s="176"/>
      <c r="C36" s="176"/>
      <c r="D36" s="176"/>
      <c r="E36" s="176"/>
      <c r="F36" s="176"/>
      <c r="G36" s="176"/>
      <c r="H36" s="176"/>
      <c r="I36" s="176"/>
      <c r="J36" s="176"/>
    </row>
  </sheetData>
  <sheetProtection password="EE03" sheet="1" objects="1" scenarios="1"/>
  <mergeCells count="2">
    <mergeCell ref="N4:T8"/>
    <mergeCell ref="B20:I2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CK57"/>
  <sheetViews>
    <sheetView zoomScalePageLayoutView="75" workbookViewId="0" topLeftCell="A1">
      <pane ySplit="9" topLeftCell="A46" activePane="bottomLeft" state="frozen"/>
      <selection pane="topLeft" activeCell="A1" sqref="A1"/>
      <selection pane="bottomLeft" activeCell="C47" sqref="C47"/>
    </sheetView>
  </sheetViews>
  <sheetFormatPr defaultColWidth="8.8515625" defaultRowHeight="15"/>
  <cols>
    <col min="1" max="1" width="6.28125" style="85" customWidth="1"/>
    <col min="2" max="2" width="29.140625" style="7" customWidth="1"/>
    <col min="3" max="5" width="11.7109375" style="129" customWidth="1"/>
    <col min="6" max="6" width="12.140625" style="129" customWidth="1"/>
    <col min="7" max="7" width="17.140625" style="129" customWidth="1"/>
    <col min="8" max="9" width="11.421875" style="129" customWidth="1"/>
    <col min="10" max="11" width="10.421875" style="129" customWidth="1"/>
    <col min="12" max="12" width="11.28125" style="450" customWidth="1"/>
    <col min="13" max="16384" width="8.8515625" style="7" customWidth="1"/>
  </cols>
  <sheetData>
    <row r="1" spans="1:14" ht="23.25">
      <c r="A1" s="226"/>
      <c r="B1" s="125" t="s">
        <v>292</v>
      </c>
      <c r="C1" s="126"/>
      <c r="D1" s="126"/>
      <c r="E1" s="126"/>
      <c r="F1" s="126"/>
      <c r="G1" s="126"/>
      <c r="H1" s="126"/>
      <c r="I1" s="126"/>
      <c r="J1" s="126"/>
      <c r="K1" s="126"/>
      <c r="L1" s="448"/>
      <c r="M1" s="124"/>
      <c r="N1" s="124"/>
    </row>
    <row r="2" spans="1:14" ht="21">
      <c r="A2" s="226"/>
      <c r="B2" s="127" t="s">
        <v>293</v>
      </c>
      <c r="C2" s="126"/>
      <c r="D2" s="126"/>
      <c r="E2" s="126"/>
      <c r="F2" s="126"/>
      <c r="G2" s="126"/>
      <c r="H2" s="126"/>
      <c r="I2" s="126"/>
      <c r="J2" s="126"/>
      <c r="K2" s="126"/>
      <c r="L2" s="448"/>
      <c r="M2" s="124"/>
      <c r="N2" s="124"/>
    </row>
    <row r="3" spans="1:14" ht="15">
      <c r="A3" s="226"/>
      <c r="C3" s="126"/>
      <c r="D3" s="126"/>
      <c r="E3" s="126"/>
      <c r="F3" s="126"/>
      <c r="G3" s="126"/>
      <c r="H3" s="126"/>
      <c r="I3" s="126"/>
      <c r="J3" s="126"/>
      <c r="K3" s="126"/>
      <c r="L3" s="448"/>
      <c r="M3" s="124"/>
      <c r="N3" s="124"/>
    </row>
    <row r="4" spans="1:14" s="131" customFormat="1" ht="15">
      <c r="A4" s="226"/>
      <c r="B4" s="226" t="s">
        <v>575</v>
      </c>
      <c r="C4" s="227"/>
      <c r="D4" s="227"/>
      <c r="E4" s="227"/>
      <c r="F4" s="227"/>
      <c r="G4" s="227"/>
      <c r="H4" s="227"/>
      <c r="I4" s="227"/>
      <c r="J4" s="227"/>
      <c r="K4" s="227"/>
      <c r="L4" s="449"/>
      <c r="M4" s="132"/>
      <c r="N4" s="132"/>
    </row>
    <row r="5" spans="1:14" s="131" customFormat="1" ht="15">
      <c r="A5" s="226"/>
      <c r="B5" s="228" t="s">
        <v>576</v>
      </c>
      <c r="C5" s="229"/>
      <c r="D5" s="227"/>
      <c r="E5" s="227"/>
      <c r="F5" s="227"/>
      <c r="G5" s="227"/>
      <c r="H5" s="227"/>
      <c r="I5" s="227"/>
      <c r="J5" s="227"/>
      <c r="K5" s="227"/>
      <c r="L5" s="449"/>
      <c r="M5" s="132"/>
      <c r="N5" s="132"/>
    </row>
    <row r="6" spans="1:14" s="131" customFormat="1" ht="15">
      <c r="A6" s="226"/>
      <c r="B6" s="230" t="s">
        <v>639</v>
      </c>
      <c r="C6" s="229"/>
      <c r="D6" s="229"/>
      <c r="E6" s="229"/>
      <c r="F6" s="227"/>
      <c r="G6" s="227"/>
      <c r="H6" s="227"/>
      <c r="I6" s="227"/>
      <c r="J6" s="227"/>
      <c r="K6" s="227"/>
      <c r="L6" s="449"/>
      <c r="M6" s="132"/>
      <c r="N6" s="132"/>
    </row>
    <row r="7" spans="1:14" ht="15">
      <c r="A7" s="226"/>
      <c r="B7" s="85"/>
      <c r="C7" s="227"/>
      <c r="D7" s="227"/>
      <c r="E7" s="227"/>
      <c r="F7" s="227"/>
      <c r="G7" s="227"/>
      <c r="H7" s="227"/>
      <c r="I7" s="227"/>
      <c r="J7" s="227"/>
      <c r="K7" s="227"/>
      <c r="L7" s="449"/>
      <c r="M7" s="124"/>
      <c r="N7" s="124"/>
    </row>
    <row r="8" spans="1:14" ht="30" customHeight="1" thickBot="1">
      <c r="A8" s="226"/>
      <c r="B8" s="231"/>
      <c r="C8" s="469" t="s">
        <v>399</v>
      </c>
      <c r="D8" s="469"/>
      <c r="E8" s="469"/>
      <c r="F8" s="468" t="s">
        <v>203</v>
      </c>
      <c r="G8" s="468"/>
      <c r="H8" s="471" t="s">
        <v>6</v>
      </c>
      <c r="I8" s="471"/>
      <c r="J8" s="469" t="s">
        <v>80</v>
      </c>
      <c r="K8" s="470"/>
      <c r="L8" s="470"/>
      <c r="N8" s="124"/>
    </row>
    <row r="9" spans="1:29" ht="20.25" customHeight="1" thickBot="1">
      <c r="A9" s="446"/>
      <c r="B9" s="232" t="s">
        <v>0</v>
      </c>
      <c r="C9" s="233" t="s">
        <v>1</v>
      </c>
      <c r="D9" s="233" t="s">
        <v>2</v>
      </c>
      <c r="E9" s="234" t="s">
        <v>3</v>
      </c>
      <c r="F9" s="235" t="s">
        <v>4</v>
      </c>
      <c r="G9" s="236" t="s">
        <v>5</v>
      </c>
      <c r="H9" s="237" t="s">
        <v>590</v>
      </c>
      <c r="I9" s="238" t="s">
        <v>591</v>
      </c>
      <c r="J9" s="239" t="s">
        <v>1</v>
      </c>
      <c r="K9" s="239" t="s">
        <v>2</v>
      </c>
      <c r="L9" s="238" t="s">
        <v>3</v>
      </c>
      <c r="M9" s="124"/>
      <c r="N9" s="124"/>
      <c r="O9" s="124"/>
      <c r="P9" s="124"/>
      <c r="Q9" s="124"/>
      <c r="R9" s="124"/>
      <c r="S9" s="124"/>
      <c r="T9" s="124"/>
      <c r="U9" s="124"/>
      <c r="V9" s="124"/>
      <c r="W9" s="124"/>
      <c r="X9" s="124"/>
      <c r="Y9" s="124"/>
      <c r="Z9" s="124"/>
      <c r="AA9" s="124"/>
      <c r="AB9" s="124"/>
      <c r="AC9" s="124"/>
    </row>
    <row r="10" spans="1:14" ht="59.25" customHeight="1">
      <c r="A10" s="85">
        <v>1</v>
      </c>
      <c r="B10" s="240" t="s">
        <v>610</v>
      </c>
      <c r="C10" s="241">
        <f>'Heating Assumptions+Calcs (CHM)'!B93</f>
        <v>312.5703564727953</v>
      </c>
      <c r="D10" s="241">
        <f>'Heating Assumptions+Calcs (CHM)'!C93</f>
        <v>463.3395872420263</v>
      </c>
      <c r="E10" s="241">
        <f>'Heating Assumptions+Calcs (CHM)'!D93</f>
        <v>367.72983114446527</v>
      </c>
      <c r="F10" s="242">
        <f>G10/25.36</f>
        <v>0.16856545741324921</v>
      </c>
      <c r="G10" s="243">
        <f>'Heating Assumptions+Calcs (CHM)'!D13</f>
        <v>4.27482</v>
      </c>
      <c r="H10" s="244">
        <f aca="true" t="shared" si="0" ref="H10:H53">G10*0.5</f>
        <v>2.13741</v>
      </c>
      <c r="I10" s="245">
        <f aca="true" t="shared" si="1" ref="I10:I53">G10*0.75</f>
        <v>3.206115</v>
      </c>
      <c r="J10" s="246">
        <f aca="true" t="shared" si="2" ref="J10:J53">C10*H10</f>
        <v>668.0910056285175</v>
      </c>
      <c r="K10" s="246">
        <f aca="true" t="shared" si="3" ref="K10:K53">D10*I10</f>
        <v>1485.5200007504693</v>
      </c>
      <c r="L10" s="451">
        <f aca="true" t="shared" si="4" ref="L10:L53">E10*(H10+I10)/2</f>
        <v>982.4867729831143</v>
      </c>
      <c r="N10" s="128"/>
    </row>
    <row r="11" spans="1:14" ht="59.25" customHeight="1">
      <c r="A11" s="85">
        <f aca="true" t="shared" si="5" ref="A11:A53">A10+1</f>
        <v>2</v>
      </c>
      <c r="B11" s="209" t="s">
        <v>708</v>
      </c>
      <c r="C11" s="218">
        <f>'Heating Assumptions+Calcs (CHM)'!B104</f>
        <v>0</v>
      </c>
      <c r="D11" s="218">
        <f>'Heating Assumptions+Calcs (CHM)'!C104</f>
        <v>0</v>
      </c>
      <c r="E11" s="218">
        <f>'Heating Assumptions+Calcs (CHM)'!D104</f>
        <v>0</v>
      </c>
      <c r="F11" s="210">
        <f>G11/25.36</f>
        <v>0.1295790615141956</v>
      </c>
      <c r="G11" s="211">
        <f>'Heating Assumptions+Calcs (CHM)'!D22</f>
        <v>3.286125</v>
      </c>
      <c r="H11" s="212">
        <f t="shared" si="0"/>
        <v>1.6430625</v>
      </c>
      <c r="I11" s="213">
        <f t="shared" si="1"/>
        <v>2.46459375</v>
      </c>
      <c r="J11" s="214">
        <f t="shared" si="2"/>
        <v>0</v>
      </c>
      <c r="K11" s="214">
        <f t="shared" si="3"/>
        <v>0</v>
      </c>
      <c r="L11" s="452">
        <f t="shared" si="4"/>
        <v>0</v>
      </c>
      <c r="M11" s="124" t="s">
        <v>449</v>
      </c>
      <c r="N11" s="124"/>
    </row>
    <row r="12" spans="1:14" ht="59.25" customHeight="1">
      <c r="A12" s="85">
        <f>A11+1</f>
        <v>3</v>
      </c>
      <c r="B12" s="247" t="s">
        <v>611</v>
      </c>
      <c r="C12" s="248">
        <f>'Heating Assumptions+Calcs (CHM)'!B120</f>
        <v>224.06191369606037</v>
      </c>
      <c r="D12" s="248">
        <f>'Heating Assumptions+Calcs (CHM)'!C120</f>
        <v>332.1388367729852</v>
      </c>
      <c r="E12" s="248">
        <f>'Heating Assumptions+Calcs (CHM)'!D120</f>
        <v>263.6022514071294</v>
      </c>
      <c r="F12" s="249">
        <f>G12/25.36</f>
        <v>0.5084006309148265</v>
      </c>
      <c r="G12" s="250">
        <f>'Heating Assumptions+Calcs (CHM)'!D17</f>
        <v>12.89304</v>
      </c>
      <c r="H12" s="244">
        <f t="shared" si="0"/>
        <v>6.44652</v>
      </c>
      <c r="I12" s="245">
        <f t="shared" si="1"/>
        <v>9.66978</v>
      </c>
      <c r="J12" s="251">
        <f t="shared" si="2"/>
        <v>1444.419607879927</v>
      </c>
      <c r="K12" s="251">
        <f t="shared" si="3"/>
        <v>3211.7094810506765</v>
      </c>
      <c r="L12" s="451">
        <f t="shared" si="4"/>
        <v>2124.1464821763598</v>
      </c>
      <c r="M12" s="124" t="s">
        <v>530</v>
      </c>
      <c r="N12" s="124"/>
    </row>
    <row r="13" spans="1:14" ht="59.25" customHeight="1">
      <c r="A13" s="85">
        <f t="shared" si="5"/>
        <v>4</v>
      </c>
      <c r="B13" s="252" t="s">
        <v>612</v>
      </c>
      <c r="C13" s="253">
        <f>'Heating Assumptions+Calcs (CHM)'!B134</f>
        <v>2454.315196998124</v>
      </c>
      <c r="D13" s="253">
        <f>'Heating Assumptions+Calcs (CHM)'!C134</f>
        <v>3638.161350844278</v>
      </c>
      <c r="E13" s="253">
        <f>'Heating Assumptions+Calcs (CHM)'!D134</f>
        <v>2887.4296435272045</v>
      </c>
      <c r="F13" s="210">
        <f>G13/25.36</f>
        <v>0.009645189274447949</v>
      </c>
      <c r="G13" s="254">
        <f>'Heating Assumptions+Calcs (CHM)'!D19</f>
        <v>0.24460199999999999</v>
      </c>
      <c r="H13" s="255">
        <f t="shared" si="0"/>
        <v>0.12230099999999999</v>
      </c>
      <c r="I13" s="256">
        <f t="shared" si="1"/>
        <v>0.1834515</v>
      </c>
      <c r="J13" s="257">
        <f t="shared" si="2"/>
        <v>300.16520290806756</v>
      </c>
      <c r="K13" s="257">
        <f t="shared" si="3"/>
        <v>667.426157054409</v>
      </c>
      <c r="L13" s="453">
        <f t="shared" si="4"/>
        <v>441.4194160412758</v>
      </c>
      <c r="M13" s="124"/>
      <c r="N13" s="124"/>
    </row>
    <row r="14" spans="1:89" s="177" customFormat="1" ht="75.75" customHeight="1">
      <c r="A14" s="98">
        <f t="shared" si="5"/>
        <v>5</v>
      </c>
      <c r="B14" s="258" t="s">
        <v>577</v>
      </c>
      <c r="C14" s="259">
        <f>'Heating Assumptions+Calcs (CHM)'!B144</f>
        <v>-771.1200000000001</v>
      </c>
      <c r="D14" s="259">
        <f>'Heating Assumptions+Calcs (CHM)'!C144</f>
        <v>979.776</v>
      </c>
      <c r="E14" s="259">
        <f>'Heating Assumptions+Calcs (CHM)'!D144</f>
        <v>388.8</v>
      </c>
      <c r="F14" s="249">
        <f>'Heating Assumptions+Calcs (CHM)'!D42+'Heating Assumptions+Calcs (CHM)'!D43-('Heating Assumptions+Calcs (CHM)'!D42*'Heating Assumptions+Calcs (CHM)'!D43)</f>
        <v>0.44</v>
      </c>
      <c r="G14" s="250">
        <f>F14*25.36</f>
        <v>11.1584</v>
      </c>
      <c r="H14" s="244">
        <f t="shared" si="0"/>
        <v>5.5792</v>
      </c>
      <c r="I14" s="245">
        <f t="shared" si="1"/>
        <v>8.3688</v>
      </c>
      <c r="J14" s="251">
        <f t="shared" si="2"/>
        <v>-4302.232704000001</v>
      </c>
      <c r="K14" s="251">
        <f t="shared" si="3"/>
        <v>8199.5493888</v>
      </c>
      <c r="L14" s="451">
        <f t="shared" si="4"/>
        <v>2711.4912</v>
      </c>
      <c r="M14" s="132"/>
      <c r="N14" s="132"/>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14" ht="59.25" customHeight="1">
      <c r="A15" s="85">
        <f>A14+1</f>
        <v>6</v>
      </c>
      <c r="B15" s="260" t="s">
        <v>613</v>
      </c>
      <c r="C15" s="253">
        <f>'Heating Assumptions+Calcs (CHM)'!B154</f>
        <v>1298.9212007504686</v>
      </c>
      <c r="D15" s="253">
        <f>'Heating Assumptions+Calcs (CHM)'!C154</f>
        <v>1925.4596622889312</v>
      </c>
      <c r="E15" s="253">
        <f>'Heating Assumptions+Calcs (CHM)'!D154</f>
        <v>1528.1425891181989</v>
      </c>
      <c r="F15" s="210">
        <f>G15/25.36</f>
        <v>0.6805717665615142</v>
      </c>
      <c r="G15" s="261">
        <f>'Heating Assumptions+Calcs (CHM)'!D10</f>
        <v>17.2593</v>
      </c>
      <c r="H15" s="255">
        <f t="shared" si="0"/>
        <v>8.62965</v>
      </c>
      <c r="I15" s="256">
        <f t="shared" si="1"/>
        <v>12.944475</v>
      </c>
      <c r="J15" s="257">
        <f t="shared" si="2"/>
        <v>11209.23534005628</v>
      </c>
      <c r="K15" s="257">
        <f t="shared" si="3"/>
        <v>24924.064462007515</v>
      </c>
      <c r="L15" s="453">
        <f t="shared" si="4"/>
        <v>16484.169617729833</v>
      </c>
      <c r="M15" s="124"/>
      <c r="N15" s="124"/>
    </row>
    <row r="16" spans="1:14" ht="58.5" customHeight="1">
      <c r="A16" s="85">
        <f t="shared" si="5"/>
        <v>7</v>
      </c>
      <c r="B16" s="258" t="s">
        <v>614</v>
      </c>
      <c r="C16" s="248">
        <f>'Heating Assumptions+Calcs (CHM)'!B165</f>
        <v>2628.9399624765465</v>
      </c>
      <c r="D16" s="248">
        <f>'Heating Assumptions+Calcs (CHM)'!C165</f>
        <v>3897.0168855534703</v>
      </c>
      <c r="E16" s="248">
        <f>'Heating Assumptions+Calcs (CHM)'!D165</f>
        <v>3092.8705440900562</v>
      </c>
      <c r="F16" s="249">
        <f>G16/25.36</f>
        <v>0.6805717665615142</v>
      </c>
      <c r="G16" s="250">
        <f>'Heating Assumptions+Calcs (CHM)'!D10</f>
        <v>17.2593</v>
      </c>
      <c r="H16" s="244">
        <f t="shared" si="0"/>
        <v>8.62965</v>
      </c>
      <c r="I16" s="245">
        <f t="shared" si="1"/>
        <v>12.944475</v>
      </c>
      <c r="J16" s="251">
        <f t="shared" si="2"/>
        <v>22686.83174718573</v>
      </c>
      <c r="K16" s="251">
        <f t="shared" si="3"/>
        <v>50444.83764962476</v>
      </c>
      <c r="L16" s="451">
        <f t="shared" si="4"/>
        <v>33362.987863508446</v>
      </c>
      <c r="M16" s="124"/>
      <c r="N16" s="124"/>
    </row>
    <row r="17" spans="1:14" ht="58.5" customHeight="1">
      <c r="A17" s="85">
        <f t="shared" si="5"/>
        <v>8</v>
      </c>
      <c r="B17" s="258" t="s">
        <v>615</v>
      </c>
      <c r="C17" s="248">
        <f>'Heating Assumptions+Calcs (CHM)'!B176</f>
        <v>566.9324577861166</v>
      </c>
      <c r="D17" s="248">
        <f>'Heating Assumptions+Calcs (CHM)'!C176</f>
        <v>840.3939962476553</v>
      </c>
      <c r="E17" s="248">
        <f>'Heating Assumptions+Calcs (CHM)'!D176</f>
        <v>666.9793621013133</v>
      </c>
      <c r="F17" s="249">
        <f>G17/25.36</f>
        <v>1</v>
      </c>
      <c r="G17" s="262">
        <v>25.36</v>
      </c>
      <c r="H17" s="244">
        <f t="shared" si="0"/>
        <v>12.68</v>
      </c>
      <c r="I17" s="245">
        <f t="shared" si="1"/>
        <v>19.02</v>
      </c>
      <c r="J17" s="251">
        <f t="shared" si="2"/>
        <v>7188.703564727959</v>
      </c>
      <c r="K17" s="251">
        <f t="shared" si="3"/>
        <v>15984.293808630404</v>
      </c>
      <c r="L17" s="451">
        <f t="shared" si="4"/>
        <v>10571.622889305816</v>
      </c>
      <c r="M17" s="124"/>
      <c r="N17" s="124"/>
    </row>
    <row r="18" spans="1:14" ht="58.5" customHeight="1">
      <c r="A18" s="85">
        <f t="shared" si="5"/>
        <v>9</v>
      </c>
      <c r="B18" s="260" t="s">
        <v>616</v>
      </c>
      <c r="C18" s="253">
        <f>'Heating Assumptions+Calcs (CHM)'!B188</f>
        <v>354.8311444652908</v>
      </c>
      <c r="D18" s="253">
        <f>'Heating Assumptions+Calcs (CHM)'!C188</f>
        <v>525.9849906191359</v>
      </c>
      <c r="E18" s="253">
        <f>'Heating Assumptions+Calcs (CHM)'!D188</f>
        <v>417.4484052532833</v>
      </c>
      <c r="F18" s="264">
        <f>G18/25.36</f>
        <v>0.10015772870662461</v>
      </c>
      <c r="G18" s="254">
        <f>'Heating Assumptions+Calcs (CHM)'!D26</f>
        <v>2.54</v>
      </c>
      <c r="H18" s="255">
        <f t="shared" si="0"/>
        <v>1.27</v>
      </c>
      <c r="I18" s="256">
        <f t="shared" si="1"/>
        <v>1.905</v>
      </c>
      <c r="J18" s="257">
        <f t="shared" si="2"/>
        <v>450.6355534709193</v>
      </c>
      <c r="K18" s="257">
        <f t="shared" si="3"/>
        <v>1002.001407129454</v>
      </c>
      <c r="L18" s="453">
        <f t="shared" si="4"/>
        <v>662.6993433395871</v>
      </c>
      <c r="M18" s="124"/>
      <c r="N18" s="124"/>
    </row>
    <row r="19" spans="1:14" ht="58.5" customHeight="1">
      <c r="A19" s="85">
        <f t="shared" si="5"/>
        <v>10</v>
      </c>
      <c r="B19" s="258" t="s">
        <v>583</v>
      </c>
      <c r="C19" s="259">
        <f>'Hot Water Assumptions+Calcs'!B43</f>
        <v>-128.3437037037037</v>
      </c>
      <c r="D19" s="259">
        <f>'Hot Water Assumptions+Calcs'!C43</f>
        <v>501.0404848484848</v>
      </c>
      <c r="E19" s="259">
        <f>'Hot Water Assumptions+Calcs'!D43</f>
        <v>162.5173333333333</v>
      </c>
      <c r="F19" s="249">
        <f>'Hot Water Assumptions+Calcs'!E21</f>
        <v>0.65</v>
      </c>
      <c r="G19" s="265">
        <f aca="true" t="shared" si="6" ref="G19:G34">F19*25.36</f>
        <v>16.484</v>
      </c>
      <c r="H19" s="244">
        <f t="shared" si="0"/>
        <v>8.242</v>
      </c>
      <c r="I19" s="245">
        <f t="shared" si="1"/>
        <v>12.363000000000001</v>
      </c>
      <c r="J19" s="251">
        <f t="shared" si="2"/>
        <v>-1057.808805925926</v>
      </c>
      <c r="K19" s="251">
        <f t="shared" si="3"/>
        <v>6194.363514181819</v>
      </c>
      <c r="L19" s="451">
        <f t="shared" si="4"/>
        <v>1674.3348266666667</v>
      </c>
      <c r="M19" s="124"/>
      <c r="N19" s="124"/>
    </row>
    <row r="20" spans="1:14" s="131" customFormat="1" ht="58.5" customHeight="1">
      <c r="A20" s="85">
        <f t="shared" si="5"/>
        <v>11</v>
      </c>
      <c r="B20" s="260" t="s">
        <v>584</v>
      </c>
      <c r="C20" s="263">
        <f>'Hot Water Assumptions+Calcs'!B54</f>
        <v>47.02340740740741</v>
      </c>
      <c r="D20" s="263">
        <f>'Hot Water Assumptions+Calcs'!C54</f>
        <v>352.0872727272727</v>
      </c>
      <c r="E20" s="263">
        <f>'Hot Water Assumptions+Calcs'!D54</f>
        <v>132.01066666666668</v>
      </c>
      <c r="F20" s="210">
        <f>'Hot Water Assumptions+Calcs'!E22</f>
        <v>0.8</v>
      </c>
      <c r="G20" s="261">
        <f t="shared" si="6"/>
        <v>20.288</v>
      </c>
      <c r="H20" s="255">
        <f t="shared" si="0"/>
        <v>10.144</v>
      </c>
      <c r="I20" s="256">
        <f t="shared" si="1"/>
        <v>15.216000000000001</v>
      </c>
      <c r="J20" s="257">
        <f t="shared" si="2"/>
        <v>477.0054447407408</v>
      </c>
      <c r="K20" s="257">
        <f t="shared" si="3"/>
        <v>5357.359941818182</v>
      </c>
      <c r="L20" s="453">
        <f t="shared" si="4"/>
        <v>1673.8952533333334</v>
      </c>
      <c r="M20" s="132"/>
      <c r="N20" s="132"/>
    </row>
    <row r="21" spans="1:14" s="131" customFormat="1" ht="58.5" customHeight="1">
      <c r="A21" s="85">
        <f t="shared" si="5"/>
        <v>12</v>
      </c>
      <c r="B21" s="258" t="s">
        <v>7</v>
      </c>
      <c r="C21" s="259">
        <f>'Hot Water Assumptions+Calcs'!B67</f>
        <v>412.5851851851852</v>
      </c>
      <c r="D21" s="259">
        <f>'Hot Water Assumptions+Calcs'!C67</f>
        <v>4530.866666666666</v>
      </c>
      <c r="E21" s="259">
        <f>'Hot Water Assumptions+Calcs'!D67</f>
        <v>810.7866666666669</v>
      </c>
      <c r="F21" s="249">
        <f>'Hot Water Assumptions+Calcs'!E23</f>
        <v>0.4</v>
      </c>
      <c r="G21" s="265">
        <f t="shared" si="6"/>
        <v>10.144</v>
      </c>
      <c r="H21" s="244">
        <f t="shared" si="0"/>
        <v>5.072</v>
      </c>
      <c r="I21" s="245">
        <f t="shared" si="1"/>
        <v>7.6080000000000005</v>
      </c>
      <c r="J21" s="251">
        <f t="shared" si="2"/>
        <v>2092.632059259259</v>
      </c>
      <c r="K21" s="251">
        <f t="shared" si="3"/>
        <v>34470.8336</v>
      </c>
      <c r="L21" s="451">
        <f t="shared" si="4"/>
        <v>5140.387466666668</v>
      </c>
      <c r="M21" s="132"/>
      <c r="N21" s="132"/>
    </row>
    <row r="22" spans="1:14" s="131" customFormat="1" ht="58.5" customHeight="1">
      <c r="A22" s="85">
        <f t="shared" si="5"/>
        <v>13</v>
      </c>
      <c r="B22" s="260" t="s">
        <v>64</v>
      </c>
      <c r="C22" s="263">
        <f>'Hot Water Assumptions+Calcs'!B77</f>
        <v>10.986500000000001</v>
      </c>
      <c r="D22" s="263">
        <f>'Hot Water Assumptions+Calcs'!C77</f>
        <v>476.25200000000007</v>
      </c>
      <c r="E22" s="263">
        <f>'Hot Water Assumptions+Calcs'!D77</f>
        <v>125.36533333333334</v>
      </c>
      <c r="F22" s="210">
        <f>'Hot Water Assumptions+Calcs'!E27</f>
        <v>0.1</v>
      </c>
      <c r="G22" s="261">
        <f t="shared" si="6"/>
        <v>2.536</v>
      </c>
      <c r="H22" s="255">
        <f t="shared" si="0"/>
        <v>1.268</v>
      </c>
      <c r="I22" s="256">
        <f t="shared" si="1"/>
        <v>1.9020000000000001</v>
      </c>
      <c r="J22" s="257">
        <f t="shared" si="2"/>
        <v>13.930882000000002</v>
      </c>
      <c r="K22" s="257">
        <f t="shared" si="3"/>
        <v>905.8313040000002</v>
      </c>
      <c r="L22" s="453">
        <f t="shared" si="4"/>
        <v>198.70405333333335</v>
      </c>
      <c r="M22" s="132"/>
      <c r="N22" s="132"/>
    </row>
    <row r="23" spans="1:14" ht="58.5" customHeight="1">
      <c r="A23" s="85">
        <f t="shared" si="5"/>
        <v>14</v>
      </c>
      <c r="B23" s="258" t="s">
        <v>8</v>
      </c>
      <c r="C23" s="266">
        <f>'Washing Assumptions+Calcs'!B30</f>
        <v>0</v>
      </c>
      <c r="D23" s="266">
        <f>'Washing Assumptions+Calcs'!C30</f>
        <v>780</v>
      </c>
      <c r="E23" s="266">
        <f>'Washing Assumptions+Calcs'!D30</f>
        <v>182</v>
      </c>
      <c r="F23" s="249">
        <f>'Washing Assumptions+Calcs'!D8</f>
        <v>0.39</v>
      </c>
      <c r="G23" s="265">
        <f t="shared" si="6"/>
        <v>9.8904</v>
      </c>
      <c r="H23" s="244">
        <f t="shared" si="0"/>
        <v>4.9452</v>
      </c>
      <c r="I23" s="245">
        <f t="shared" si="1"/>
        <v>7.4178</v>
      </c>
      <c r="J23" s="251">
        <f t="shared" si="2"/>
        <v>0</v>
      </c>
      <c r="K23" s="251">
        <f t="shared" si="3"/>
        <v>5785.884</v>
      </c>
      <c r="L23" s="451">
        <f t="shared" si="4"/>
        <v>1125.033</v>
      </c>
      <c r="M23" s="124"/>
      <c r="N23" s="124"/>
    </row>
    <row r="24" spans="1:14" s="131" customFormat="1" ht="58.5" customHeight="1">
      <c r="A24" s="85">
        <f t="shared" si="5"/>
        <v>15</v>
      </c>
      <c r="B24" s="260" t="s">
        <v>9</v>
      </c>
      <c r="C24" s="263">
        <f>'Washing Assumptions+Calcs'!B40</f>
        <v>8.666666666666668</v>
      </c>
      <c r="D24" s="263">
        <f>'Washing Assumptions+Calcs'!C40</f>
        <v>346.66666666666663</v>
      </c>
      <c r="E24" s="263">
        <f>'Washing Assumptions+Calcs'!D40</f>
        <v>103.99999999999999</v>
      </c>
      <c r="F24" s="210">
        <f>'Washing Assumptions+Calcs'!D41</f>
        <v>0.0897</v>
      </c>
      <c r="G24" s="261">
        <f t="shared" si="6"/>
        <v>2.274792</v>
      </c>
      <c r="H24" s="255">
        <f t="shared" si="0"/>
        <v>1.137396</v>
      </c>
      <c r="I24" s="256">
        <f t="shared" si="1"/>
        <v>1.7060940000000002</v>
      </c>
      <c r="J24" s="257">
        <f t="shared" si="2"/>
        <v>9.857432000000003</v>
      </c>
      <c r="K24" s="257">
        <f t="shared" si="3"/>
        <v>591.44592</v>
      </c>
      <c r="L24" s="453">
        <f t="shared" si="4"/>
        <v>147.86147999999997</v>
      </c>
      <c r="M24" s="132"/>
      <c r="N24" s="132"/>
    </row>
    <row r="25" spans="1:14" s="131" customFormat="1" ht="58.5" customHeight="1">
      <c r="A25" s="85">
        <f t="shared" si="5"/>
        <v>16</v>
      </c>
      <c r="B25" s="258" t="s">
        <v>10</v>
      </c>
      <c r="C25" s="266">
        <f>'Washing Assumptions+Calcs'!B50</f>
        <v>20.8</v>
      </c>
      <c r="D25" s="266">
        <f>'Washing Assumptions+Calcs'!C50</f>
        <v>2704</v>
      </c>
      <c r="E25" s="266">
        <f>'Washing Assumptions+Calcs'!D50</f>
        <v>364</v>
      </c>
      <c r="F25" s="249">
        <f>'Washing Assumptions+Calcs'!D51</f>
        <v>0.29</v>
      </c>
      <c r="G25" s="265">
        <f t="shared" si="6"/>
        <v>7.354399999999999</v>
      </c>
      <c r="H25" s="244">
        <f t="shared" si="0"/>
        <v>3.6771999999999996</v>
      </c>
      <c r="I25" s="245">
        <f t="shared" si="1"/>
        <v>5.5158</v>
      </c>
      <c r="J25" s="251">
        <f t="shared" si="2"/>
        <v>76.48576</v>
      </c>
      <c r="K25" s="251">
        <f t="shared" si="3"/>
        <v>14914.723199999999</v>
      </c>
      <c r="L25" s="451">
        <f t="shared" si="4"/>
        <v>1673.126</v>
      </c>
      <c r="M25" s="132"/>
      <c r="N25" s="132"/>
    </row>
    <row r="26" spans="1:14" s="131" customFormat="1" ht="58.5" customHeight="1">
      <c r="A26" s="85">
        <f t="shared" si="5"/>
        <v>17</v>
      </c>
      <c r="B26" s="260" t="s">
        <v>11</v>
      </c>
      <c r="C26" s="267">
        <f>'Washing Assumptions+Calcs'!B59</f>
        <v>20.8</v>
      </c>
      <c r="D26" s="267">
        <f>'Washing Assumptions+Calcs'!C59</f>
        <v>364</v>
      </c>
      <c r="E26" s="267">
        <f>'Washing Assumptions+Calcs'!D59</f>
        <v>70.2</v>
      </c>
      <c r="F26" s="210">
        <f>'Washing Assumptions+Calcs'!D19</f>
        <v>0.23</v>
      </c>
      <c r="G26" s="261">
        <f t="shared" si="6"/>
        <v>5.8328</v>
      </c>
      <c r="H26" s="255">
        <f t="shared" si="0"/>
        <v>2.9164</v>
      </c>
      <c r="I26" s="256">
        <f t="shared" si="1"/>
        <v>4.3746</v>
      </c>
      <c r="J26" s="257">
        <f t="shared" si="2"/>
        <v>60.66112</v>
      </c>
      <c r="K26" s="257">
        <f t="shared" si="3"/>
        <v>1592.3544</v>
      </c>
      <c r="L26" s="453">
        <f t="shared" si="4"/>
        <v>255.91410000000002</v>
      </c>
      <c r="M26" s="132"/>
      <c r="N26" s="132"/>
    </row>
    <row r="27" spans="1:14" s="131" customFormat="1" ht="58.5" customHeight="1">
      <c r="A27" s="85">
        <f t="shared" si="5"/>
        <v>18</v>
      </c>
      <c r="B27" s="258" t="s">
        <v>12</v>
      </c>
      <c r="C27" s="259">
        <f>'Lights+App. Assump.+Calcs'!B35</f>
        <v>16.260691404598525</v>
      </c>
      <c r="D27" s="259">
        <f>'Lights+App. Assump.+Calcs'!C35</f>
        <v>103.6619077043156</v>
      </c>
      <c r="E27" s="259">
        <f>'Lights+App. Assump.+Calcs'!D35</f>
        <v>49.39185014146801</v>
      </c>
      <c r="F27" s="249">
        <f>'Lights+App. Assump.+Calcs'!D11</f>
        <v>0.97</v>
      </c>
      <c r="G27" s="265">
        <f t="shared" si="6"/>
        <v>24.5992</v>
      </c>
      <c r="H27" s="244">
        <f t="shared" si="0"/>
        <v>12.2996</v>
      </c>
      <c r="I27" s="245">
        <f t="shared" si="1"/>
        <v>18.4494</v>
      </c>
      <c r="J27" s="251">
        <f t="shared" si="2"/>
        <v>200.00000000000003</v>
      </c>
      <c r="K27" s="251">
        <f t="shared" si="3"/>
        <v>1912.5000000000002</v>
      </c>
      <c r="L27" s="451">
        <f t="shared" si="4"/>
        <v>759.375</v>
      </c>
      <c r="M27" s="132"/>
      <c r="N27" s="132"/>
    </row>
    <row r="28" spans="1:14" ht="58.5" customHeight="1">
      <c r="A28" s="85">
        <f t="shared" si="5"/>
        <v>19</v>
      </c>
      <c r="B28" s="260" t="s">
        <v>13</v>
      </c>
      <c r="C28" s="263">
        <f>'Refrig. Assumptions+Calcs'!B152</f>
        <v>40.36141636141637</v>
      </c>
      <c r="D28" s="263">
        <f>'Refrig. Assumptions+Calcs'!C152</f>
        <v>858.4617283950616</v>
      </c>
      <c r="E28" s="263">
        <f>'Refrig. Assumptions+Calcs'!D152</f>
        <v>215.75307357655444</v>
      </c>
      <c r="F28" s="210">
        <f>'Refrig. Assumptions+Calcs'!D33*SUM('Refrig. Assumptions+Calcs'!D19:D21)</f>
        <v>0.14444444444444446</v>
      </c>
      <c r="G28" s="261">
        <f t="shared" si="6"/>
        <v>3.663111111111111</v>
      </c>
      <c r="H28" s="255">
        <f t="shared" si="0"/>
        <v>1.8315555555555556</v>
      </c>
      <c r="I28" s="256">
        <f t="shared" si="1"/>
        <v>2.7473333333333336</v>
      </c>
      <c r="J28" s="257">
        <f t="shared" si="2"/>
        <v>73.92417636684304</v>
      </c>
      <c r="K28" s="257">
        <f t="shared" si="3"/>
        <v>2358.4805218106994</v>
      </c>
      <c r="L28" s="453">
        <f t="shared" si="4"/>
        <v>493.95467567165605</v>
      </c>
      <c r="M28" s="124"/>
      <c r="N28" s="124"/>
    </row>
    <row r="29" spans="1:14" s="131" customFormat="1" ht="58.5" customHeight="1">
      <c r="A29" s="85">
        <f t="shared" si="5"/>
        <v>20</v>
      </c>
      <c r="B29" s="258" t="s">
        <v>14</v>
      </c>
      <c r="C29" s="259">
        <f>'Refrig. Assumptions+Calcs'!B163</f>
        <v>0.45054945054945056</v>
      </c>
      <c r="D29" s="259">
        <f>'Refrig. Assumptions+Calcs'!C163</f>
        <v>38.74616969568893</v>
      </c>
      <c r="E29" s="259">
        <f>'Refrig. Assumptions+Calcs'!D163</f>
        <v>4.276699862637362</v>
      </c>
      <c r="F29" s="249">
        <f>'Refrig. Assumptions+Calcs'!D39</f>
        <v>0.3</v>
      </c>
      <c r="G29" s="265">
        <f t="shared" si="6"/>
        <v>7.608</v>
      </c>
      <c r="H29" s="244">
        <f t="shared" si="0"/>
        <v>3.804</v>
      </c>
      <c r="I29" s="245">
        <f t="shared" si="1"/>
        <v>5.7059999999999995</v>
      </c>
      <c r="J29" s="251">
        <f t="shared" si="2"/>
        <v>1.7138901098901098</v>
      </c>
      <c r="K29" s="251">
        <f t="shared" si="3"/>
        <v>221.085644283601</v>
      </c>
      <c r="L29" s="451">
        <f t="shared" si="4"/>
        <v>20.335707846840656</v>
      </c>
      <c r="M29" s="132"/>
      <c r="N29" s="132"/>
    </row>
    <row r="30" spans="1:14" s="131" customFormat="1" ht="58.5" customHeight="1">
      <c r="A30" s="85">
        <f t="shared" si="5"/>
        <v>21</v>
      </c>
      <c r="B30" s="260" t="s">
        <v>15</v>
      </c>
      <c r="C30" s="263">
        <f>'Refrig. Assumptions+Calcs'!B173</f>
        <v>34.75686570924668</v>
      </c>
      <c r="D30" s="263">
        <f>'Refrig. Assumptions+Calcs'!C173</f>
        <v>266.6666666666666</v>
      </c>
      <c r="E30" s="263">
        <f>'Refrig. Assumptions+Calcs'!D173</f>
        <v>95.92879665147467</v>
      </c>
      <c r="F30" s="210">
        <f>'Refrig. Assumptions+Calcs'!D25*('Refrig. Assumptions+Calcs'!D20+'Refrig. Assumptions+Calcs'!D21)</f>
        <v>0.22222222222222224</v>
      </c>
      <c r="G30" s="261">
        <f t="shared" si="6"/>
        <v>5.635555555555555</v>
      </c>
      <c r="H30" s="255">
        <f t="shared" si="0"/>
        <v>2.8177777777777777</v>
      </c>
      <c r="I30" s="256">
        <f t="shared" si="1"/>
        <v>4.226666666666667</v>
      </c>
      <c r="J30" s="257">
        <f t="shared" si="2"/>
        <v>97.93712382072177</v>
      </c>
      <c r="K30" s="257">
        <f t="shared" si="3"/>
        <v>1127.1111111111106</v>
      </c>
      <c r="L30" s="453">
        <f t="shared" si="4"/>
        <v>337.8825393168608</v>
      </c>
      <c r="M30" s="132"/>
      <c r="N30" s="132"/>
    </row>
    <row r="31" spans="1:12" s="136" customFormat="1" ht="58.5" customHeight="1">
      <c r="A31" s="98">
        <f t="shared" si="5"/>
        <v>22</v>
      </c>
      <c r="B31" s="258" t="s">
        <v>16</v>
      </c>
      <c r="C31" s="259">
        <f>'Refrig. Assumptions+Calcs'!B182</f>
        <v>16.800000000000015</v>
      </c>
      <c r="D31" s="259">
        <f>'Refrig. Assumptions+Calcs'!C182</f>
        <v>68.4812623274161</v>
      </c>
      <c r="E31" s="259">
        <f>'Refrig. Assumptions+Calcs'!D182</f>
        <v>38.89197144288577</v>
      </c>
      <c r="F31" s="249">
        <f>'Refrig. Assumptions+Calcs'!D24*SUM('Refrig. Assumptions+Calcs'!D19:D20)</f>
        <v>0.3</v>
      </c>
      <c r="G31" s="265">
        <f t="shared" si="6"/>
        <v>7.608</v>
      </c>
      <c r="H31" s="244">
        <f t="shared" si="0"/>
        <v>3.804</v>
      </c>
      <c r="I31" s="245">
        <f t="shared" si="1"/>
        <v>5.7059999999999995</v>
      </c>
      <c r="J31" s="251">
        <f t="shared" si="2"/>
        <v>63.90720000000005</v>
      </c>
      <c r="K31" s="251">
        <f t="shared" si="3"/>
        <v>390.75408284023626</v>
      </c>
      <c r="L31" s="451">
        <f t="shared" si="4"/>
        <v>184.93132421092182</v>
      </c>
    </row>
    <row r="32" spans="1:14" ht="58.5" customHeight="1">
      <c r="A32" s="85">
        <f t="shared" si="5"/>
        <v>23</v>
      </c>
      <c r="B32" s="260" t="s">
        <v>17</v>
      </c>
      <c r="C32" s="268">
        <f>'Refrig. Assumptions+Calcs'!B192</f>
        <v>1.70135625</v>
      </c>
      <c r="D32" s="268">
        <f>'Refrig. Assumptions+Calcs'!C192</f>
        <v>52.93108333333334</v>
      </c>
      <c r="E32" s="268">
        <f>'Refrig. Assumptions+Calcs'!D192</f>
        <v>6.931451388888888</v>
      </c>
      <c r="F32" s="210">
        <f>'Refrig. Assumptions+Calcs'!D54</f>
        <v>0.05</v>
      </c>
      <c r="G32" s="261">
        <f t="shared" si="6"/>
        <v>1.268</v>
      </c>
      <c r="H32" s="255">
        <f t="shared" si="0"/>
        <v>0.634</v>
      </c>
      <c r="I32" s="256">
        <f t="shared" si="1"/>
        <v>0.9510000000000001</v>
      </c>
      <c r="J32" s="257">
        <f t="shared" si="2"/>
        <v>1.0786598625</v>
      </c>
      <c r="K32" s="257">
        <f t="shared" si="3"/>
        <v>50.337460250000014</v>
      </c>
      <c r="L32" s="453">
        <f t="shared" si="4"/>
        <v>5.4931752256944435</v>
      </c>
      <c r="M32" s="124"/>
      <c r="N32" s="124"/>
    </row>
    <row r="33" spans="1:14" ht="58.5" customHeight="1">
      <c r="A33" s="85">
        <f t="shared" si="5"/>
        <v>24</v>
      </c>
      <c r="B33" s="258" t="s">
        <v>40</v>
      </c>
      <c r="C33" s="259">
        <f>'Refrig. Assumptions+Calcs'!B198</f>
        <v>13.777777777777779</v>
      </c>
      <c r="D33" s="259">
        <f>'Refrig. Assumptions+Calcs'!C198</f>
        <v>261.3333333333333</v>
      </c>
      <c r="E33" s="259">
        <f>'Refrig. Assumptions+Calcs'!D198</f>
        <v>68.40552215542196</v>
      </c>
      <c r="F33" s="249">
        <f>'Refrig. Assumptions+Calcs'!D66</f>
        <v>0.75</v>
      </c>
      <c r="G33" s="265">
        <f t="shared" si="6"/>
        <v>19.02</v>
      </c>
      <c r="H33" s="244">
        <f t="shared" si="0"/>
        <v>9.51</v>
      </c>
      <c r="I33" s="245">
        <f t="shared" si="1"/>
        <v>14.265</v>
      </c>
      <c r="J33" s="251">
        <f t="shared" si="2"/>
        <v>131.02666666666667</v>
      </c>
      <c r="K33" s="251">
        <f t="shared" si="3"/>
        <v>3727.92</v>
      </c>
      <c r="L33" s="451">
        <f t="shared" si="4"/>
        <v>813.1706446225785</v>
      </c>
      <c r="M33" s="124"/>
      <c r="N33" s="124"/>
    </row>
    <row r="34" spans="1:14" ht="58.5" customHeight="1">
      <c r="A34" s="85">
        <f t="shared" si="5"/>
        <v>25</v>
      </c>
      <c r="B34" s="260" t="s">
        <v>41</v>
      </c>
      <c r="C34" s="263">
        <f>'Refrig. Assumptions+Calcs'!B204</f>
        <v>8</v>
      </c>
      <c r="D34" s="263">
        <f>'Refrig. Assumptions+Calcs'!C204</f>
        <v>103.33333333333331</v>
      </c>
      <c r="E34" s="263">
        <f>'Refrig. Assumptions+Calcs'!D204</f>
        <v>36.604208416833664</v>
      </c>
      <c r="F34" s="210">
        <f>'Refrig. Assumptions+Calcs'!J104+'Refrig. Assumptions+Calcs'!D64</f>
        <v>0.9</v>
      </c>
      <c r="G34" s="261">
        <f t="shared" si="6"/>
        <v>22.824</v>
      </c>
      <c r="H34" s="255">
        <f t="shared" si="0"/>
        <v>11.412</v>
      </c>
      <c r="I34" s="256">
        <f t="shared" si="1"/>
        <v>17.118000000000002</v>
      </c>
      <c r="J34" s="257">
        <f t="shared" si="2"/>
        <v>91.296</v>
      </c>
      <c r="K34" s="257">
        <f t="shared" si="3"/>
        <v>1768.86</v>
      </c>
      <c r="L34" s="453">
        <f t="shared" si="4"/>
        <v>522.1590330661322</v>
      </c>
      <c r="M34" s="124"/>
      <c r="N34" s="124"/>
    </row>
    <row r="35" spans="1:14" ht="58.5" customHeight="1">
      <c r="A35" s="85">
        <f t="shared" si="5"/>
        <v>26</v>
      </c>
      <c r="B35" s="258" t="s">
        <v>585</v>
      </c>
      <c r="C35" s="269">
        <f>'Refrig. Assumptions+Calcs'!B210</f>
        <v>0.5643981481481481</v>
      </c>
      <c r="D35" s="269">
        <f>'Refrig. Assumptions+Calcs'!C210</f>
        <v>16.931944444444444</v>
      </c>
      <c r="E35" s="269">
        <f>'Refrig. Assumptions+Calcs'!D210</f>
        <v>3.386388888888889</v>
      </c>
      <c r="F35" s="249">
        <f>'Refrig. Assumptions+Calcs'!D50</f>
        <v>0.3</v>
      </c>
      <c r="G35" s="265">
        <f aca="true" t="shared" si="7" ref="G35:G40">F35*25.36</f>
        <v>7.608</v>
      </c>
      <c r="H35" s="244">
        <f t="shared" si="0"/>
        <v>3.804</v>
      </c>
      <c r="I35" s="245">
        <f t="shared" si="1"/>
        <v>5.7059999999999995</v>
      </c>
      <c r="J35" s="251">
        <f t="shared" si="2"/>
        <v>2.1469705555555554</v>
      </c>
      <c r="K35" s="251">
        <f t="shared" si="3"/>
        <v>96.61367499999999</v>
      </c>
      <c r="L35" s="451">
        <f t="shared" si="4"/>
        <v>16.102279166666666</v>
      </c>
      <c r="M35" s="124"/>
      <c r="N35" s="124"/>
    </row>
    <row r="36" spans="1:14" ht="58.5" customHeight="1">
      <c r="A36" s="85">
        <f t="shared" si="5"/>
        <v>27</v>
      </c>
      <c r="B36" s="260" t="s">
        <v>42</v>
      </c>
      <c r="C36" s="268">
        <f>'Refrig. Assumptions+Calcs'!B219</f>
        <v>0.5677777777777778</v>
      </c>
      <c r="D36" s="268">
        <f>'Refrig. Assumptions+Calcs'!C219</f>
        <v>6.8133333333333335</v>
      </c>
      <c r="E36" s="268">
        <f>'Refrig. Assumptions+Calcs'!D219</f>
        <v>1.3626666666666667</v>
      </c>
      <c r="F36" s="210">
        <f>'Refrig. Assumptions+Calcs'!D53</f>
        <v>0.8</v>
      </c>
      <c r="G36" s="261">
        <f t="shared" si="7"/>
        <v>20.288</v>
      </c>
      <c r="H36" s="255">
        <f t="shared" si="0"/>
        <v>10.144</v>
      </c>
      <c r="I36" s="256">
        <f t="shared" si="1"/>
        <v>15.216000000000001</v>
      </c>
      <c r="J36" s="257">
        <f t="shared" si="2"/>
        <v>5.759537777777778</v>
      </c>
      <c r="K36" s="257">
        <f t="shared" si="3"/>
        <v>103.67168000000001</v>
      </c>
      <c r="L36" s="453">
        <f t="shared" si="4"/>
        <v>17.278613333333332</v>
      </c>
      <c r="M36" s="124"/>
      <c r="N36" s="124"/>
    </row>
    <row r="37" spans="1:14" ht="58.5" customHeight="1">
      <c r="A37" s="85">
        <f t="shared" si="5"/>
        <v>28</v>
      </c>
      <c r="B37" s="258" t="s">
        <v>60</v>
      </c>
      <c r="C37" s="269">
        <f>'Refrig. Assumptions+Calcs'!B227</f>
        <v>0.4400277777777778</v>
      </c>
      <c r="D37" s="269">
        <f>'Refrig. Assumptions+Calcs'!C227</f>
        <v>11.923333333333334</v>
      </c>
      <c r="E37" s="269">
        <f>'Refrig. Assumptions+Calcs'!D227</f>
        <v>1.9162500000000002</v>
      </c>
      <c r="F37" s="249">
        <f>'Refrig. Assumptions+Calcs'!D52</f>
        <v>0.2</v>
      </c>
      <c r="G37" s="265">
        <f t="shared" si="7"/>
        <v>5.072</v>
      </c>
      <c r="H37" s="244">
        <f t="shared" si="0"/>
        <v>2.536</v>
      </c>
      <c r="I37" s="245">
        <f t="shared" si="1"/>
        <v>3.8040000000000003</v>
      </c>
      <c r="J37" s="251">
        <f t="shared" si="2"/>
        <v>1.1159104444444445</v>
      </c>
      <c r="K37" s="251">
        <f t="shared" si="3"/>
        <v>45.35636</v>
      </c>
      <c r="L37" s="451">
        <f t="shared" si="4"/>
        <v>6.074512500000001</v>
      </c>
      <c r="M37" s="124"/>
      <c r="N37" s="124"/>
    </row>
    <row r="38" spans="1:14" ht="58.5" customHeight="1">
      <c r="A38" s="85">
        <f t="shared" si="5"/>
        <v>29</v>
      </c>
      <c r="B38" s="260" t="s">
        <v>43</v>
      </c>
      <c r="C38" s="267">
        <f>'Refrig. Assumptions+Calcs'!B248</f>
        <v>-2.6000000000000014</v>
      </c>
      <c r="D38" s="267">
        <f>'Refrig. Assumptions+Calcs'!C248</f>
        <v>141</v>
      </c>
      <c r="E38" s="267">
        <f>'Refrig. Assumptions+Calcs'!D248</f>
        <v>21</v>
      </c>
      <c r="F38" s="210">
        <f>MIN('Refrig. Assumptions+Calcs'!D20+'Refrig. Assumptions+Calcs'!D21,1)</f>
        <v>1</v>
      </c>
      <c r="G38" s="261">
        <f t="shared" si="7"/>
        <v>25.36</v>
      </c>
      <c r="H38" s="255">
        <f t="shared" si="0"/>
        <v>12.68</v>
      </c>
      <c r="I38" s="256">
        <f t="shared" si="1"/>
        <v>19.02</v>
      </c>
      <c r="J38" s="257">
        <f t="shared" si="2"/>
        <v>-32.96800000000002</v>
      </c>
      <c r="K38" s="257">
        <f t="shared" si="3"/>
        <v>2681.82</v>
      </c>
      <c r="L38" s="453">
        <f t="shared" si="4"/>
        <v>332.84999999999997</v>
      </c>
      <c r="M38" s="124"/>
      <c r="N38" s="124"/>
    </row>
    <row r="39" spans="1:14" ht="58.5" customHeight="1">
      <c r="A39" s="85">
        <f t="shared" si="5"/>
        <v>30</v>
      </c>
      <c r="B39" s="258" t="s">
        <v>44</v>
      </c>
      <c r="C39" s="259">
        <f>'Refrig. Assumptions+Calcs'!B260</f>
        <v>52</v>
      </c>
      <c r="D39" s="259">
        <f>'Refrig. Assumptions+Calcs'!C260</f>
        <v>259</v>
      </c>
      <c r="E39" s="259">
        <f>'Refrig. Assumptions+Calcs'!D260</f>
        <v>129</v>
      </c>
      <c r="F39" s="249">
        <f>'Refrig. Assumptions+Calcs'!D62</f>
        <v>0.3</v>
      </c>
      <c r="G39" s="265">
        <f t="shared" si="7"/>
        <v>7.608</v>
      </c>
      <c r="H39" s="244">
        <f t="shared" si="0"/>
        <v>3.804</v>
      </c>
      <c r="I39" s="245">
        <f t="shared" si="1"/>
        <v>5.7059999999999995</v>
      </c>
      <c r="J39" s="251">
        <f t="shared" si="2"/>
        <v>197.808</v>
      </c>
      <c r="K39" s="251">
        <f t="shared" si="3"/>
        <v>1477.8539999999998</v>
      </c>
      <c r="L39" s="451">
        <f t="shared" si="4"/>
        <v>613.395</v>
      </c>
      <c r="M39" s="124"/>
      <c r="N39" s="124"/>
    </row>
    <row r="40" spans="1:14" ht="58.5" customHeight="1">
      <c r="A40" s="85">
        <f t="shared" si="5"/>
        <v>31</v>
      </c>
      <c r="B40" s="260" t="s">
        <v>45</v>
      </c>
      <c r="C40" s="267">
        <f>'Refrig. Assumptions+Calcs'!B268</f>
        <v>27</v>
      </c>
      <c r="D40" s="267">
        <f>'Refrig. Assumptions+Calcs'!C268</f>
        <v>365</v>
      </c>
      <c r="E40" s="267">
        <f>'Refrig. Assumptions+Calcs'!D268</f>
        <v>109.5</v>
      </c>
      <c r="F40" s="210">
        <f>'Refrig. Assumptions+Calcs'!D22</f>
        <v>0.1</v>
      </c>
      <c r="G40" s="261">
        <f t="shared" si="7"/>
        <v>2.536</v>
      </c>
      <c r="H40" s="255">
        <f t="shared" si="0"/>
        <v>1.268</v>
      </c>
      <c r="I40" s="256">
        <f t="shared" si="1"/>
        <v>1.9020000000000001</v>
      </c>
      <c r="J40" s="257">
        <f t="shared" si="2"/>
        <v>34.236</v>
      </c>
      <c r="K40" s="257">
        <f t="shared" si="3"/>
        <v>694.23</v>
      </c>
      <c r="L40" s="453">
        <f t="shared" si="4"/>
        <v>173.5575</v>
      </c>
      <c r="M40" s="124"/>
      <c r="N40" s="124"/>
    </row>
    <row r="41" spans="1:14" ht="58.5" customHeight="1">
      <c r="A41" s="85">
        <f t="shared" si="5"/>
        <v>32</v>
      </c>
      <c r="B41" s="258" t="s">
        <v>46</v>
      </c>
      <c r="C41" s="259">
        <f>'Refrig. Assumptions+Calcs'!B284</f>
        <v>1.8171443888888887</v>
      </c>
      <c r="D41" s="259">
        <f>'Refrig. Assumptions+Calcs'!C284</f>
        <v>59.86194666666668</v>
      </c>
      <c r="E41" s="259">
        <f>'Refrig. Assumptions+Calcs'!D284</f>
        <v>9.771313611111111</v>
      </c>
      <c r="F41" s="249">
        <v>1</v>
      </c>
      <c r="G41" s="265">
        <f aca="true" t="shared" si="8" ref="G41:G53">F41*25.36</f>
        <v>25.36</v>
      </c>
      <c r="H41" s="244">
        <f t="shared" si="0"/>
        <v>12.68</v>
      </c>
      <c r="I41" s="245">
        <f t="shared" si="1"/>
        <v>19.02</v>
      </c>
      <c r="J41" s="251">
        <f t="shared" si="2"/>
        <v>23.04139085111111</v>
      </c>
      <c r="K41" s="251">
        <f t="shared" si="3"/>
        <v>1138.5742256000003</v>
      </c>
      <c r="L41" s="451">
        <f t="shared" si="4"/>
        <v>154.87532073611112</v>
      </c>
      <c r="M41" s="124"/>
      <c r="N41" s="124"/>
    </row>
    <row r="42" spans="1:14" s="131" customFormat="1" ht="58.5" customHeight="1">
      <c r="A42" s="85">
        <f t="shared" si="5"/>
        <v>33</v>
      </c>
      <c r="B42" s="260" t="s">
        <v>375</v>
      </c>
      <c r="C42" s="263">
        <f>'Refrig. Assumptions+Calcs'!B295</f>
        <v>1.2760171875000001</v>
      </c>
      <c r="D42" s="263">
        <f>'Refrig. Assumptions+Calcs'!C295</f>
        <v>39.69831250000001</v>
      </c>
      <c r="E42" s="263">
        <f>'Refrig. Assumptions+Calcs'!D295</f>
        <v>5.198588541666666</v>
      </c>
      <c r="F42" s="210">
        <v>1</v>
      </c>
      <c r="G42" s="270">
        <f t="shared" si="8"/>
        <v>25.36</v>
      </c>
      <c r="H42" s="255">
        <f t="shared" si="0"/>
        <v>12.68</v>
      </c>
      <c r="I42" s="256">
        <f t="shared" si="1"/>
        <v>19.02</v>
      </c>
      <c r="J42" s="257">
        <f t="shared" si="2"/>
        <v>16.1798979375</v>
      </c>
      <c r="K42" s="257">
        <f t="shared" si="3"/>
        <v>755.0619037500002</v>
      </c>
      <c r="L42" s="453">
        <f t="shared" si="4"/>
        <v>82.39762838541665</v>
      </c>
      <c r="M42" s="132"/>
      <c r="N42" s="132"/>
    </row>
    <row r="43" spans="1:14" ht="58.5" customHeight="1">
      <c r="A43" s="85">
        <f t="shared" si="5"/>
        <v>34</v>
      </c>
      <c r="B43" s="258" t="s">
        <v>47</v>
      </c>
      <c r="C43" s="259">
        <f>'Cooking Assumptions+Calcs'!B69</f>
        <v>1.4760000000000004</v>
      </c>
      <c r="D43" s="259">
        <f>'Cooking Assumptions+Calcs'!C69</f>
        <v>132.84</v>
      </c>
      <c r="E43" s="259">
        <f>'Cooking Assumptions+Calcs'!D69</f>
        <v>18.45</v>
      </c>
      <c r="F43" s="249">
        <f>'Cooking Assumptions+Calcs'!D21</f>
        <v>0.93</v>
      </c>
      <c r="G43" s="265">
        <f t="shared" si="8"/>
        <v>23.5848</v>
      </c>
      <c r="H43" s="244">
        <f t="shared" si="0"/>
        <v>11.7924</v>
      </c>
      <c r="I43" s="245">
        <f t="shared" si="1"/>
        <v>17.6886</v>
      </c>
      <c r="J43" s="251">
        <f t="shared" si="2"/>
        <v>17.405582400000007</v>
      </c>
      <c r="K43" s="251">
        <f t="shared" si="3"/>
        <v>2349.7536240000004</v>
      </c>
      <c r="L43" s="451">
        <f t="shared" si="4"/>
        <v>271.962225</v>
      </c>
      <c r="M43" s="124"/>
      <c r="N43" s="124"/>
    </row>
    <row r="44" spans="1:14" ht="58.5" customHeight="1">
      <c r="A44" s="85">
        <f t="shared" si="5"/>
        <v>35</v>
      </c>
      <c r="B44" s="260" t="s">
        <v>48</v>
      </c>
      <c r="C44" s="263">
        <f>'Cooking Assumptions+Calcs'!B78</f>
        <v>0</v>
      </c>
      <c r="D44" s="263">
        <f>'Cooking Assumptions+Calcs'!C78</f>
        <v>141.95204081632653</v>
      </c>
      <c r="E44" s="263">
        <f>'Cooking Assumptions+Calcs'!D78</f>
        <v>64.16081632653062</v>
      </c>
      <c r="F44" s="210">
        <f>'Cooking Assumptions+Calcs'!B51</f>
        <v>0.98</v>
      </c>
      <c r="G44" s="254">
        <f t="shared" si="8"/>
        <v>24.8528</v>
      </c>
      <c r="H44" s="255">
        <f t="shared" si="0"/>
        <v>12.4264</v>
      </c>
      <c r="I44" s="256">
        <f t="shared" si="1"/>
        <v>18.639599999999998</v>
      </c>
      <c r="J44" s="257">
        <f t="shared" si="2"/>
        <v>0</v>
      </c>
      <c r="K44" s="257">
        <f t="shared" si="3"/>
        <v>2645.92926</v>
      </c>
      <c r="L44" s="453">
        <f t="shared" si="4"/>
        <v>996.60996</v>
      </c>
      <c r="M44" s="124"/>
      <c r="N44" s="124"/>
    </row>
    <row r="45" spans="1:14" ht="58.5" customHeight="1">
      <c r="A45" s="85">
        <f t="shared" si="5"/>
        <v>36</v>
      </c>
      <c r="B45" s="258" t="s">
        <v>49</v>
      </c>
      <c r="C45" s="259">
        <f>'Cooking Assumptions+Calcs'!B87</f>
        <v>20.04765917602996</v>
      </c>
      <c r="D45" s="259">
        <f>'Cooking Assumptions+Calcs'!C87</f>
        <v>347.07921568627444</v>
      </c>
      <c r="E45" s="259">
        <f>'Cooking Assumptions+Calcs'!D87</f>
        <v>83.01302681992337</v>
      </c>
      <c r="F45" s="249">
        <f>'Cooking Assumptions+Calcs'!D90</f>
        <v>0.9119999999999999</v>
      </c>
      <c r="G45" s="265">
        <f t="shared" si="8"/>
        <v>23.12832</v>
      </c>
      <c r="H45" s="244">
        <f t="shared" si="0"/>
        <v>11.56416</v>
      </c>
      <c r="I45" s="245">
        <f t="shared" si="1"/>
        <v>17.346239999999998</v>
      </c>
      <c r="J45" s="251">
        <f t="shared" si="2"/>
        <v>231.8343383370786</v>
      </c>
      <c r="K45" s="251">
        <f t="shared" si="3"/>
        <v>6020.519374305881</v>
      </c>
      <c r="L45" s="451">
        <f t="shared" si="4"/>
        <v>1199.9699052873561</v>
      </c>
      <c r="M45" s="124"/>
      <c r="N45" s="124"/>
    </row>
    <row r="46" spans="1:14" ht="58.5" customHeight="1">
      <c r="A46" s="85">
        <f t="shared" si="5"/>
        <v>37</v>
      </c>
      <c r="B46" s="260" t="s">
        <v>586</v>
      </c>
      <c r="C46" s="268">
        <f>'Cooking Assumptions+Calcs'!B98</f>
        <v>1.3153469387755103</v>
      </c>
      <c r="D46" s="263">
        <f>'Cooking Assumptions+Calcs'!C98</f>
        <v>34.06848979591837</v>
      </c>
      <c r="E46" s="268">
        <f>'Cooking Assumptions+Calcs'!D98</f>
        <v>9.624122448979593</v>
      </c>
      <c r="F46" s="210">
        <f>('Cooking Assumptions+Calcs'!D16+'Cooking Assumptions+Calcs'!D18)*'Cooking Assumptions+Calcs'!D25</f>
        <v>0.294</v>
      </c>
      <c r="G46" s="254">
        <f t="shared" si="8"/>
        <v>7.455839999999999</v>
      </c>
      <c r="H46" s="255">
        <f t="shared" si="0"/>
        <v>3.7279199999999997</v>
      </c>
      <c r="I46" s="256">
        <f t="shared" si="1"/>
        <v>5.59188</v>
      </c>
      <c r="J46" s="257">
        <f t="shared" si="2"/>
        <v>4.90350816</v>
      </c>
      <c r="K46" s="257">
        <f t="shared" si="3"/>
        <v>190.50690672</v>
      </c>
      <c r="L46" s="453">
        <f t="shared" si="4"/>
        <v>44.8474482</v>
      </c>
      <c r="M46" s="124"/>
      <c r="N46" s="124"/>
    </row>
    <row r="47" spans="1:14" s="131" customFormat="1" ht="58.5" customHeight="1">
      <c r="A47" s="85">
        <f t="shared" si="5"/>
        <v>38</v>
      </c>
      <c r="B47" s="258" t="s">
        <v>587</v>
      </c>
      <c r="C47" s="269">
        <f>'Cooking Assumptions+Calcs'!B107</f>
        <v>1.7172</v>
      </c>
      <c r="D47" s="269">
        <f>'Cooking Assumptions+Calcs'!C107</f>
        <v>139.0932</v>
      </c>
      <c r="E47" s="269">
        <f>'Cooking Assumptions+Calcs'!D107</f>
        <v>27.4752</v>
      </c>
      <c r="F47" s="249">
        <f>'Cooking Assumptions+Calcs'!D40</f>
        <v>0.5</v>
      </c>
      <c r="G47" s="265">
        <f t="shared" si="8"/>
        <v>12.68</v>
      </c>
      <c r="H47" s="244">
        <f t="shared" si="0"/>
        <v>6.34</v>
      </c>
      <c r="I47" s="245">
        <f t="shared" si="1"/>
        <v>9.51</v>
      </c>
      <c r="J47" s="251">
        <f t="shared" si="2"/>
        <v>10.887048</v>
      </c>
      <c r="K47" s="251">
        <f t="shared" si="3"/>
        <v>1322.776332</v>
      </c>
      <c r="L47" s="451">
        <f t="shared" si="4"/>
        <v>217.74096</v>
      </c>
      <c r="M47" s="132"/>
      <c r="N47" s="132"/>
    </row>
    <row r="48" spans="1:14" s="131" customFormat="1" ht="58.5" customHeight="1">
      <c r="A48" s="85">
        <f t="shared" si="5"/>
        <v>39</v>
      </c>
      <c r="B48" s="260" t="s">
        <v>50</v>
      </c>
      <c r="C48" s="268">
        <f>'Cooking Assumptions+Calcs'!B117</f>
        <v>12.879</v>
      </c>
      <c r="D48" s="263">
        <f>'Cooking Assumptions+Calcs'!C117</f>
        <v>579.5550000000001</v>
      </c>
      <c r="E48" s="263">
        <f>'Cooking Assumptions+Calcs'!D117</f>
        <v>123.63839999999999</v>
      </c>
      <c r="F48" s="210">
        <f>'Cooking Assumptions+Calcs'!D37</f>
        <v>0.3</v>
      </c>
      <c r="G48" s="254">
        <f t="shared" si="8"/>
        <v>7.608</v>
      </c>
      <c r="H48" s="255">
        <f t="shared" si="0"/>
        <v>3.804</v>
      </c>
      <c r="I48" s="256">
        <f t="shared" si="1"/>
        <v>5.7059999999999995</v>
      </c>
      <c r="J48" s="257">
        <f t="shared" si="2"/>
        <v>48.991716</v>
      </c>
      <c r="K48" s="257">
        <f t="shared" si="3"/>
        <v>3306.94083</v>
      </c>
      <c r="L48" s="453">
        <f t="shared" si="4"/>
        <v>587.900592</v>
      </c>
      <c r="M48" s="132"/>
      <c r="N48" s="132"/>
    </row>
    <row r="49" spans="1:14" ht="58.5" customHeight="1">
      <c r="A49" s="85">
        <f t="shared" si="5"/>
        <v>40</v>
      </c>
      <c r="B49" s="258" t="s">
        <v>51</v>
      </c>
      <c r="C49" s="269">
        <f>'Lights+App. Assump.+Calcs'!B45</f>
        <v>26.849999999999994</v>
      </c>
      <c r="D49" s="266">
        <f>'Lights+App. Assump.+Calcs'!C45</f>
        <v>537</v>
      </c>
      <c r="E49" s="269">
        <f>'Lights+App. Assump.+Calcs'!D45</f>
        <v>134.25</v>
      </c>
      <c r="F49" s="249">
        <v>1</v>
      </c>
      <c r="G49" s="265">
        <f t="shared" si="8"/>
        <v>25.36</v>
      </c>
      <c r="H49" s="244">
        <f t="shared" si="0"/>
        <v>12.68</v>
      </c>
      <c r="I49" s="245">
        <f t="shared" si="1"/>
        <v>19.02</v>
      </c>
      <c r="J49" s="251">
        <f t="shared" si="2"/>
        <v>340.4579999999999</v>
      </c>
      <c r="K49" s="251">
        <f t="shared" si="3"/>
        <v>10213.74</v>
      </c>
      <c r="L49" s="451">
        <f t="shared" si="4"/>
        <v>2127.8624999999997</v>
      </c>
      <c r="M49" s="124"/>
      <c r="N49" s="124"/>
    </row>
    <row r="50" spans="1:14" ht="58.5" customHeight="1">
      <c r="A50" s="85">
        <f t="shared" si="5"/>
        <v>41</v>
      </c>
      <c r="B50" s="260" t="s">
        <v>376</v>
      </c>
      <c r="C50" s="271">
        <f>'Lights+App. Assump.+Calcs'!B53</f>
        <v>-60.75</v>
      </c>
      <c r="D50" s="272">
        <f>'Lights+App. Assump.+Calcs'!C53</f>
        <v>515.1</v>
      </c>
      <c r="E50" s="273">
        <f>'Lights+App. Assump.+Calcs'!D53</f>
        <v>103.59</v>
      </c>
      <c r="F50" s="210">
        <v>1</v>
      </c>
      <c r="G50" s="270">
        <f t="shared" si="8"/>
        <v>25.36</v>
      </c>
      <c r="H50" s="255">
        <f t="shared" si="0"/>
        <v>12.68</v>
      </c>
      <c r="I50" s="256">
        <f t="shared" si="1"/>
        <v>19.02</v>
      </c>
      <c r="J50" s="257">
        <f t="shared" si="2"/>
        <v>-770.31</v>
      </c>
      <c r="K50" s="257">
        <f t="shared" si="3"/>
        <v>9797.202</v>
      </c>
      <c r="L50" s="454">
        <f t="shared" si="4"/>
        <v>1641.9015</v>
      </c>
      <c r="M50" s="124"/>
      <c r="N50" s="124"/>
    </row>
    <row r="51" spans="1:14" ht="58.5" customHeight="1">
      <c r="A51" s="85">
        <f t="shared" si="5"/>
        <v>42</v>
      </c>
      <c r="B51" s="258" t="s">
        <v>377</v>
      </c>
      <c r="C51" s="274">
        <f>'Lights+App. Assump.+Calcs'!B64</f>
        <v>-24.09</v>
      </c>
      <c r="D51" s="275">
        <f>'Lights+App. Assump.+Calcs'!C64</f>
        <v>164.98000000000002</v>
      </c>
      <c r="E51" s="276">
        <f>'Lights+App. Assump.+Calcs'!D64</f>
        <v>13.432</v>
      </c>
      <c r="F51" s="277">
        <v>1</v>
      </c>
      <c r="G51" s="278">
        <f t="shared" si="8"/>
        <v>25.36</v>
      </c>
      <c r="H51" s="279">
        <f t="shared" si="0"/>
        <v>12.68</v>
      </c>
      <c r="I51" s="245">
        <f t="shared" si="1"/>
        <v>19.02</v>
      </c>
      <c r="J51" s="251">
        <f t="shared" si="2"/>
        <v>-305.4612</v>
      </c>
      <c r="K51" s="251">
        <f t="shared" si="3"/>
        <v>3137.9196</v>
      </c>
      <c r="L51" s="451">
        <f t="shared" si="4"/>
        <v>212.8972</v>
      </c>
      <c r="M51" s="124"/>
      <c r="N51" s="124"/>
    </row>
    <row r="52" spans="1:29" s="130" customFormat="1" ht="58.5" customHeight="1">
      <c r="A52" s="85">
        <f t="shared" si="5"/>
        <v>43</v>
      </c>
      <c r="B52" s="260" t="s">
        <v>706</v>
      </c>
      <c r="C52" s="271">
        <f>'Heating Assumptions+Calcs (CHM)'!B201</f>
        <v>152.92239130434783</v>
      </c>
      <c r="D52" s="257">
        <f>'Heating Assumptions+Calcs (CHM)'!C201</f>
        <v>1646.4486315789477</v>
      </c>
      <c r="E52" s="273">
        <f>'Heating Assumptions+Calcs (CHM)'!D201</f>
        <v>530.4999999999999</v>
      </c>
      <c r="F52" s="210">
        <f>'Heating Assumptions+Calcs (CHM)'!D47</f>
        <v>0.5</v>
      </c>
      <c r="G52" s="270">
        <f>F52*25.36</f>
        <v>12.68</v>
      </c>
      <c r="H52" s="280">
        <f t="shared" si="0"/>
        <v>6.34</v>
      </c>
      <c r="I52" s="254">
        <f t="shared" si="1"/>
        <v>9.51</v>
      </c>
      <c r="J52" s="281">
        <f t="shared" si="2"/>
        <v>969.5279608695652</v>
      </c>
      <c r="K52" s="257">
        <f t="shared" si="3"/>
        <v>15657.726486315792</v>
      </c>
      <c r="L52" s="454">
        <f t="shared" si="4"/>
        <v>4204.212499999999</v>
      </c>
      <c r="M52" s="61"/>
      <c r="N52" s="61"/>
      <c r="O52" s="128"/>
      <c r="P52" s="128"/>
      <c r="Q52" s="128"/>
      <c r="R52" s="128"/>
      <c r="S52" s="128"/>
      <c r="T52" s="128"/>
      <c r="U52" s="128"/>
      <c r="V52" s="128"/>
      <c r="W52" s="128"/>
      <c r="X52" s="128"/>
      <c r="Y52" s="128"/>
      <c r="Z52" s="128"/>
      <c r="AA52" s="128"/>
      <c r="AB52" s="128"/>
      <c r="AC52" s="157"/>
    </row>
    <row r="53" spans="1:14" s="131" customFormat="1" ht="58.5" customHeight="1" thickBot="1">
      <c r="A53" s="85">
        <f t="shared" si="5"/>
        <v>44</v>
      </c>
      <c r="B53" s="282" t="s">
        <v>707</v>
      </c>
      <c r="C53" s="283">
        <f>'Heating Assumptions+Calcs (CHM)'!B209</f>
        <v>764.0712945590994</v>
      </c>
      <c r="D53" s="284">
        <f>'Heating Assumptions+Calcs (CHM)'!C209</f>
        <v>3092.8705440900562</v>
      </c>
      <c r="E53" s="285">
        <f>'Heating Assumptions+Calcs (CHM)'!D209</f>
        <v>1528.1425891181989</v>
      </c>
      <c r="F53" s="286">
        <v>0.25</v>
      </c>
      <c r="G53" s="287">
        <f t="shared" si="8"/>
        <v>6.34</v>
      </c>
      <c r="H53" s="288">
        <f t="shared" si="0"/>
        <v>3.17</v>
      </c>
      <c r="I53" s="289">
        <f t="shared" si="1"/>
        <v>4.755</v>
      </c>
      <c r="J53" s="290">
        <f t="shared" si="2"/>
        <v>2422.1060037523453</v>
      </c>
      <c r="K53" s="284">
        <f t="shared" si="3"/>
        <v>14706.599437148217</v>
      </c>
      <c r="L53" s="455">
        <f t="shared" si="4"/>
        <v>6055.265009380863</v>
      </c>
      <c r="M53" s="132"/>
      <c r="N53" s="132"/>
    </row>
    <row r="54" spans="1:14" s="131" customFormat="1" ht="58.5" customHeight="1">
      <c r="A54" s="85"/>
      <c r="M54" s="132"/>
      <c r="N54" s="132"/>
    </row>
    <row r="55" spans="1:14" ht="15">
      <c r="A55" s="226"/>
      <c r="B55" s="124"/>
      <c r="C55" s="126"/>
      <c r="D55" s="126"/>
      <c r="E55" s="126"/>
      <c r="F55" s="126"/>
      <c r="G55" s="126"/>
      <c r="H55" s="126"/>
      <c r="I55" s="126"/>
      <c r="J55" s="126"/>
      <c r="K55" s="126"/>
      <c r="L55" s="448"/>
      <c r="M55" s="124"/>
      <c r="N55" s="124"/>
    </row>
    <row r="56" spans="1:14" ht="15">
      <c r="A56" s="226"/>
      <c r="B56" s="124" t="s">
        <v>398</v>
      </c>
      <c r="C56" s="126"/>
      <c r="D56" s="126"/>
      <c r="E56" s="126"/>
      <c r="F56" s="126"/>
      <c r="G56" s="126"/>
      <c r="H56" s="126"/>
      <c r="I56" s="126"/>
      <c r="J56" s="126"/>
      <c r="K56" s="126"/>
      <c r="L56" s="448"/>
      <c r="M56" s="124"/>
      <c r="N56" s="124"/>
    </row>
    <row r="57" spans="1:14" ht="15">
      <c r="A57" s="226"/>
      <c r="B57" s="124"/>
      <c r="C57" s="126"/>
      <c r="D57" s="126"/>
      <c r="E57" s="126"/>
      <c r="F57" s="126"/>
      <c r="G57" s="126"/>
      <c r="H57" s="126"/>
      <c r="I57" s="126"/>
      <c r="J57" s="126"/>
      <c r="K57" s="126"/>
      <c r="L57" s="448"/>
      <c r="M57" s="124"/>
      <c r="N57" s="124"/>
    </row>
  </sheetData>
  <sheetProtection/>
  <mergeCells count="4">
    <mergeCell ref="F8:G8"/>
    <mergeCell ref="J8:L8"/>
    <mergeCell ref="H8:I8"/>
    <mergeCell ref="C8:E8"/>
  </mergeCells>
  <printOptions/>
  <pageMargins left="0.3937007874015748" right="0.3937007874015748" top="0.3937007874015748" bottom="0.3937007874015748" header="0.30000000000000004" footer="0.30000000000000004"/>
  <pageSetup horizontalDpi="600" verticalDpi="600" orientation="landscape" paperSize="9"/>
  <ignoredErrors>
    <ignoredError sqref="F14" formula="1"/>
  </ignoredErrors>
</worksheet>
</file>

<file path=xl/worksheets/sheet3.xml><?xml version="1.0" encoding="utf-8"?>
<worksheet xmlns="http://schemas.openxmlformats.org/spreadsheetml/2006/main" xmlns:r="http://schemas.openxmlformats.org/officeDocument/2006/relationships">
  <dimension ref="A1:I229"/>
  <sheetViews>
    <sheetView zoomScalePageLayoutView="0" workbookViewId="0" topLeftCell="A1">
      <selection activeCell="A194" sqref="A194"/>
    </sheetView>
  </sheetViews>
  <sheetFormatPr defaultColWidth="8.8515625" defaultRowHeight="15"/>
  <cols>
    <col min="1" max="1" width="69.140625" style="4" customWidth="1"/>
    <col min="2" max="2" width="8.8515625" style="1" customWidth="1"/>
    <col min="3" max="3" width="11.00390625" style="1" bestFit="1" customWidth="1"/>
    <col min="4" max="4" width="9.421875" style="1" bestFit="1" customWidth="1"/>
    <col min="5" max="5" width="8.8515625" style="4" customWidth="1"/>
    <col min="6" max="6" width="59.140625" style="2" customWidth="1"/>
    <col min="7" max="7" width="8.8515625" style="66" customWidth="1"/>
  </cols>
  <sheetData>
    <row r="1" spans="1:6" ht="23.25">
      <c r="A1" s="57" t="s">
        <v>259</v>
      </c>
      <c r="B1" s="14"/>
      <c r="C1" s="14"/>
      <c r="D1" s="14"/>
      <c r="E1" s="8"/>
      <c r="F1" s="13"/>
    </row>
    <row r="2" spans="1:6" ht="21">
      <c r="A2" s="17" t="s">
        <v>66</v>
      </c>
      <c r="B2" s="14"/>
      <c r="C2" s="14"/>
      <c r="D2" s="14"/>
      <c r="E2" s="8"/>
      <c r="F2" s="13"/>
    </row>
    <row r="3" spans="1:6" ht="21">
      <c r="A3" s="17"/>
      <c r="B3" s="18"/>
      <c r="C3" s="18"/>
      <c r="D3" s="18"/>
      <c r="E3" s="17"/>
      <c r="F3" s="19"/>
    </row>
    <row r="4" spans="1:6" ht="15" customHeight="1">
      <c r="A4" s="43"/>
      <c r="B4" s="54" t="s">
        <v>1</v>
      </c>
      <c r="C4" s="54" t="s">
        <v>2</v>
      </c>
      <c r="D4" s="54" t="s">
        <v>69</v>
      </c>
      <c r="E4" s="55"/>
      <c r="F4" s="56"/>
    </row>
    <row r="5" spans="1:8" ht="15">
      <c r="A5" s="22"/>
      <c r="B5" s="29"/>
      <c r="C5" s="29"/>
      <c r="D5" s="29"/>
      <c r="E5" s="22"/>
      <c r="F5" s="21"/>
      <c r="H5" s="66"/>
    </row>
    <row r="6" spans="1:8" ht="15">
      <c r="A6" s="22" t="s">
        <v>260</v>
      </c>
      <c r="B6" s="65">
        <f>D6*0.85</f>
        <v>11016</v>
      </c>
      <c r="C6" s="65">
        <f>D6*1.26</f>
        <v>16329.6</v>
      </c>
      <c r="D6" s="65">
        <v>12960</v>
      </c>
      <c r="E6" s="22" t="s">
        <v>261</v>
      </c>
      <c r="F6" s="21" t="s">
        <v>262</v>
      </c>
      <c r="H6" s="66"/>
    </row>
    <row r="7" spans="1:8" ht="15">
      <c r="A7" s="78" t="s">
        <v>694</v>
      </c>
      <c r="B7" s="143">
        <f>D7*0.85</f>
        <v>11724.05</v>
      </c>
      <c r="C7" s="143">
        <f>D7*1.26</f>
        <v>17379.18</v>
      </c>
      <c r="D7" s="143">
        <v>13793</v>
      </c>
      <c r="E7" s="78" t="s">
        <v>261</v>
      </c>
      <c r="F7" s="81" t="s">
        <v>262</v>
      </c>
      <c r="G7"/>
      <c r="H7" s="66"/>
    </row>
    <row r="8" spans="1:8" ht="90">
      <c r="A8" s="78" t="s">
        <v>263</v>
      </c>
      <c r="B8" s="79">
        <v>19</v>
      </c>
      <c r="C8" s="79">
        <v>19</v>
      </c>
      <c r="D8" s="79">
        <v>19</v>
      </c>
      <c r="E8" s="78" t="s">
        <v>19</v>
      </c>
      <c r="F8" s="81" t="s">
        <v>264</v>
      </c>
      <c r="H8" s="66"/>
    </row>
    <row r="9" spans="1:8" ht="15">
      <c r="A9" s="78"/>
      <c r="B9" s="79"/>
      <c r="C9" s="79"/>
      <c r="D9" s="79"/>
      <c r="E9" s="78"/>
      <c r="F9" s="81"/>
      <c r="H9" s="66"/>
    </row>
    <row r="10" spans="1:8" ht="15">
      <c r="A10" s="78" t="s">
        <v>265</v>
      </c>
      <c r="B10" s="79"/>
      <c r="C10" s="79"/>
      <c r="D10" s="80">
        <f>15.1*1.143</f>
        <v>17.2593</v>
      </c>
      <c r="E10" s="78" t="s">
        <v>266</v>
      </c>
      <c r="F10" s="81" t="s">
        <v>267</v>
      </c>
      <c r="H10" s="66"/>
    </row>
    <row r="11" spans="1:8" ht="15">
      <c r="A11" s="78" t="s">
        <v>268</v>
      </c>
      <c r="B11" s="79"/>
      <c r="C11" s="79"/>
      <c r="D11" s="80">
        <f>7.24*1.143</f>
        <v>8.27532</v>
      </c>
      <c r="E11" s="78" t="s">
        <v>266</v>
      </c>
      <c r="F11" s="81" t="s">
        <v>267</v>
      </c>
      <c r="H11" s="66"/>
    </row>
    <row r="12" spans="1:8" ht="15">
      <c r="A12" s="78" t="s">
        <v>269</v>
      </c>
      <c r="B12" s="79"/>
      <c r="C12" s="79"/>
      <c r="D12" s="80">
        <f>17.01*1.143</f>
        <v>19.44243</v>
      </c>
      <c r="E12" s="78" t="s">
        <v>266</v>
      </c>
      <c r="F12" s="81" t="s">
        <v>267</v>
      </c>
      <c r="H12" s="66"/>
    </row>
    <row r="13" spans="1:8" ht="15">
      <c r="A13" s="78" t="s">
        <v>270</v>
      </c>
      <c r="B13" s="79"/>
      <c r="C13" s="79"/>
      <c r="D13" s="80">
        <f>3.74*1.143</f>
        <v>4.27482</v>
      </c>
      <c r="E13" s="78" t="s">
        <v>266</v>
      </c>
      <c r="F13" s="81" t="s">
        <v>267</v>
      </c>
      <c r="H13" s="66"/>
    </row>
    <row r="14" spans="1:8" ht="15">
      <c r="A14" s="78" t="s">
        <v>271</v>
      </c>
      <c r="B14" s="79"/>
      <c r="C14" s="79"/>
      <c r="D14" s="80">
        <f>5.52*1.143</f>
        <v>6.30936</v>
      </c>
      <c r="E14" s="78" t="s">
        <v>266</v>
      </c>
      <c r="F14" s="81" t="s">
        <v>267</v>
      </c>
      <c r="H14" s="66"/>
    </row>
    <row r="15" spans="1:8" ht="15">
      <c r="A15" s="78" t="s">
        <v>272</v>
      </c>
      <c r="B15" s="79"/>
      <c r="C15" s="79"/>
      <c r="D15" s="80">
        <f>10.26*1.143</f>
        <v>11.72718</v>
      </c>
      <c r="E15" s="78" t="s">
        <v>266</v>
      </c>
      <c r="F15" s="81" t="s">
        <v>267</v>
      </c>
      <c r="H15" s="66"/>
    </row>
    <row r="16" spans="1:8" s="82" customFormat="1" ht="30">
      <c r="A16" s="78" t="s">
        <v>381</v>
      </c>
      <c r="B16" s="79"/>
      <c r="C16" s="79"/>
      <c r="D16" s="80">
        <f>1.971*1.143</f>
        <v>2.252853</v>
      </c>
      <c r="E16" s="78" t="s">
        <v>266</v>
      </c>
      <c r="F16" s="81" t="s">
        <v>532</v>
      </c>
      <c r="G16" s="206"/>
      <c r="H16" s="206"/>
    </row>
    <row r="17" spans="1:8" s="82" customFormat="1" ht="30">
      <c r="A17" s="78" t="s">
        <v>531</v>
      </c>
      <c r="B17" s="79"/>
      <c r="C17" s="79"/>
      <c r="D17" s="80">
        <f>11.28*1.143</f>
        <v>12.89304</v>
      </c>
      <c r="E17" s="78" t="s">
        <v>266</v>
      </c>
      <c r="F17" s="81" t="s">
        <v>532</v>
      </c>
      <c r="G17" s="206"/>
      <c r="H17" s="206"/>
    </row>
    <row r="18" spans="1:8" s="82" customFormat="1" ht="15">
      <c r="A18" s="78" t="s">
        <v>273</v>
      </c>
      <c r="B18" s="79"/>
      <c r="C18" s="79"/>
      <c r="D18" s="80">
        <f>12.37*1.143</f>
        <v>14.13891</v>
      </c>
      <c r="E18" s="78" t="s">
        <v>266</v>
      </c>
      <c r="F18" s="81" t="s">
        <v>382</v>
      </c>
      <c r="G18" s="206"/>
      <c r="H18" s="206"/>
    </row>
    <row r="19" spans="1:8" s="82" customFormat="1" ht="15">
      <c r="A19" s="78" t="s">
        <v>274</v>
      </c>
      <c r="B19" s="79"/>
      <c r="C19" s="79"/>
      <c r="D19" s="80">
        <f>0.214*1.143</f>
        <v>0.24460199999999999</v>
      </c>
      <c r="E19" s="78" t="s">
        <v>266</v>
      </c>
      <c r="F19" s="81" t="s">
        <v>382</v>
      </c>
      <c r="G19" s="206"/>
      <c r="H19" s="206"/>
    </row>
    <row r="20" spans="1:8" s="82" customFormat="1" ht="15">
      <c r="A20" s="78" t="s">
        <v>383</v>
      </c>
      <c r="B20" s="79"/>
      <c r="C20" s="79"/>
      <c r="D20" s="80">
        <f>9.744*1.143</f>
        <v>11.137392</v>
      </c>
      <c r="E20" s="78" t="s">
        <v>266</v>
      </c>
      <c r="F20" s="81" t="s">
        <v>382</v>
      </c>
      <c r="G20" s="206"/>
      <c r="H20" s="206"/>
    </row>
    <row r="21" spans="1:8" s="82" customFormat="1" ht="15">
      <c r="A21" s="78" t="s">
        <v>447</v>
      </c>
      <c r="B21" s="79"/>
      <c r="C21" s="79"/>
      <c r="D21" s="80">
        <f>19.31*1.143</f>
        <v>22.07133</v>
      </c>
      <c r="E21" s="78" t="s">
        <v>266</v>
      </c>
      <c r="F21" s="81" t="s">
        <v>382</v>
      </c>
      <c r="G21" s="206"/>
      <c r="H21" s="206"/>
    </row>
    <row r="22" spans="1:8" s="82" customFormat="1" ht="15">
      <c r="A22" s="78" t="s">
        <v>448</v>
      </c>
      <c r="B22" s="79"/>
      <c r="C22" s="79"/>
      <c r="D22" s="80">
        <f>2.875*1.143</f>
        <v>3.286125</v>
      </c>
      <c r="E22" s="78" t="s">
        <v>266</v>
      </c>
      <c r="F22" s="81" t="s">
        <v>382</v>
      </c>
      <c r="G22" s="206"/>
      <c r="H22" s="206"/>
    </row>
    <row r="23" spans="1:8" s="82" customFormat="1" ht="15">
      <c r="A23" s="78" t="s">
        <v>450</v>
      </c>
      <c r="B23" s="79"/>
      <c r="C23" s="79"/>
      <c r="D23" s="80">
        <f>11.734*1.143</f>
        <v>13.411962</v>
      </c>
      <c r="E23" s="78" t="s">
        <v>266</v>
      </c>
      <c r="F23" s="81" t="s">
        <v>382</v>
      </c>
      <c r="G23" s="206"/>
      <c r="H23" s="206"/>
    </row>
    <row r="24" spans="1:8" ht="15">
      <c r="A24" s="78" t="s">
        <v>275</v>
      </c>
      <c r="B24" s="79"/>
      <c r="C24" s="79"/>
      <c r="D24" s="80"/>
      <c r="E24" s="78"/>
      <c r="F24" s="81" t="s">
        <v>111</v>
      </c>
      <c r="H24" s="66"/>
    </row>
    <row r="25" spans="1:8" ht="15">
      <c r="A25" s="78" t="s">
        <v>276</v>
      </c>
      <c r="B25" s="79"/>
      <c r="C25" s="79"/>
      <c r="D25" s="80"/>
      <c r="E25" s="78"/>
      <c r="F25" s="81" t="s">
        <v>111</v>
      </c>
      <c r="H25" s="66"/>
    </row>
    <row r="26" spans="1:8" ht="15">
      <c r="A26" s="78" t="s">
        <v>597</v>
      </c>
      <c r="B26" s="79"/>
      <c r="C26" s="79"/>
      <c r="D26" s="80">
        <v>2.54</v>
      </c>
      <c r="E26" s="78" t="s">
        <v>266</v>
      </c>
      <c r="F26" s="81" t="s">
        <v>598</v>
      </c>
      <c r="G26"/>
      <c r="H26" s="66"/>
    </row>
    <row r="27" spans="1:8" ht="30">
      <c r="A27" s="78" t="s">
        <v>599</v>
      </c>
      <c r="B27" s="79"/>
      <c r="C27" s="79"/>
      <c r="D27" s="291">
        <v>4</v>
      </c>
      <c r="E27" s="78" t="s">
        <v>600</v>
      </c>
      <c r="F27" s="81" t="s">
        <v>601</v>
      </c>
      <c r="G27"/>
      <c r="H27" s="66"/>
    </row>
    <row r="28" spans="1:8" ht="15">
      <c r="A28" s="78" t="s">
        <v>602</v>
      </c>
      <c r="B28" s="79"/>
      <c r="C28" s="79"/>
      <c r="D28" s="291">
        <v>8</v>
      </c>
      <c r="E28" s="78" t="s">
        <v>600</v>
      </c>
      <c r="F28" s="81" t="s">
        <v>111</v>
      </c>
      <c r="G28"/>
      <c r="H28" s="66"/>
    </row>
    <row r="29" spans="1:8" ht="15">
      <c r="A29" s="78"/>
      <c r="B29" s="79"/>
      <c r="C29" s="79"/>
      <c r="D29" s="79"/>
      <c r="E29" s="78"/>
      <c r="F29" s="81"/>
      <c r="H29" s="66"/>
    </row>
    <row r="30" spans="1:6" s="66" customFormat="1" ht="15">
      <c r="A30" s="150"/>
      <c r="B30" s="149"/>
      <c r="C30" s="149"/>
      <c r="D30" s="149"/>
      <c r="E30" s="150"/>
      <c r="F30" s="148"/>
    </row>
    <row r="31" spans="1:8" ht="15">
      <c r="A31" s="292" t="s">
        <v>277</v>
      </c>
      <c r="B31" s="79"/>
      <c r="C31" s="79"/>
      <c r="D31" s="79"/>
      <c r="E31" s="78"/>
      <c r="F31" s="81"/>
      <c r="H31" s="66"/>
    </row>
    <row r="32" spans="1:8" ht="15">
      <c r="A32" s="473" t="s">
        <v>565</v>
      </c>
      <c r="B32" s="474"/>
      <c r="C32" s="474"/>
      <c r="D32" s="474"/>
      <c r="E32" s="474"/>
      <c r="F32" s="81"/>
      <c r="H32" s="66"/>
    </row>
    <row r="33" spans="1:8" ht="15">
      <c r="A33" s="474"/>
      <c r="B33" s="474"/>
      <c r="C33" s="474"/>
      <c r="D33" s="474"/>
      <c r="E33" s="474"/>
      <c r="F33" s="81"/>
      <c r="H33" s="66"/>
    </row>
    <row r="34" spans="1:8" ht="15">
      <c r="A34" s="474"/>
      <c r="B34" s="474"/>
      <c r="C34" s="474"/>
      <c r="D34" s="474"/>
      <c r="E34" s="474"/>
      <c r="F34" s="81"/>
      <c r="H34" s="66"/>
    </row>
    <row r="35" spans="1:8" ht="15">
      <c r="A35" s="474"/>
      <c r="B35" s="474"/>
      <c r="C35" s="474"/>
      <c r="D35" s="474"/>
      <c r="E35" s="474"/>
      <c r="F35" s="81"/>
      <c r="H35" s="66"/>
    </row>
    <row r="36" spans="1:8" ht="15">
      <c r="A36" s="474"/>
      <c r="B36" s="474"/>
      <c r="C36" s="474"/>
      <c r="D36" s="474"/>
      <c r="E36" s="474"/>
      <c r="F36" s="81"/>
      <c r="H36" s="66"/>
    </row>
    <row r="37" spans="1:8" ht="63" customHeight="1">
      <c r="A37" s="473" t="s">
        <v>278</v>
      </c>
      <c r="B37" s="474"/>
      <c r="C37" s="474"/>
      <c r="D37" s="474"/>
      <c r="E37" s="474"/>
      <c r="F37" s="293"/>
      <c r="H37" s="66"/>
    </row>
    <row r="38" spans="1:8" ht="19.5" customHeight="1">
      <c r="A38" s="294"/>
      <c r="B38" s="294"/>
      <c r="C38" s="294"/>
      <c r="D38" s="294"/>
      <c r="E38" s="294"/>
      <c r="F38" s="295"/>
      <c r="H38" s="66"/>
    </row>
    <row r="39" spans="1:8" s="67" customFormat="1" ht="18" customHeight="1">
      <c r="A39" s="296" t="s">
        <v>700</v>
      </c>
      <c r="B39" s="296" t="s">
        <v>1</v>
      </c>
      <c r="C39" s="296" t="s">
        <v>2</v>
      </c>
      <c r="D39" s="296" t="s">
        <v>69</v>
      </c>
      <c r="E39" s="81"/>
      <c r="F39" s="293"/>
      <c r="G39" s="207"/>
      <c r="H39" s="207"/>
    </row>
    <row r="40" spans="1:8" s="67" customFormat="1" ht="38.25" customHeight="1">
      <c r="A40" s="81" t="s">
        <v>588</v>
      </c>
      <c r="B40" s="297">
        <v>-0.07</v>
      </c>
      <c r="C40" s="297">
        <v>0.06</v>
      </c>
      <c r="D40" s="297">
        <v>0.03</v>
      </c>
      <c r="E40" s="81"/>
      <c r="F40" s="153"/>
      <c r="G40" s="207"/>
      <c r="H40" s="207"/>
    </row>
    <row r="41" spans="1:8" s="67" customFormat="1" ht="254.25" customHeight="1">
      <c r="A41" s="473" t="s">
        <v>709</v>
      </c>
      <c r="B41" s="474"/>
      <c r="C41" s="474"/>
      <c r="D41" s="474"/>
      <c r="E41" s="474"/>
      <c r="F41" s="153"/>
      <c r="G41" s="207"/>
      <c r="H41" s="207"/>
    </row>
    <row r="42" spans="1:8" s="67" customFormat="1" ht="51.75" customHeight="1">
      <c r="A42" s="81" t="s">
        <v>566</v>
      </c>
      <c r="B42" s="297"/>
      <c r="C42" s="297"/>
      <c r="D42" s="297">
        <v>0.3</v>
      </c>
      <c r="E42" s="81"/>
      <c r="F42" s="153" t="s">
        <v>580</v>
      </c>
      <c r="G42" s="207"/>
      <c r="H42" s="207"/>
    </row>
    <row r="43" spans="1:8" s="67" customFormat="1" ht="26.25" customHeight="1">
      <c r="A43" s="81" t="s">
        <v>572</v>
      </c>
      <c r="B43" s="297"/>
      <c r="C43" s="297"/>
      <c r="D43" s="297">
        <v>0.2</v>
      </c>
      <c r="E43" s="81"/>
      <c r="F43" s="153" t="s">
        <v>571</v>
      </c>
      <c r="G43" s="207"/>
      <c r="H43" s="207"/>
    </row>
    <row r="44" spans="1:8" ht="15" customHeight="1">
      <c r="A44" s="292" t="s">
        <v>634</v>
      </c>
      <c r="B44" s="223" t="s">
        <v>1</v>
      </c>
      <c r="C44" s="223" t="s">
        <v>2</v>
      </c>
      <c r="D44" s="223" t="s">
        <v>69</v>
      </c>
      <c r="E44" s="292"/>
      <c r="F44" s="298"/>
      <c r="H44" s="66"/>
    </row>
    <row r="45" spans="1:8" ht="349.5" customHeight="1">
      <c r="A45" s="81" t="s">
        <v>693</v>
      </c>
      <c r="B45" s="81">
        <v>0.15</v>
      </c>
      <c r="C45" s="81">
        <v>0.9</v>
      </c>
      <c r="D45" s="81">
        <v>0.3</v>
      </c>
      <c r="E45" s="81"/>
      <c r="F45" s="298" t="s">
        <v>729</v>
      </c>
      <c r="H45" s="66"/>
    </row>
    <row r="46" spans="1:8" ht="60">
      <c r="A46" s="81" t="s">
        <v>533</v>
      </c>
      <c r="B46" s="299">
        <v>0.1</v>
      </c>
      <c r="C46" s="299">
        <f>1/5</f>
        <v>0.2</v>
      </c>
      <c r="D46" s="299">
        <f>1/6</f>
        <v>0.16666666666666666</v>
      </c>
      <c r="E46" s="81"/>
      <c r="F46" s="298" t="s">
        <v>581</v>
      </c>
      <c r="H46" s="66"/>
    </row>
    <row r="47" spans="1:8" ht="15">
      <c r="A47" s="81" t="s">
        <v>508</v>
      </c>
      <c r="B47" s="297"/>
      <c r="C47" s="297"/>
      <c r="D47" s="297">
        <v>0.5</v>
      </c>
      <c r="E47" s="81"/>
      <c r="F47" s="298" t="s">
        <v>111</v>
      </c>
      <c r="H47" s="66"/>
    </row>
    <row r="48" spans="1:8" ht="15" customHeight="1">
      <c r="A48" s="81"/>
      <c r="B48" s="81"/>
      <c r="C48" s="81"/>
      <c r="D48" s="81"/>
      <c r="E48" s="81"/>
      <c r="F48" s="298"/>
      <c r="H48" s="66"/>
    </row>
    <row r="49" spans="1:8" ht="45" customHeight="1">
      <c r="A49" s="81" t="s">
        <v>504</v>
      </c>
      <c r="B49" s="81"/>
      <c r="C49" s="81"/>
      <c r="D49" s="81"/>
      <c r="E49" s="81"/>
      <c r="F49" s="298"/>
      <c r="H49" s="66"/>
    </row>
    <row r="50" spans="1:8" s="155" customFormat="1" ht="15">
      <c r="A50" s="145" t="s">
        <v>491</v>
      </c>
      <c r="B50" s="300"/>
      <c r="C50" s="300"/>
      <c r="D50" s="300"/>
      <c r="E50" s="145"/>
      <c r="F50" s="147"/>
      <c r="G50" s="66"/>
      <c r="H50" s="66"/>
    </row>
    <row r="51" spans="1:8" s="155" customFormat="1" ht="15">
      <c r="A51" s="145" t="s">
        <v>492</v>
      </c>
      <c r="B51" s="300"/>
      <c r="C51" s="300"/>
      <c r="D51" s="300"/>
      <c r="E51" s="145"/>
      <c r="F51" s="147"/>
      <c r="G51" s="66"/>
      <c r="H51" s="66"/>
    </row>
    <row r="52" spans="1:8" s="155" customFormat="1" ht="15">
      <c r="A52" s="145" t="s">
        <v>505</v>
      </c>
      <c r="B52" s="300"/>
      <c r="C52" s="300"/>
      <c r="D52" s="300"/>
      <c r="E52" s="145"/>
      <c r="F52" s="147"/>
      <c r="G52" s="66"/>
      <c r="H52" s="66"/>
    </row>
    <row r="53" spans="1:8" s="155" customFormat="1" ht="15">
      <c r="A53" s="145" t="s">
        <v>493</v>
      </c>
      <c r="B53" s="300"/>
      <c r="C53" s="300"/>
      <c r="D53" s="300"/>
      <c r="E53" s="145"/>
      <c r="F53" s="147"/>
      <c r="G53" s="66"/>
      <c r="H53" s="66"/>
    </row>
    <row r="54" spans="1:8" s="155" customFormat="1" ht="15">
      <c r="A54" s="145"/>
      <c r="B54" s="300"/>
      <c r="C54" s="300"/>
      <c r="D54" s="300"/>
      <c r="E54" s="145"/>
      <c r="F54" s="147"/>
      <c r="G54" s="66"/>
      <c r="H54" s="66"/>
    </row>
    <row r="55" spans="1:8" s="155" customFormat="1" ht="15">
      <c r="A55" s="145" t="s">
        <v>494</v>
      </c>
      <c r="B55" s="300"/>
      <c r="C55" s="300"/>
      <c r="D55" s="300"/>
      <c r="E55" s="145"/>
      <c r="F55" s="147"/>
      <c r="G55" s="66"/>
      <c r="H55" s="66"/>
    </row>
    <row r="56" spans="1:8" s="155" customFormat="1" ht="15">
      <c r="A56" s="145" t="s">
        <v>528</v>
      </c>
      <c r="B56" s="300"/>
      <c r="C56" s="300"/>
      <c r="D56" s="300"/>
      <c r="E56" s="145"/>
      <c r="F56" s="147"/>
      <c r="G56" s="66"/>
      <c r="H56" s="66"/>
    </row>
    <row r="57" spans="1:8" s="155" customFormat="1" ht="15">
      <c r="A57" s="145"/>
      <c r="B57" s="300"/>
      <c r="C57" s="300"/>
      <c r="D57" s="300"/>
      <c r="E57" s="145"/>
      <c r="F57" s="147"/>
      <c r="G57" s="66"/>
      <c r="H57" s="66"/>
    </row>
    <row r="58" spans="1:8" s="155" customFormat="1" ht="15">
      <c r="A58" s="145" t="s">
        <v>497</v>
      </c>
      <c r="B58" s="300"/>
      <c r="C58" s="300"/>
      <c r="D58" s="300"/>
      <c r="E58" s="145"/>
      <c r="F58" s="147"/>
      <c r="G58" s="66"/>
      <c r="H58" s="66"/>
    </row>
    <row r="59" spans="1:8" s="155" customFormat="1" ht="15">
      <c r="A59" s="145" t="s">
        <v>527</v>
      </c>
      <c r="B59" s="300"/>
      <c r="C59" s="300"/>
      <c r="D59" s="300"/>
      <c r="E59" s="145"/>
      <c r="F59" s="147"/>
      <c r="G59" s="66"/>
      <c r="H59" s="66"/>
    </row>
    <row r="60" spans="1:8" s="155" customFormat="1" ht="15">
      <c r="A60" s="145" t="s">
        <v>498</v>
      </c>
      <c r="B60" s="300"/>
      <c r="C60" s="300"/>
      <c r="D60" s="300"/>
      <c r="E60" s="145"/>
      <c r="F60" s="147"/>
      <c r="G60" s="66"/>
      <c r="H60" s="66"/>
    </row>
    <row r="61" spans="1:8" s="155" customFormat="1" ht="15">
      <c r="A61" s="145" t="s">
        <v>499</v>
      </c>
      <c r="B61" s="300"/>
      <c r="C61" s="300"/>
      <c r="D61" s="300"/>
      <c r="E61" s="145"/>
      <c r="F61" s="147"/>
      <c r="G61" s="66"/>
      <c r="H61" s="66"/>
    </row>
    <row r="62" spans="1:8" s="155" customFormat="1" ht="15">
      <c r="A62" s="145"/>
      <c r="B62" s="300"/>
      <c r="C62" s="300"/>
      <c r="D62" s="300"/>
      <c r="E62" s="145"/>
      <c r="F62" s="147"/>
      <c r="G62" s="66"/>
      <c r="H62" s="66"/>
    </row>
    <row r="63" spans="1:8" s="155" customFormat="1" ht="30" customHeight="1">
      <c r="A63" s="475" t="s">
        <v>534</v>
      </c>
      <c r="B63" s="474"/>
      <c r="C63" s="474"/>
      <c r="D63" s="474"/>
      <c r="E63" s="474"/>
      <c r="F63" s="145"/>
      <c r="G63" s="66"/>
      <c r="H63" s="66"/>
    </row>
    <row r="64" spans="1:8" s="155" customFormat="1" ht="15">
      <c r="A64" s="145" t="s">
        <v>495</v>
      </c>
      <c r="B64" s="301"/>
      <c r="C64" s="300"/>
      <c r="D64" s="300"/>
      <c r="E64" s="145"/>
      <c r="F64" s="147"/>
      <c r="G64" s="66"/>
      <c r="H64" s="66"/>
    </row>
    <row r="65" spans="1:8" s="155" customFormat="1" ht="15">
      <c r="A65" s="145"/>
      <c r="B65" s="301"/>
      <c r="C65" s="300"/>
      <c r="D65" s="300"/>
      <c r="E65" s="145"/>
      <c r="F65" s="147"/>
      <c r="G65" s="66"/>
      <c r="H65" s="66"/>
    </row>
    <row r="66" spans="1:8" s="155" customFormat="1" ht="15">
      <c r="A66" s="145" t="s">
        <v>496</v>
      </c>
      <c r="B66" s="302"/>
      <c r="C66" s="300"/>
      <c r="D66" s="300"/>
      <c r="E66" s="145"/>
      <c r="F66" s="147"/>
      <c r="G66" s="66"/>
      <c r="H66" s="66"/>
    </row>
    <row r="67" spans="1:8" s="155" customFormat="1" ht="15">
      <c r="A67" s="302" t="s">
        <v>710</v>
      </c>
      <c r="B67" s="302"/>
      <c r="C67" s="300"/>
      <c r="D67" s="300"/>
      <c r="E67" s="145"/>
      <c r="F67" s="147"/>
      <c r="G67" s="66"/>
      <c r="H67" s="66"/>
    </row>
    <row r="68" spans="1:8" s="155" customFormat="1" ht="15">
      <c r="A68" s="145" t="s">
        <v>711</v>
      </c>
      <c r="B68" s="302"/>
      <c r="C68" s="300"/>
      <c r="D68" s="300"/>
      <c r="E68" s="145"/>
      <c r="F68" s="147"/>
      <c r="G68" s="66"/>
      <c r="H68" s="66"/>
    </row>
    <row r="69" spans="1:8" s="155" customFormat="1" ht="15">
      <c r="A69" s="145" t="s">
        <v>500</v>
      </c>
      <c r="B69" s="302"/>
      <c r="C69" s="300"/>
      <c r="D69" s="300"/>
      <c r="E69" s="145"/>
      <c r="F69" s="147"/>
      <c r="G69" s="66"/>
      <c r="H69" s="66"/>
    </row>
    <row r="70" spans="1:8" s="155" customFormat="1" ht="15">
      <c r="A70" s="145" t="s">
        <v>501</v>
      </c>
      <c r="B70" s="300"/>
      <c r="C70" s="300"/>
      <c r="D70" s="300"/>
      <c r="E70" s="145"/>
      <c r="F70" s="147"/>
      <c r="G70" s="66"/>
      <c r="H70" s="66"/>
    </row>
    <row r="71" spans="1:8" s="155" customFormat="1" ht="15">
      <c r="A71" s="145"/>
      <c r="B71" s="300"/>
      <c r="C71" s="300"/>
      <c r="D71" s="300"/>
      <c r="E71" s="145"/>
      <c r="F71" s="147"/>
      <c r="G71" s="66"/>
      <c r="H71" s="66"/>
    </row>
    <row r="72" spans="1:8" s="155" customFormat="1" ht="15">
      <c r="A72" s="145" t="s">
        <v>502</v>
      </c>
      <c r="B72" s="300"/>
      <c r="C72" s="300"/>
      <c r="D72" s="300"/>
      <c r="E72" s="145"/>
      <c r="F72" s="147"/>
      <c r="G72" s="66"/>
      <c r="H72" s="66"/>
    </row>
    <row r="73" spans="1:8" ht="15">
      <c r="A73" s="145"/>
      <c r="B73" s="145"/>
      <c r="C73" s="145"/>
      <c r="D73" s="145"/>
      <c r="E73" s="145"/>
      <c r="F73" s="145"/>
      <c r="H73" s="66"/>
    </row>
    <row r="74" spans="1:8" ht="15">
      <c r="A74" s="150"/>
      <c r="B74" s="149"/>
      <c r="C74" s="149"/>
      <c r="D74" s="149"/>
      <c r="E74" s="150"/>
      <c r="F74" s="303"/>
      <c r="H74" s="66"/>
    </row>
    <row r="75" spans="1:8" ht="15">
      <c r="A75" s="292" t="s">
        <v>701</v>
      </c>
      <c r="B75" s="79"/>
      <c r="C75" s="79"/>
      <c r="D75" s="79"/>
      <c r="E75" s="78"/>
      <c r="F75" s="81"/>
      <c r="H75" s="66"/>
    </row>
    <row r="76" spans="1:8" ht="15">
      <c r="A76" s="473" t="s">
        <v>640</v>
      </c>
      <c r="B76" s="474"/>
      <c r="C76" s="474"/>
      <c r="D76" s="474"/>
      <c r="E76" s="474"/>
      <c r="F76" s="81"/>
      <c r="H76" s="66"/>
    </row>
    <row r="77" spans="1:8" ht="15">
      <c r="A77" s="474"/>
      <c r="B77" s="474"/>
      <c r="C77" s="474"/>
      <c r="D77" s="474"/>
      <c r="E77" s="474"/>
      <c r="F77" s="81"/>
      <c r="H77" s="66"/>
    </row>
    <row r="78" spans="1:8" ht="15">
      <c r="A78" s="474"/>
      <c r="B78" s="474"/>
      <c r="C78" s="474"/>
      <c r="D78" s="474"/>
      <c r="E78" s="474"/>
      <c r="F78" s="81"/>
      <c r="H78" s="66"/>
    </row>
    <row r="79" spans="1:8" ht="15">
      <c r="A79" s="474"/>
      <c r="B79" s="474"/>
      <c r="C79" s="474"/>
      <c r="D79" s="474"/>
      <c r="E79" s="474"/>
      <c r="F79" s="81"/>
      <c r="H79" s="66"/>
    </row>
    <row r="80" spans="1:8" ht="91.5" customHeight="1">
      <c r="A80" s="474"/>
      <c r="B80" s="474"/>
      <c r="C80" s="474"/>
      <c r="D80" s="474"/>
      <c r="E80" s="474"/>
      <c r="F80" s="81"/>
      <c r="H80" s="66"/>
    </row>
    <row r="81" spans="1:8" ht="90" customHeight="1">
      <c r="A81" s="473" t="s">
        <v>641</v>
      </c>
      <c r="B81" s="474"/>
      <c r="C81" s="474"/>
      <c r="D81" s="474"/>
      <c r="E81" s="474"/>
      <c r="F81" s="293"/>
      <c r="H81" s="66"/>
    </row>
    <row r="82" spans="1:8" ht="19.5" customHeight="1">
      <c r="A82" s="294"/>
      <c r="B82" s="294"/>
      <c r="C82" s="294"/>
      <c r="D82" s="294"/>
      <c r="E82" s="294"/>
      <c r="F82" s="295"/>
      <c r="H82" s="66"/>
    </row>
    <row r="83" spans="1:8" ht="21">
      <c r="A83" s="304" t="s">
        <v>26</v>
      </c>
      <c r="B83" s="149"/>
      <c r="C83" s="149"/>
      <c r="D83" s="149"/>
      <c r="E83" s="150"/>
      <c r="F83" s="303"/>
      <c r="H83" s="66"/>
    </row>
    <row r="84" spans="1:8" ht="15">
      <c r="A84" s="305"/>
      <c r="B84" s="149"/>
      <c r="C84" s="149"/>
      <c r="D84" s="149"/>
      <c r="E84" s="150"/>
      <c r="F84" s="148"/>
      <c r="H84" s="66"/>
    </row>
    <row r="85" spans="1:8" ht="15">
      <c r="A85" s="119" t="s">
        <v>697</v>
      </c>
      <c r="B85" s="140"/>
      <c r="C85" s="140"/>
      <c r="D85" s="140"/>
      <c r="E85" s="141"/>
      <c r="F85" s="142"/>
      <c r="H85" s="66"/>
    </row>
    <row r="86" spans="1:8" ht="15">
      <c r="A86" s="141"/>
      <c r="B86" s="140" t="s">
        <v>23</v>
      </c>
      <c r="C86" s="140" t="s">
        <v>24</v>
      </c>
      <c r="D86" s="140" t="s">
        <v>54</v>
      </c>
      <c r="E86" s="141"/>
      <c r="F86" s="142"/>
      <c r="H86" s="66"/>
    </row>
    <row r="87" spans="1:8" ht="15">
      <c r="A87" s="78" t="s">
        <v>284</v>
      </c>
      <c r="B87" s="143">
        <f>D87*0.85</f>
        <v>3157.75</v>
      </c>
      <c r="C87" s="143">
        <f>D87*1.26</f>
        <v>4680.9</v>
      </c>
      <c r="D87" s="143">
        <v>3715</v>
      </c>
      <c r="E87" s="78" t="s">
        <v>36</v>
      </c>
      <c r="F87" s="81" t="s">
        <v>279</v>
      </c>
      <c r="H87" s="66"/>
    </row>
    <row r="88" spans="1:8" ht="15">
      <c r="A88" s="78" t="s">
        <v>695</v>
      </c>
      <c r="B88" s="143">
        <f>D88*0.85</f>
        <v>3116.95</v>
      </c>
      <c r="C88" s="143">
        <f>D88*1.26</f>
        <v>4620.42</v>
      </c>
      <c r="D88" s="143">
        <v>3667</v>
      </c>
      <c r="E88" s="78" t="s">
        <v>36</v>
      </c>
      <c r="F88" s="81" t="s">
        <v>279</v>
      </c>
      <c r="H88" s="66"/>
    </row>
    <row r="89" spans="1:8" ht="15">
      <c r="A89" s="78" t="s">
        <v>285</v>
      </c>
      <c r="B89" s="143">
        <f>D89*0.85</f>
        <v>2985.2</v>
      </c>
      <c r="C89" s="143">
        <f>D89*1.26</f>
        <v>4425.12</v>
      </c>
      <c r="D89" s="143">
        <v>3512</v>
      </c>
      <c r="E89" s="78" t="s">
        <v>36</v>
      </c>
      <c r="F89" s="81" t="s">
        <v>279</v>
      </c>
      <c r="H89" s="66"/>
    </row>
    <row r="90" spans="1:8" ht="15">
      <c r="A90" s="78" t="s">
        <v>286</v>
      </c>
      <c r="B90" s="143">
        <f>D90*0.85</f>
        <v>2783.75</v>
      </c>
      <c r="C90" s="143">
        <f>D90*1.26</f>
        <v>4126.5</v>
      </c>
      <c r="D90" s="143">
        <v>3275</v>
      </c>
      <c r="E90" s="78" t="s">
        <v>36</v>
      </c>
      <c r="F90" s="81" t="s">
        <v>279</v>
      </c>
      <c r="H90" s="66"/>
    </row>
    <row r="91" spans="1:8" ht="15">
      <c r="A91" s="78"/>
      <c r="B91" s="143"/>
      <c r="C91" s="143"/>
      <c r="D91" s="143"/>
      <c r="E91" s="78"/>
      <c r="F91" s="81"/>
      <c r="H91" s="66"/>
    </row>
    <row r="92" spans="1:9" ht="15">
      <c r="A92" s="145" t="s">
        <v>280</v>
      </c>
      <c r="B92" s="146">
        <f>B88-B90</f>
        <v>333.1999999999998</v>
      </c>
      <c r="C92" s="146">
        <f>C88-C90</f>
        <v>493.9200000000001</v>
      </c>
      <c r="D92" s="146">
        <f>D88-D90</f>
        <v>392</v>
      </c>
      <c r="E92" s="145" t="s">
        <v>36</v>
      </c>
      <c r="F92" s="147" t="s">
        <v>281</v>
      </c>
      <c r="H92" s="26"/>
      <c r="I92" s="12" t="s">
        <v>115</v>
      </c>
    </row>
    <row r="93" spans="1:8" ht="15">
      <c r="A93" s="145" t="s">
        <v>282</v>
      </c>
      <c r="B93" s="146">
        <f>B92/1.066</f>
        <v>312.5703564727953</v>
      </c>
      <c r="C93" s="146">
        <f>C92/1.066</f>
        <v>463.3395872420263</v>
      </c>
      <c r="D93" s="146">
        <f>D92/1.066</f>
        <v>367.72983114446527</v>
      </c>
      <c r="E93" s="145" t="s">
        <v>36</v>
      </c>
      <c r="F93" s="147" t="s">
        <v>283</v>
      </c>
      <c r="H93" s="66"/>
    </row>
    <row r="94" spans="1:8" ht="15">
      <c r="A94" s="145"/>
      <c r="B94" s="152"/>
      <c r="C94" s="152"/>
      <c r="D94" s="152"/>
      <c r="E94" s="145"/>
      <c r="F94" s="147"/>
      <c r="H94" s="66"/>
    </row>
    <row r="95" spans="1:8" ht="45">
      <c r="A95" s="148" t="s">
        <v>696</v>
      </c>
      <c r="B95" s="149"/>
      <c r="C95" s="149"/>
      <c r="D95" s="149"/>
      <c r="E95" s="150"/>
      <c r="F95" s="148"/>
      <c r="H95" s="66"/>
    </row>
    <row r="96" spans="1:8" ht="15">
      <c r="A96" s="150"/>
      <c r="B96" s="149"/>
      <c r="C96" s="149"/>
      <c r="D96" s="149"/>
      <c r="E96" s="150"/>
      <c r="F96" s="148"/>
      <c r="H96" s="66"/>
    </row>
    <row r="97" spans="1:8" ht="15">
      <c r="A97" s="306" t="s">
        <v>698</v>
      </c>
      <c r="B97" s="140"/>
      <c r="C97" s="140"/>
      <c r="D97" s="140"/>
      <c r="E97" s="141"/>
      <c r="F97" s="142"/>
      <c r="G97" s="207"/>
      <c r="H97" s="66"/>
    </row>
    <row r="98" spans="1:8" ht="15">
      <c r="A98" s="141"/>
      <c r="B98" s="140" t="s">
        <v>23</v>
      </c>
      <c r="C98" s="140" t="s">
        <v>24</v>
      </c>
      <c r="D98" s="140" t="s">
        <v>54</v>
      </c>
      <c r="E98" s="141"/>
      <c r="F98" s="142"/>
      <c r="H98" s="66"/>
    </row>
    <row r="99" spans="1:8" ht="15">
      <c r="A99" s="78" t="s">
        <v>287</v>
      </c>
      <c r="B99" s="143">
        <f>D99*0.85</f>
        <v>11021.949999999999</v>
      </c>
      <c r="C99" s="143">
        <f>D99*1.26</f>
        <v>16338.42</v>
      </c>
      <c r="D99" s="143">
        <v>12967</v>
      </c>
      <c r="E99" s="78" t="s">
        <v>36</v>
      </c>
      <c r="F99" s="81" t="s">
        <v>279</v>
      </c>
      <c r="H99" s="66"/>
    </row>
    <row r="100" spans="1:8" ht="15">
      <c r="A100" s="78" t="s">
        <v>288</v>
      </c>
      <c r="B100" s="143">
        <f>D100*0.85</f>
        <v>11008.35</v>
      </c>
      <c r="C100" s="143">
        <f>D100*1.26</f>
        <v>16318.26</v>
      </c>
      <c r="D100" s="143">
        <v>12951</v>
      </c>
      <c r="E100" s="78" t="s">
        <v>36</v>
      </c>
      <c r="F100" s="81" t="s">
        <v>279</v>
      </c>
      <c r="H100" s="66"/>
    </row>
    <row r="101" spans="1:8" ht="15">
      <c r="A101" s="78" t="s">
        <v>289</v>
      </c>
      <c r="B101" s="143">
        <f>D101*0.85</f>
        <v>11008.35</v>
      </c>
      <c r="C101" s="143">
        <f>D101*1.26</f>
        <v>16318.26</v>
      </c>
      <c r="D101" s="143">
        <v>12951</v>
      </c>
      <c r="E101" s="78" t="s">
        <v>36</v>
      </c>
      <c r="F101" s="81" t="s">
        <v>279</v>
      </c>
      <c r="H101" s="66"/>
    </row>
    <row r="102" spans="1:8" ht="15">
      <c r="A102" s="144"/>
      <c r="B102" s="79"/>
      <c r="C102" s="79"/>
      <c r="D102" s="79"/>
      <c r="E102" s="78"/>
      <c r="F102" s="81"/>
      <c r="H102" s="66"/>
    </row>
    <row r="103" spans="1:8" ht="15">
      <c r="A103" s="145" t="s">
        <v>290</v>
      </c>
      <c r="B103" s="146">
        <f>B100-B101</f>
        <v>0</v>
      </c>
      <c r="C103" s="146">
        <f>C100-C101</f>
        <v>0</v>
      </c>
      <c r="D103" s="146">
        <f>D100-D101</f>
        <v>0</v>
      </c>
      <c r="E103" s="145" t="s">
        <v>36</v>
      </c>
      <c r="F103" s="147" t="s">
        <v>281</v>
      </c>
      <c r="H103" s="66"/>
    </row>
    <row r="104" spans="1:8" ht="15">
      <c r="A104" s="145" t="s">
        <v>291</v>
      </c>
      <c r="B104" s="146">
        <f>B103/1.066</f>
        <v>0</v>
      </c>
      <c r="C104" s="146">
        <f>C103/1.066</f>
        <v>0</v>
      </c>
      <c r="D104" s="146">
        <f>D103/1.066</f>
        <v>0</v>
      </c>
      <c r="E104" s="145" t="s">
        <v>36</v>
      </c>
      <c r="F104" s="147" t="s">
        <v>283</v>
      </c>
      <c r="H104" s="66"/>
    </row>
    <row r="105" spans="1:8" ht="30" customHeight="1">
      <c r="A105" s="145"/>
      <c r="B105" s="152"/>
      <c r="C105" s="152"/>
      <c r="D105" s="152"/>
      <c r="E105" s="145"/>
      <c r="F105" s="147"/>
      <c r="H105" s="66"/>
    </row>
    <row r="106" spans="1:8" ht="15">
      <c r="A106" s="150"/>
      <c r="B106" s="149"/>
      <c r="C106" s="149"/>
      <c r="D106" s="149"/>
      <c r="E106" s="150"/>
      <c r="F106" s="148"/>
      <c r="H106" s="66"/>
    </row>
    <row r="107" spans="1:8" ht="15">
      <c r="A107" s="150"/>
      <c r="B107" s="149"/>
      <c r="C107" s="149"/>
      <c r="D107" s="149"/>
      <c r="E107" s="150"/>
      <c r="F107" s="148"/>
      <c r="H107" s="66"/>
    </row>
    <row r="108" spans="1:9" s="67" customFormat="1" ht="15">
      <c r="A108" s="40" t="s">
        <v>699</v>
      </c>
      <c r="B108" s="139"/>
      <c r="C108" s="140"/>
      <c r="D108" s="140"/>
      <c r="E108" s="141"/>
      <c r="F108" s="142"/>
      <c r="G108" s="66"/>
      <c r="H108" s="66"/>
      <c r="I108"/>
    </row>
    <row r="109" spans="1:8" s="67" customFormat="1" ht="15">
      <c r="A109" s="141"/>
      <c r="B109" s="140" t="s">
        <v>23</v>
      </c>
      <c r="C109" s="140" t="s">
        <v>24</v>
      </c>
      <c r="D109" s="140" t="s">
        <v>54</v>
      </c>
      <c r="E109" s="141"/>
      <c r="F109" s="142"/>
      <c r="G109" s="207"/>
      <c r="H109" s="207"/>
    </row>
    <row r="110" spans="1:8" s="67" customFormat="1" ht="15">
      <c r="A110" s="78" t="s">
        <v>384</v>
      </c>
      <c r="B110" s="143">
        <f aca="true" t="shared" si="0" ref="B110:B115">D110*0.85</f>
        <v>2641.7999999999997</v>
      </c>
      <c r="C110" s="143">
        <f aca="true" t="shared" si="1" ref="C110:C115">D110*1.26</f>
        <v>3916.08</v>
      </c>
      <c r="D110" s="143">
        <v>3108</v>
      </c>
      <c r="E110" s="78" t="s">
        <v>36</v>
      </c>
      <c r="F110" s="81" t="s">
        <v>279</v>
      </c>
      <c r="G110" s="207"/>
      <c r="H110" s="207"/>
    </row>
    <row r="111" spans="1:8" s="67" customFormat="1" ht="15">
      <c r="A111" s="78" t="s">
        <v>385</v>
      </c>
      <c r="B111" s="143">
        <f t="shared" si="0"/>
        <v>3204.5</v>
      </c>
      <c r="C111" s="143">
        <f t="shared" si="1"/>
        <v>4750.2</v>
      </c>
      <c r="D111" s="143">
        <v>3770</v>
      </c>
      <c r="E111" s="78" t="s">
        <v>36</v>
      </c>
      <c r="F111" s="81" t="s">
        <v>279</v>
      </c>
      <c r="G111" s="207"/>
      <c r="H111" s="207"/>
    </row>
    <row r="112" spans="1:8" s="67" customFormat="1" ht="15">
      <c r="A112" s="78" t="s">
        <v>386</v>
      </c>
      <c r="B112" s="143">
        <f t="shared" si="0"/>
        <v>2881.5</v>
      </c>
      <c r="C112" s="143">
        <f t="shared" si="1"/>
        <v>4271.4</v>
      </c>
      <c r="D112" s="143">
        <v>3390</v>
      </c>
      <c r="E112" s="78" t="s">
        <v>36</v>
      </c>
      <c r="F112" s="81" t="s">
        <v>279</v>
      </c>
      <c r="G112" s="207"/>
      <c r="H112" s="207"/>
    </row>
    <row r="113" spans="1:8" s="67" customFormat="1" ht="15">
      <c r="A113" s="78" t="s">
        <v>387</v>
      </c>
      <c r="B113" s="143">
        <f t="shared" si="0"/>
        <v>6947.9</v>
      </c>
      <c r="C113" s="143">
        <f t="shared" si="1"/>
        <v>10299.24</v>
      </c>
      <c r="D113" s="143">
        <v>8174</v>
      </c>
      <c r="E113" s="78" t="s">
        <v>36</v>
      </c>
      <c r="F113" s="81" t="s">
        <v>279</v>
      </c>
      <c r="G113" s="207"/>
      <c r="H113" s="207"/>
    </row>
    <row r="114" spans="1:8" s="67" customFormat="1" ht="15">
      <c r="A114" s="78" t="s">
        <v>388</v>
      </c>
      <c r="B114" s="143">
        <f t="shared" si="0"/>
        <v>11410.4</v>
      </c>
      <c r="C114" s="143">
        <f t="shared" si="1"/>
        <v>16914.24</v>
      </c>
      <c r="D114" s="143">
        <v>13424</v>
      </c>
      <c r="E114" s="78" t="s">
        <v>36</v>
      </c>
      <c r="F114" s="81" t="s">
        <v>279</v>
      </c>
      <c r="G114" s="207"/>
      <c r="H114" s="207"/>
    </row>
    <row r="115" spans="1:9" ht="15">
      <c r="A115" s="78" t="s">
        <v>389</v>
      </c>
      <c r="B115" s="143">
        <f t="shared" si="0"/>
        <v>11494.55</v>
      </c>
      <c r="C115" s="143">
        <f t="shared" si="1"/>
        <v>17038.98</v>
      </c>
      <c r="D115" s="143">
        <v>13523</v>
      </c>
      <c r="E115" s="78" t="s">
        <v>36</v>
      </c>
      <c r="F115" s="81" t="s">
        <v>279</v>
      </c>
      <c r="G115" s="207"/>
      <c r="H115" s="207"/>
      <c r="I115" s="67"/>
    </row>
    <row r="116" spans="1:8" ht="15">
      <c r="A116" s="144"/>
      <c r="B116" s="143"/>
      <c r="C116" s="143"/>
      <c r="D116" s="143"/>
      <c r="E116" s="78"/>
      <c r="F116" s="81"/>
      <c r="H116" s="66"/>
    </row>
    <row r="117" spans="1:8" ht="15">
      <c r="A117" s="145" t="s">
        <v>390</v>
      </c>
      <c r="B117" s="146">
        <f>B111-B112</f>
        <v>323</v>
      </c>
      <c r="C117" s="146">
        <f>C111-C112</f>
        <v>478.8000000000002</v>
      </c>
      <c r="D117" s="146">
        <f>D111-D112</f>
        <v>380</v>
      </c>
      <c r="E117" s="145" t="s">
        <v>36</v>
      </c>
      <c r="F117" s="147" t="s">
        <v>281</v>
      </c>
      <c r="H117" s="66"/>
    </row>
    <row r="118" spans="1:9" s="82" customFormat="1" ht="15">
      <c r="A118" s="145" t="s">
        <v>445</v>
      </c>
      <c r="B118" s="146">
        <f>B115-B114</f>
        <v>84.14999999999964</v>
      </c>
      <c r="C118" s="146">
        <f>C115-C114</f>
        <v>124.73999999999796</v>
      </c>
      <c r="D118" s="146">
        <f>D115-D114</f>
        <v>99</v>
      </c>
      <c r="E118" s="145" t="s">
        <v>36</v>
      </c>
      <c r="F118" s="147" t="s">
        <v>281</v>
      </c>
      <c r="G118" s="66"/>
      <c r="H118" s="66"/>
      <c r="I118"/>
    </row>
    <row r="119" spans="1:8" s="82" customFormat="1" ht="15">
      <c r="A119" s="145" t="s">
        <v>391</v>
      </c>
      <c r="B119" s="146">
        <f>B117-B118</f>
        <v>238.85000000000036</v>
      </c>
      <c r="C119" s="146">
        <f>C117-C118</f>
        <v>354.0600000000022</v>
      </c>
      <c r="D119" s="146">
        <f>D117-D118</f>
        <v>281</v>
      </c>
      <c r="E119" s="145" t="s">
        <v>36</v>
      </c>
      <c r="F119" s="147" t="s">
        <v>283</v>
      </c>
      <c r="G119" s="206"/>
      <c r="H119" s="206"/>
    </row>
    <row r="120" spans="1:8" s="82" customFormat="1" ht="15">
      <c r="A120" s="145" t="s">
        <v>392</v>
      </c>
      <c r="B120" s="146">
        <f>B119/1.066</f>
        <v>224.06191369606037</v>
      </c>
      <c r="C120" s="146">
        <f>C119/1.066</f>
        <v>332.1388367729852</v>
      </c>
      <c r="D120" s="146">
        <f>D119/1.066</f>
        <v>263.6022514071294</v>
      </c>
      <c r="E120" s="145" t="s">
        <v>36</v>
      </c>
      <c r="F120" s="147" t="s">
        <v>283</v>
      </c>
      <c r="G120" s="206"/>
      <c r="H120" s="206"/>
    </row>
    <row r="121" spans="1:8" s="82" customFormat="1" ht="15">
      <c r="A121" s="145"/>
      <c r="B121" s="146"/>
      <c r="C121" s="146"/>
      <c r="D121" s="146"/>
      <c r="E121" s="145"/>
      <c r="F121" s="147"/>
      <c r="G121" s="206"/>
      <c r="H121" s="206"/>
    </row>
    <row r="122" spans="1:8" s="82" customFormat="1" ht="30">
      <c r="A122" s="148" t="s">
        <v>446</v>
      </c>
      <c r="B122" s="149"/>
      <c r="C122" s="149"/>
      <c r="D122" s="149"/>
      <c r="E122" s="150"/>
      <c r="F122" s="148"/>
      <c r="G122" s="206"/>
      <c r="H122" s="206"/>
    </row>
    <row r="123" spans="1:8" s="82" customFormat="1" ht="15">
      <c r="A123" s="151"/>
      <c r="B123" s="149"/>
      <c r="C123" s="149"/>
      <c r="D123" s="149"/>
      <c r="E123" s="150"/>
      <c r="F123" s="148"/>
      <c r="G123" s="206"/>
      <c r="H123" s="206"/>
    </row>
    <row r="124" spans="7:8" s="82" customFormat="1" ht="15">
      <c r="G124" s="206"/>
      <c r="H124" s="206"/>
    </row>
    <row r="125" spans="1:8" s="82" customFormat="1" ht="15">
      <c r="A125" s="40" t="s">
        <v>702</v>
      </c>
      <c r="B125" s="140"/>
      <c r="C125" s="140"/>
      <c r="D125" s="140"/>
      <c r="E125" s="141"/>
      <c r="F125" s="142"/>
      <c r="G125" s="206"/>
      <c r="H125" s="206"/>
    </row>
    <row r="126" spans="1:8" s="82" customFormat="1" ht="15">
      <c r="A126" s="141"/>
      <c r="B126" s="140" t="s">
        <v>23</v>
      </c>
      <c r="C126" s="140" t="s">
        <v>24</v>
      </c>
      <c r="D126" s="140" t="s">
        <v>54</v>
      </c>
      <c r="E126" s="141"/>
      <c r="F126" s="142"/>
      <c r="G126" s="206"/>
      <c r="H126" s="206"/>
    </row>
    <row r="127" spans="1:8" s="82" customFormat="1" ht="15">
      <c r="A127" s="78" t="s">
        <v>535</v>
      </c>
      <c r="B127" s="143">
        <f>D127*0.85</f>
        <v>3490.95</v>
      </c>
      <c r="C127" s="143">
        <f>D127*1.26</f>
        <v>5174.82</v>
      </c>
      <c r="D127" s="143">
        <v>4107</v>
      </c>
      <c r="E127" s="78" t="s">
        <v>36</v>
      </c>
      <c r="F127" s="81" t="s">
        <v>279</v>
      </c>
      <c r="G127" s="206"/>
      <c r="H127" s="206"/>
    </row>
    <row r="128" spans="1:8" s="82" customFormat="1" ht="15">
      <c r="A128" s="78" t="s">
        <v>536</v>
      </c>
      <c r="B128" s="143">
        <f>D128*0.85</f>
        <v>7488.5</v>
      </c>
      <c r="C128" s="143">
        <f>D128*1.26</f>
        <v>11100.6</v>
      </c>
      <c r="D128" s="143">
        <v>8810</v>
      </c>
      <c r="E128" s="78" t="s">
        <v>36</v>
      </c>
      <c r="F128" s="81" t="s">
        <v>279</v>
      </c>
      <c r="G128" s="206"/>
      <c r="H128" s="206"/>
    </row>
    <row r="129" spans="1:8" s="82" customFormat="1" ht="15">
      <c r="A129" s="78" t="s">
        <v>451</v>
      </c>
      <c r="B129" s="143">
        <f>D129*0.85</f>
        <v>3832.65</v>
      </c>
      <c r="C129" s="143">
        <f>D129*1.26</f>
        <v>5681.34</v>
      </c>
      <c r="D129" s="143">
        <v>4509</v>
      </c>
      <c r="E129" s="78" t="s">
        <v>36</v>
      </c>
      <c r="F129" s="81" t="s">
        <v>279</v>
      </c>
      <c r="G129" s="206"/>
      <c r="H129" s="206"/>
    </row>
    <row r="130" spans="1:8" s="82" customFormat="1" ht="15">
      <c r="A130" s="78" t="s">
        <v>716</v>
      </c>
      <c r="B130" s="143">
        <f>D130*0.85</f>
        <v>1039.55</v>
      </c>
      <c r="C130" s="143">
        <f>D130*1.26</f>
        <v>1540.98</v>
      </c>
      <c r="D130" s="143">
        <v>1223</v>
      </c>
      <c r="E130" s="78" t="s">
        <v>36</v>
      </c>
      <c r="F130" s="81" t="s">
        <v>279</v>
      </c>
      <c r="G130" s="206"/>
      <c r="H130" s="206"/>
    </row>
    <row r="131" spans="1:8" s="82" customFormat="1" ht="15">
      <c r="A131" s="144"/>
      <c r="B131" s="79"/>
      <c r="C131" s="79"/>
      <c r="D131" s="79"/>
      <c r="E131" s="78"/>
      <c r="F131" s="81"/>
      <c r="G131" s="206"/>
      <c r="H131" s="206"/>
    </row>
    <row r="132" spans="1:8" s="82" customFormat="1" ht="15">
      <c r="A132" s="145" t="s">
        <v>537</v>
      </c>
      <c r="B132" s="146">
        <f>B128-B129</f>
        <v>3655.85</v>
      </c>
      <c r="C132" s="146">
        <f>C128-C129</f>
        <v>5419.26</v>
      </c>
      <c r="D132" s="146">
        <f>D128-D129</f>
        <v>4301</v>
      </c>
      <c r="E132" s="145" t="s">
        <v>36</v>
      </c>
      <c r="F132" s="147" t="s">
        <v>281</v>
      </c>
      <c r="G132" s="206"/>
      <c r="H132" s="206"/>
    </row>
    <row r="133" spans="1:8" s="82" customFormat="1" ht="15">
      <c r="A133" s="145" t="s">
        <v>538</v>
      </c>
      <c r="B133" s="146">
        <f>B132-B130</f>
        <v>2616.3</v>
      </c>
      <c r="C133" s="146">
        <f>C132-C130</f>
        <v>3878.28</v>
      </c>
      <c r="D133" s="146">
        <f>D132-D130</f>
        <v>3078</v>
      </c>
      <c r="E133" s="145" t="s">
        <v>36</v>
      </c>
      <c r="F133" s="147" t="s">
        <v>281</v>
      </c>
      <c r="G133" s="206"/>
      <c r="H133" s="206"/>
    </row>
    <row r="134" spans="1:8" s="82" customFormat="1" ht="15">
      <c r="A134" s="145" t="s">
        <v>539</v>
      </c>
      <c r="B134" s="146">
        <f>B133/1.066</f>
        <v>2454.315196998124</v>
      </c>
      <c r="C134" s="146">
        <f>C133/1.066</f>
        <v>3638.161350844278</v>
      </c>
      <c r="D134" s="146">
        <f>D133/1.066</f>
        <v>2887.4296435272045</v>
      </c>
      <c r="E134" s="145" t="s">
        <v>36</v>
      </c>
      <c r="F134" s="147" t="s">
        <v>283</v>
      </c>
      <c r="G134" s="206"/>
      <c r="H134" s="206"/>
    </row>
    <row r="135" spans="1:8" s="82" customFormat="1" ht="15">
      <c r="A135" s="145"/>
      <c r="B135" s="152"/>
      <c r="C135" s="152"/>
      <c r="D135" s="152"/>
      <c r="E135" s="145"/>
      <c r="F135" s="147"/>
      <c r="G135" s="206"/>
      <c r="H135" s="206"/>
    </row>
    <row r="136" spans="1:8" s="67" customFormat="1" ht="30">
      <c r="A136" s="148" t="s">
        <v>446</v>
      </c>
      <c r="B136" s="149"/>
      <c r="C136" s="149"/>
      <c r="D136" s="149"/>
      <c r="E136" s="150"/>
      <c r="F136" s="148"/>
      <c r="G136" s="207"/>
      <c r="H136" s="207"/>
    </row>
    <row r="137" spans="1:8" s="67" customFormat="1" ht="15">
      <c r="A137" s="150"/>
      <c r="B137" s="149"/>
      <c r="C137" s="149"/>
      <c r="D137" s="149"/>
      <c r="E137" s="150"/>
      <c r="F137" s="148"/>
      <c r="G137" s="207"/>
      <c r="H137" s="207"/>
    </row>
    <row r="138" spans="1:8" s="67" customFormat="1" ht="15">
      <c r="A138" s="150"/>
      <c r="B138" s="149"/>
      <c r="C138" s="149"/>
      <c r="D138" s="149"/>
      <c r="E138" s="150"/>
      <c r="F138" s="148"/>
      <c r="G138" s="207"/>
      <c r="H138" s="207"/>
    </row>
    <row r="139" spans="1:8" s="67" customFormat="1" ht="15">
      <c r="A139" s="307" t="s">
        <v>703</v>
      </c>
      <c r="B139" s="140"/>
      <c r="C139" s="140"/>
      <c r="D139" s="140"/>
      <c r="E139" s="141"/>
      <c r="F139" s="142"/>
      <c r="G139" s="207"/>
      <c r="H139" s="207"/>
    </row>
    <row r="140" spans="1:8" s="67" customFormat="1" ht="90">
      <c r="A140" s="307" t="s">
        <v>578</v>
      </c>
      <c r="B140" s="140"/>
      <c r="C140" s="140"/>
      <c r="D140" s="140"/>
      <c r="E140" s="141"/>
      <c r="F140" s="142" t="s">
        <v>570</v>
      </c>
      <c r="G140" s="207"/>
      <c r="H140" s="207"/>
    </row>
    <row r="141" spans="1:8" s="67" customFormat="1" ht="15">
      <c r="A141" s="141"/>
      <c r="B141" s="140" t="s">
        <v>23</v>
      </c>
      <c r="C141" s="140" t="s">
        <v>24</v>
      </c>
      <c r="D141" s="140" t="s">
        <v>54</v>
      </c>
      <c r="E141" s="141"/>
      <c r="F141" s="142"/>
      <c r="G141" s="207"/>
      <c r="H141" s="207"/>
    </row>
    <row r="142" spans="1:8" s="67" customFormat="1" ht="15">
      <c r="A142" s="78" t="s">
        <v>569</v>
      </c>
      <c r="B142" s="308">
        <f>B40</f>
        <v>-0.07</v>
      </c>
      <c r="C142" s="308">
        <f>C40</f>
        <v>0.06</v>
      </c>
      <c r="D142" s="308">
        <f>D40</f>
        <v>0.03</v>
      </c>
      <c r="E142" s="78"/>
      <c r="F142" s="81" t="s">
        <v>579</v>
      </c>
      <c r="G142" s="207"/>
      <c r="H142" s="207"/>
    </row>
    <row r="143" spans="1:8" s="67" customFormat="1" ht="15">
      <c r="A143" s="78" t="str">
        <f>A6</f>
        <v>Mean space heating per home</v>
      </c>
      <c r="B143" s="143">
        <f>B6</f>
        <v>11016</v>
      </c>
      <c r="C143" s="143">
        <f>C6</f>
        <v>16329.6</v>
      </c>
      <c r="D143" s="143">
        <f>D6</f>
        <v>12960</v>
      </c>
      <c r="E143" s="78" t="str">
        <f>E6</f>
        <v>kWh/y</v>
      </c>
      <c r="F143" s="81" t="s">
        <v>281</v>
      </c>
      <c r="G143" s="207"/>
      <c r="H143" s="207"/>
    </row>
    <row r="144" spans="1:8" s="67" customFormat="1" ht="15">
      <c r="A144" s="145" t="s">
        <v>568</v>
      </c>
      <c r="B144" s="152">
        <f>B142*B143</f>
        <v>-771.1200000000001</v>
      </c>
      <c r="C144" s="152">
        <f>C142*C143</f>
        <v>979.776</v>
      </c>
      <c r="D144" s="152">
        <f>D142*D143</f>
        <v>388.8</v>
      </c>
      <c r="E144" s="145" t="s">
        <v>261</v>
      </c>
      <c r="F144" s="147"/>
      <c r="G144" s="207"/>
      <c r="H144" s="207"/>
    </row>
    <row r="145" spans="1:9" ht="15">
      <c r="A145" s="145"/>
      <c r="B145" s="152"/>
      <c r="C145" s="152"/>
      <c r="D145" s="152"/>
      <c r="E145" s="145"/>
      <c r="F145" s="147"/>
      <c r="G145" s="207"/>
      <c r="H145" s="207"/>
      <c r="I145" s="67"/>
    </row>
    <row r="146" spans="1:8" ht="15">
      <c r="A146" s="150"/>
      <c r="B146" s="149"/>
      <c r="C146" s="149"/>
      <c r="D146" s="149"/>
      <c r="E146" s="150"/>
      <c r="F146" s="148"/>
      <c r="H146" s="66"/>
    </row>
    <row r="147" spans="1:8" ht="15">
      <c r="A147" s="150"/>
      <c r="B147" s="149"/>
      <c r="C147" s="149"/>
      <c r="D147" s="149"/>
      <c r="E147" s="150"/>
      <c r="F147" s="148"/>
      <c r="H147" s="66"/>
    </row>
    <row r="148" spans="1:8" ht="15">
      <c r="A148" s="40" t="s">
        <v>704</v>
      </c>
      <c r="B148" s="140"/>
      <c r="C148" s="140"/>
      <c r="D148" s="140"/>
      <c r="E148" s="141"/>
      <c r="F148" s="142"/>
      <c r="H148" s="66"/>
    </row>
    <row r="149" spans="1:8" ht="15">
      <c r="A149" s="141"/>
      <c r="B149" s="140" t="s">
        <v>23</v>
      </c>
      <c r="C149" s="140" t="s">
        <v>24</v>
      </c>
      <c r="D149" s="140" t="s">
        <v>54</v>
      </c>
      <c r="E149" s="141"/>
      <c r="F149" s="142"/>
      <c r="H149" s="66"/>
    </row>
    <row r="150" spans="1:8" ht="15">
      <c r="A150" s="78" t="s">
        <v>393</v>
      </c>
      <c r="B150" s="143">
        <f>D150*0.85</f>
        <v>11016</v>
      </c>
      <c r="C150" s="143">
        <f>D150*1.26</f>
        <v>16329.6</v>
      </c>
      <c r="D150" s="143">
        <v>12960</v>
      </c>
      <c r="E150" s="78" t="s">
        <v>36</v>
      </c>
      <c r="F150" s="81" t="s">
        <v>279</v>
      </c>
      <c r="H150" s="66"/>
    </row>
    <row r="151" spans="1:8" ht="15">
      <c r="A151" s="78" t="s">
        <v>394</v>
      </c>
      <c r="B151" s="143">
        <f>D151*0.85</f>
        <v>9631.35</v>
      </c>
      <c r="C151" s="143">
        <f>D151*1.26</f>
        <v>14277.06</v>
      </c>
      <c r="D151" s="143">
        <v>11331</v>
      </c>
      <c r="E151" s="78" t="s">
        <v>36</v>
      </c>
      <c r="F151" s="81" t="s">
        <v>279</v>
      </c>
      <c r="H151" s="66"/>
    </row>
    <row r="152" spans="1:8" s="67" customFormat="1" ht="15">
      <c r="A152" s="144"/>
      <c r="B152" s="143"/>
      <c r="C152" s="143"/>
      <c r="D152" s="143"/>
      <c r="E152" s="78"/>
      <c r="F152" s="81"/>
      <c r="G152" s="207"/>
      <c r="H152" s="207"/>
    </row>
    <row r="153" spans="1:8" ht="15">
      <c r="A153" s="145" t="s">
        <v>395</v>
      </c>
      <c r="B153" s="146">
        <f>B150-B151</f>
        <v>1384.6499999999996</v>
      </c>
      <c r="C153" s="146">
        <f>C150-C151</f>
        <v>2052.540000000001</v>
      </c>
      <c r="D153" s="146">
        <f>D150-D151</f>
        <v>1629</v>
      </c>
      <c r="E153" s="145" t="s">
        <v>36</v>
      </c>
      <c r="F153" s="147" t="s">
        <v>281</v>
      </c>
      <c r="H153" s="66"/>
    </row>
    <row r="154" spans="1:8" ht="15">
      <c r="A154" s="145" t="s">
        <v>396</v>
      </c>
      <c r="B154" s="146">
        <f>B153/1.066</f>
        <v>1298.9212007504686</v>
      </c>
      <c r="C154" s="146">
        <f>C153/1.066</f>
        <v>1925.4596622889312</v>
      </c>
      <c r="D154" s="146">
        <f>D153/1.066</f>
        <v>1528.1425891181989</v>
      </c>
      <c r="E154" s="145" t="s">
        <v>36</v>
      </c>
      <c r="F154" s="147" t="s">
        <v>283</v>
      </c>
      <c r="H154" s="66"/>
    </row>
    <row r="155" spans="1:8" ht="15">
      <c r="A155" s="145"/>
      <c r="B155" s="152"/>
      <c r="C155" s="152"/>
      <c r="D155" s="152"/>
      <c r="E155" s="145"/>
      <c r="F155" s="147"/>
      <c r="H155" s="66"/>
    </row>
    <row r="156" spans="1:8" ht="30">
      <c r="A156" s="148" t="s">
        <v>397</v>
      </c>
      <c r="B156" s="149"/>
      <c r="C156" s="149"/>
      <c r="D156" s="149"/>
      <c r="E156" s="150"/>
      <c r="F156" s="148"/>
      <c r="H156" s="66"/>
    </row>
    <row r="157" spans="1:8" ht="15">
      <c r="A157" s="148"/>
      <c r="B157" s="149"/>
      <c r="C157" s="149"/>
      <c r="D157" s="149"/>
      <c r="E157" s="150"/>
      <c r="F157" s="148"/>
      <c r="H157" s="66"/>
    </row>
    <row r="158" spans="1:9" s="82" customFormat="1" ht="15">
      <c r="A158" s="151"/>
      <c r="B158" s="149"/>
      <c r="C158" s="149"/>
      <c r="D158" s="149"/>
      <c r="E158" s="150"/>
      <c r="F158" s="148"/>
      <c r="G158" s="66"/>
      <c r="H158" s="66"/>
      <c r="I158"/>
    </row>
    <row r="159" spans="1:8" s="82" customFormat="1" ht="15">
      <c r="A159" s="40" t="s">
        <v>705</v>
      </c>
      <c r="B159" s="140"/>
      <c r="C159" s="140"/>
      <c r="D159" s="140"/>
      <c r="E159" s="141"/>
      <c r="F159" s="142"/>
      <c r="G159" s="206"/>
      <c r="H159" s="206"/>
    </row>
    <row r="160" spans="1:8" s="82" customFormat="1" ht="15">
      <c r="A160" s="141"/>
      <c r="B160" s="140" t="s">
        <v>23</v>
      </c>
      <c r="C160" s="140" t="s">
        <v>24</v>
      </c>
      <c r="D160" s="140" t="s">
        <v>54</v>
      </c>
      <c r="E160" s="141"/>
      <c r="F160" s="142"/>
      <c r="G160" s="206"/>
      <c r="H160" s="206"/>
    </row>
    <row r="161" spans="1:8" s="82" customFormat="1" ht="15">
      <c r="A161" s="78" t="s">
        <v>440</v>
      </c>
      <c r="B161" s="143">
        <f>D161*0.85</f>
        <v>12433.8</v>
      </c>
      <c r="C161" s="143">
        <f>D161*1.26</f>
        <v>18431.28</v>
      </c>
      <c r="D161" s="143">
        <v>14628</v>
      </c>
      <c r="E161" s="78" t="s">
        <v>36</v>
      </c>
      <c r="F161" s="81" t="s">
        <v>279</v>
      </c>
      <c r="G161" s="206"/>
      <c r="H161" s="206"/>
    </row>
    <row r="162" spans="1:8" s="82" customFormat="1" ht="15">
      <c r="A162" s="78" t="s">
        <v>394</v>
      </c>
      <c r="B162" s="143">
        <f>D162*0.85</f>
        <v>9631.35</v>
      </c>
      <c r="C162" s="143">
        <f>D162*1.26</f>
        <v>14277.06</v>
      </c>
      <c r="D162" s="143">
        <v>11331</v>
      </c>
      <c r="E162" s="78" t="s">
        <v>36</v>
      </c>
      <c r="F162" s="81" t="s">
        <v>279</v>
      </c>
      <c r="G162" s="206"/>
      <c r="H162" s="206"/>
    </row>
    <row r="163" spans="1:8" s="82" customFormat="1" ht="15">
      <c r="A163" s="144"/>
      <c r="B163" s="143"/>
      <c r="C163" s="143"/>
      <c r="D163" s="143"/>
      <c r="E163" s="78"/>
      <c r="F163" s="81"/>
      <c r="G163" s="206"/>
      <c r="H163" s="206"/>
    </row>
    <row r="164" spans="1:8" s="82" customFormat="1" ht="15">
      <c r="A164" s="145" t="s">
        <v>441</v>
      </c>
      <c r="B164" s="146">
        <f>B161-B162</f>
        <v>2802.449999999999</v>
      </c>
      <c r="C164" s="146">
        <f>C161-C162</f>
        <v>4154.219999999999</v>
      </c>
      <c r="D164" s="146">
        <f>D161-D162</f>
        <v>3297</v>
      </c>
      <c r="E164" s="145" t="s">
        <v>36</v>
      </c>
      <c r="F164" s="147" t="s">
        <v>281</v>
      </c>
      <c r="G164" s="206"/>
      <c r="H164" s="206"/>
    </row>
    <row r="165" spans="1:8" s="82" customFormat="1" ht="15">
      <c r="A165" s="145" t="s">
        <v>442</v>
      </c>
      <c r="B165" s="146">
        <f>B164/1.066</f>
        <v>2628.9399624765465</v>
      </c>
      <c r="C165" s="146">
        <f>C164/1.066</f>
        <v>3897.0168855534703</v>
      </c>
      <c r="D165" s="146">
        <f>D164/1.066</f>
        <v>3092.8705440900562</v>
      </c>
      <c r="E165" s="145" t="s">
        <v>36</v>
      </c>
      <c r="F165" s="147" t="s">
        <v>283</v>
      </c>
      <c r="G165" s="206"/>
      <c r="H165" s="206"/>
    </row>
    <row r="166" spans="1:8" s="82" customFormat="1" ht="15">
      <c r="A166" s="145"/>
      <c r="B166" s="152"/>
      <c r="C166" s="152"/>
      <c r="D166" s="152"/>
      <c r="E166" s="145"/>
      <c r="F166" s="147"/>
      <c r="G166" s="206"/>
      <c r="H166" s="206"/>
    </row>
    <row r="167" spans="1:9" s="67" customFormat="1" ht="30">
      <c r="A167" s="148" t="s">
        <v>397</v>
      </c>
      <c r="B167" s="149"/>
      <c r="C167" s="149"/>
      <c r="D167" s="149"/>
      <c r="E167" s="150"/>
      <c r="F167" s="148"/>
      <c r="G167" s="206"/>
      <c r="H167" s="206"/>
      <c r="I167" s="82"/>
    </row>
    <row r="168" spans="1:9" ht="15">
      <c r="A168" s="151"/>
      <c r="B168" s="149"/>
      <c r="C168" s="149"/>
      <c r="D168" s="149"/>
      <c r="E168" s="150"/>
      <c r="F168" s="148"/>
      <c r="G168" s="207"/>
      <c r="H168" s="207"/>
      <c r="I168" s="67"/>
    </row>
    <row r="169" spans="1:9" s="67" customFormat="1" ht="15">
      <c r="A169" s="309"/>
      <c r="B169" s="310"/>
      <c r="C169" s="310"/>
      <c r="D169" s="310"/>
      <c r="E169" s="309"/>
      <c r="F169" s="311"/>
      <c r="G169" s="66"/>
      <c r="H169" s="66"/>
      <c r="I169"/>
    </row>
    <row r="170" spans="1:8" s="67" customFormat="1" ht="15">
      <c r="A170" s="40" t="s">
        <v>747</v>
      </c>
      <c r="B170" s="140"/>
      <c r="C170" s="140"/>
      <c r="D170" s="140"/>
      <c r="E170" s="141"/>
      <c r="F170" s="142"/>
      <c r="G170" s="207"/>
      <c r="H170" s="207"/>
    </row>
    <row r="171" spans="1:8" s="67" customFormat="1" ht="15">
      <c r="A171" s="141"/>
      <c r="B171" s="140" t="s">
        <v>23</v>
      </c>
      <c r="C171" s="140" t="s">
        <v>24</v>
      </c>
      <c r="D171" s="140" t="s">
        <v>54</v>
      </c>
      <c r="E171" s="141"/>
      <c r="F171" s="142"/>
      <c r="G171" s="207"/>
      <c r="H171" s="207"/>
    </row>
    <row r="172" spans="1:8" s="67" customFormat="1" ht="15">
      <c r="A172" s="78" t="s">
        <v>443</v>
      </c>
      <c r="B172" s="143">
        <f>D172*0.85</f>
        <v>11016</v>
      </c>
      <c r="C172" s="143">
        <f>D172*1.26</f>
        <v>16329.6</v>
      </c>
      <c r="D172" s="143">
        <v>12960</v>
      </c>
      <c r="E172" s="78" t="s">
        <v>36</v>
      </c>
      <c r="F172" s="81" t="s">
        <v>279</v>
      </c>
      <c r="G172" s="207"/>
      <c r="H172" s="207"/>
    </row>
    <row r="173" spans="1:8" s="67" customFormat="1" ht="15">
      <c r="A173" s="78" t="s">
        <v>444</v>
      </c>
      <c r="B173" s="143">
        <f>D173*0.85</f>
        <v>10411.65</v>
      </c>
      <c r="C173" s="143">
        <f>D173*1.26</f>
        <v>15433.74</v>
      </c>
      <c r="D173" s="143">
        <v>12249</v>
      </c>
      <c r="E173" s="78" t="s">
        <v>36</v>
      </c>
      <c r="F173" s="81" t="s">
        <v>279</v>
      </c>
      <c r="G173" s="207"/>
      <c r="H173" s="207"/>
    </row>
    <row r="174" spans="1:8" s="67" customFormat="1" ht="15">
      <c r="A174" s="144"/>
      <c r="B174" s="143"/>
      <c r="C174" s="143"/>
      <c r="D174" s="143"/>
      <c r="E174" s="78"/>
      <c r="F174" s="81"/>
      <c r="G174" s="207"/>
      <c r="H174" s="207"/>
    </row>
    <row r="175" spans="1:8" s="67" customFormat="1" ht="15">
      <c r="A175" s="145" t="s">
        <v>489</v>
      </c>
      <c r="B175" s="146">
        <f>B172-B173</f>
        <v>604.3500000000004</v>
      </c>
      <c r="C175" s="146">
        <f>C172-C173</f>
        <v>895.8600000000006</v>
      </c>
      <c r="D175" s="146">
        <f>D172-D173</f>
        <v>711</v>
      </c>
      <c r="E175" s="145" t="s">
        <v>36</v>
      </c>
      <c r="F175" s="147" t="s">
        <v>281</v>
      </c>
      <c r="G175" s="207"/>
      <c r="H175" s="207"/>
    </row>
    <row r="176" spans="1:8" s="67" customFormat="1" ht="15">
      <c r="A176" s="145" t="s">
        <v>490</v>
      </c>
      <c r="B176" s="146">
        <f>B175/1.066</f>
        <v>566.9324577861166</v>
      </c>
      <c r="C176" s="146">
        <f>C175/1.066</f>
        <v>840.3939962476553</v>
      </c>
      <c r="D176" s="146">
        <f>D175/1.066</f>
        <v>666.9793621013133</v>
      </c>
      <c r="E176" s="145" t="s">
        <v>36</v>
      </c>
      <c r="F176" s="147" t="s">
        <v>283</v>
      </c>
      <c r="G176" s="207"/>
      <c r="H176" s="207"/>
    </row>
    <row r="177" spans="1:8" s="67" customFormat="1" ht="15">
      <c r="A177" s="145"/>
      <c r="B177" s="152"/>
      <c r="C177" s="152"/>
      <c r="D177" s="152"/>
      <c r="E177" s="145"/>
      <c r="F177" s="147"/>
      <c r="G177" s="207"/>
      <c r="H177" s="207"/>
    </row>
    <row r="178" spans="1:9" ht="30">
      <c r="A178" s="148" t="s">
        <v>397</v>
      </c>
      <c r="B178" s="149"/>
      <c r="C178" s="149"/>
      <c r="D178" s="149"/>
      <c r="E178" s="150"/>
      <c r="F178" s="148"/>
      <c r="G178" s="207"/>
      <c r="H178" s="207"/>
      <c r="I178" s="67"/>
    </row>
    <row r="179" spans="1:8" ht="15">
      <c r="A179" s="150"/>
      <c r="B179" s="149"/>
      <c r="C179" s="149"/>
      <c r="D179" s="149"/>
      <c r="E179" s="150"/>
      <c r="F179" s="148"/>
      <c r="H179" s="66"/>
    </row>
    <row r="180" spans="1:9" s="67" customFormat="1" ht="15">
      <c r="A180" s="150"/>
      <c r="B180" s="149"/>
      <c r="C180" s="149"/>
      <c r="D180" s="149"/>
      <c r="E180" s="150"/>
      <c r="F180" s="148"/>
      <c r="G180" s="66"/>
      <c r="H180" s="66"/>
      <c r="I180"/>
    </row>
    <row r="181" spans="1:8" s="67" customFormat="1" ht="45">
      <c r="A181" s="40" t="s">
        <v>748</v>
      </c>
      <c r="B181" s="140"/>
      <c r="C181" s="140"/>
      <c r="D181" s="140"/>
      <c r="E181" s="141"/>
      <c r="F181" s="142" t="s">
        <v>730</v>
      </c>
      <c r="G181" s="207"/>
      <c r="H181" s="207"/>
    </row>
    <row r="182" spans="1:8" s="67" customFormat="1" ht="15">
      <c r="A182" s="40"/>
      <c r="B182" s="140"/>
      <c r="C182" s="140"/>
      <c r="D182" s="140"/>
      <c r="E182" s="141"/>
      <c r="F182" s="142"/>
      <c r="G182" s="207"/>
      <c r="H182" s="207"/>
    </row>
    <row r="183" spans="1:8" s="67" customFormat="1" ht="15">
      <c r="A183" s="141"/>
      <c r="B183" s="140" t="s">
        <v>23</v>
      </c>
      <c r="C183" s="140" t="s">
        <v>24</v>
      </c>
      <c r="D183" s="140" t="s">
        <v>54</v>
      </c>
      <c r="E183" s="141"/>
      <c r="F183" s="142"/>
      <c r="G183" s="207"/>
      <c r="H183" s="207"/>
    </row>
    <row r="184" spans="1:8" s="67" customFormat="1" ht="30">
      <c r="A184" s="78" t="s">
        <v>592</v>
      </c>
      <c r="B184" s="143">
        <f>D184*0.85</f>
        <v>11251.449999999999</v>
      </c>
      <c r="C184" s="143">
        <f>D184*1.26</f>
        <v>16678.62</v>
      </c>
      <c r="D184" s="143">
        <v>13237</v>
      </c>
      <c r="E184" s="78" t="s">
        <v>36</v>
      </c>
      <c r="F184" s="81" t="s">
        <v>712</v>
      </c>
      <c r="G184" s="207"/>
      <c r="H184" s="207"/>
    </row>
    <row r="185" spans="1:8" s="67" customFormat="1" ht="30">
      <c r="A185" s="78" t="s">
        <v>593</v>
      </c>
      <c r="B185" s="143">
        <f>D185*0.85</f>
        <v>10873.199999999999</v>
      </c>
      <c r="C185" s="143">
        <f>D185*1.26</f>
        <v>16117.92</v>
      </c>
      <c r="D185" s="143">
        <v>12792</v>
      </c>
      <c r="E185" s="78" t="s">
        <v>36</v>
      </c>
      <c r="F185" s="81" t="s">
        <v>713</v>
      </c>
      <c r="G185" s="207"/>
      <c r="H185" s="207"/>
    </row>
    <row r="186" spans="1:8" s="67" customFormat="1" ht="15">
      <c r="A186" s="144"/>
      <c r="B186" s="143"/>
      <c r="C186" s="143"/>
      <c r="D186" s="143"/>
      <c r="E186" s="78"/>
      <c r="F186" s="81"/>
      <c r="G186" s="207"/>
      <c r="H186" s="207"/>
    </row>
    <row r="187" spans="1:8" s="67" customFormat="1" ht="15">
      <c r="A187" s="145" t="s">
        <v>594</v>
      </c>
      <c r="B187" s="146">
        <f>B184-B185</f>
        <v>378.25</v>
      </c>
      <c r="C187" s="146">
        <f>C184-C185</f>
        <v>560.6999999999989</v>
      </c>
      <c r="D187" s="146">
        <f>D184-D185</f>
        <v>445</v>
      </c>
      <c r="E187" s="145" t="s">
        <v>36</v>
      </c>
      <c r="F187" s="147" t="s">
        <v>281</v>
      </c>
      <c r="G187" s="207"/>
      <c r="H187" s="207"/>
    </row>
    <row r="188" spans="1:8" s="67" customFormat="1" ht="15">
      <c r="A188" s="145" t="s">
        <v>595</v>
      </c>
      <c r="B188" s="146">
        <f>B187/1.066</f>
        <v>354.8311444652908</v>
      </c>
      <c r="C188" s="146">
        <f>C187/1.066</f>
        <v>525.9849906191359</v>
      </c>
      <c r="D188" s="146">
        <f>D187/1.066</f>
        <v>417.4484052532833</v>
      </c>
      <c r="E188" s="145" t="s">
        <v>36</v>
      </c>
      <c r="F188" s="147" t="s">
        <v>283</v>
      </c>
      <c r="G188" s="207"/>
      <c r="H188" s="207"/>
    </row>
    <row r="189" spans="1:8" s="67" customFormat="1" ht="15">
      <c r="A189" s="145"/>
      <c r="B189" s="152"/>
      <c r="C189" s="152"/>
      <c r="D189" s="152"/>
      <c r="E189" s="145"/>
      <c r="F189" s="147"/>
      <c r="G189" s="207"/>
      <c r="H189" s="207"/>
    </row>
    <row r="190" spans="1:9" ht="15">
      <c r="A190" s="148" t="s">
        <v>596</v>
      </c>
      <c r="B190" s="149"/>
      <c r="C190" s="149"/>
      <c r="D190" s="149"/>
      <c r="E190" s="150"/>
      <c r="F190" s="148"/>
      <c r="G190" s="207"/>
      <c r="H190" s="207"/>
      <c r="I190" s="67"/>
    </row>
    <row r="191" spans="1:8" ht="15">
      <c r="A191" s="150"/>
      <c r="B191" s="149"/>
      <c r="C191" s="149"/>
      <c r="D191" s="149"/>
      <c r="E191" s="150"/>
      <c r="F191" s="148"/>
      <c r="H191" s="66"/>
    </row>
    <row r="192" spans="1:8" ht="15">
      <c r="A192" s="150"/>
      <c r="B192" s="149"/>
      <c r="C192" s="149"/>
      <c r="D192" s="149"/>
      <c r="E192" s="150"/>
      <c r="F192" s="148"/>
      <c r="H192" s="66"/>
    </row>
    <row r="193" spans="1:8" s="205" customFormat="1" ht="15">
      <c r="A193" s="307" t="s">
        <v>749</v>
      </c>
      <c r="B193" s="140"/>
      <c r="C193" s="140"/>
      <c r="D193" s="140"/>
      <c r="E193" s="141"/>
      <c r="F193" s="142"/>
      <c r="G193" s="208"/>
      <c r="H193" s="208"/>
    </row>
    <row r="194" spans="1:8" s="205" customFormat="1" ht="150">
      <c r="A194" s="142" t="s">
        <v>692</v>
      </c>
      <c r="B194" s="140"/>
      <c r="C194" s="140"/>
      <c r="D194" s="140"/>
      <c r="E194" s="141"/>
      <c r="F194" s="142"/>
      <c r="G194" s="208"/>
      <c r="H194" s="208"/>
    </row>
    <row r="195" spans="1:8" s="205" customFormat="1" ht="15">
      <c r="A195" s="141"/>
      <c r="B195" s="140" t="s">
        <v>23</v>
      </c>
      <c r="C195" s="140" t="s">
        <v>24</v>
      </c>
      <c r="D195" s="140" t="s">
        <v>54</v>
      </c>
      <c r="E195" s="141"/>
      <c r="F195" s="142"/>
      <c r="G195" s="208"/>
      <c r="H195" s="208"/>
    </row>
    <row r="196" spans="1:8" s="205" customFormat="1" ht="15">
      <c r="A196" s="78" t="str">
        <f>A7</f>
        <v>Mean winter heating requirement per home with solar but no internal gains</v>
      </c>
      <c r="B196" s="143">
        <f>B7</f>
        <v>11724.05</v>
      </c>
      <c r="C196" s="143">
        <f>C7</f>
        <v>17379.18</v>
      </c>
      <c r="D196" s="143">
        <f>D7</f>
        <v>13793</v>
      </c>
      <c r="E196" s="78" t="s">
        <v>39</v>
      </c>
      <c r="F196" s="81"/>
      <c r="G196" s="208"/>
      <c r="H196" s="208"/>
    </row>
    <row r="197" spans="1:8" s="205" customFormat="1" ht="15">
      <c r="A197" s="78" t="s">
        <v>526</v>
      </c>
      <c r="B197" s="79">
        <f aca="true" t="shared" si="2" ref="B197:D198">B45</f>
        <v>0.15</v>
      </c>
      <c r="C197" s="79">
        <f t="shared" si="2"/>
        <v>0.9</v>
      </c>
      <c r="D197" s="79">
        <f t="shared" si="2"/>
        <v>0.3</v>
      </c>
      <c r="E197" s="78"/>
      <c r="F197" s="81"/>
      <c r="G197" s="208"/>
      <c r="H197" s="208"/>
    </row>
    <row r="198" spans="1:8" s="205" customFormat="1" ht="15">
      <c r="A198" s="78" t="str">
        <f>A46</f>
        <v>Proportion of dwelling envelope exposed by this room</v>
      </c>
      <c r="B198" s="80">
        <f t="shared" si="2"/>
        <v>0.1</v>
      </c>
      <c r="C198" s="80">
        <f t="shared" si="2"/>
        <v>0.2</v>
      </c>
      <c r="D198" s="80">
        <f t="shared" si="2"/>
        <v>0.16666666666666666</v>
      </c>
      <c r="E198" s="78"/>
      <c r="F198" s="81"/>
      <c r="G198" s="208"/>
      <c r="H198" s="208"/>
    </row>
    <row r="199" spans="1:8" s="205" customFormat="1" ht="15">
      <c r="A199" s="145" t="s">
        <v>503</v>
      </c>
      <c r="B199" s="312">
        <f>B197/(1+B197)</f>
        <v>0.13043478260869565</v>
      </c>
      <c r="C199" s="312">
        <f>C197/(1+C197)</f>
        <v>0.4736842105263158</v>
      </c>
      <c r="D199" s="312">
        <f>D197/(1+D197)</f>
        <v>0.23076923076923075</v>
      </c>
      <c r="E199" s="145"/>
      <c r="F199" s="147"/>
      <c r="G199" s="208"/>
      <c r="H199" s="208"/>
    </row>
    <row r="200" spans="1:8" s="205" customFormat="1" ht="15">
      <c r="A200" s="145" t="s">
        <v>506</v>
      </c>
      <c r="B200" s="313">
        <f>B199*B198</f>
        <v>0.013043478260869566</v>
      </c>
      <c r="C200" s="313">
        <f>C199*C198</f>
        <v>0.09473684210526317</v>
      </c>
      <c r="D200" s="313">
        <f>D199*D198</f>
        <v>0.03846153846153846</v>
      </c>
      <c r="E200" s="145"/>
      <c r="F200" s="147"/>
      <c r="G200" s="208"/>
      <c r="H200" s="208"/>
    </row>
    <row r="201" spans="1:8" s="205" customFormat="1" ht="15">
      <c r="A201" s="145" t="s">
        <v>507</v>
      </c>
      <c r="B201" s="152">
        <f>B200*B196</f>
        <v>152.92239130434783</v>
      </c>
      <c r="C201" s="152">
        <f>C200*C196</f>
        <v>1646.4486315789477</v>
      </c>
      <c r="D201" s="152">
        <f>D200*D196</f>
        <v>530.4999999999999</v>
      </c>
      <c r="E201" s="145" t="s">
        <v>39</v>
      </c>
      <c r="F201" s="147"/>
      <c r="G201" s="208"/>
      <c r="H201" s="208"/>
    </row>
    <row r="202" spans="1:8" ht="15">
      <c r="A202" s="150"/>
      <c r="B202" s="149"/>
      <c r="C202" s="149"/>
      <c r="D202" s="149"/>
      <c r="E202" s="150"/>
      <c r="F202" s="148"/>
      <c r="H202" s="66"/>
    </row>
    <row r="203" spans="1:8" ht="15">
      <c r="A203" s="150"/>
      <c r="B203" s="149"/>
      <c r="C203" s="149"/>
      <c r="D203" s="149"/>
      <c r="E203" s="150"/>
      <c r="F203" s="148"/>
      <c r="H203" s="66"/>
    </row>
    <row r="204" spans="1:8" ht="15">
      <c r="A204" s="40" t="s">
        <v>637</v>
      </c>
      <c r="B204" s="140"/>
      <c r="C204" s="140"/>
      <c r="D204" s="140"/>
      <c r="E204" s="141"/>
      <c r="F204" s="142"/>
      <c r="H204" s="66"/>
    </row>
    <row r="205" spans="1:9" s="67" customFormat="1" ht="15">
      <c r="A205" s="141"/>
      <c r="B205" s="140" t="s">
        <v>23</v>
      </c>
      <c r="C205" s="140" t="s">
        <v>24</v>
      </c>
      <c r="D205" s="140" t="s">
        <v>54</v>
      </c>
      <c r="E205" s="141"/>
      <c r="F205" s="142"/>
      <c r="G205" s="66"/>
      <c r="H205" s="66"/>
      <c r="I205"/>
    </row>
    <row r="206" spans="1:8" s="67" customFormat="1" ht="15">
      <c r="A206" s="78" t="s">
        <v>635</v>
      </c>
      <c r="B206" s="314">
        <v>0.5</v>
      </c>
      <c r="C206" s="143">
        <v>2</v>
      </c>
      <c r="D206" s="143">
        <v>1</v>
      </c>
      <c r="E206" s="78" t="s">
        <v>19</v>
      </c>
      <c r="F206" s="81" t="s">
        <v>636</v>
      </c>
      <c r="G206" s="207"/>
      <c r="H206" s="207"/>
    </row>
    <row r="207" spans="1:8" s="67" customFormat="1" ht="15">
      <c r="A207" s="144"/>
      <c r="B207" s="143"/>
      <c r="C207" s="143"/>
      <c r="D207" s="143"/>
      <c r="E207" s="78"/>
      <c r="F207" s="81"/>
      <c r="G207" s="207"/>
      <c r="H207" s="207"/>
    </row>
    <row r="208" spans="1:8" s="67" customFormat="1" ht="15">
      <c r="A208" s="145" t="s">
        <v>638</v>
      </c>
      <c r="B208" s="146">
        <f>D153/2</f>
        <v>814.5</v>
      </c>
      <c r="C208" s="146">
        <f>D164</f>
        <v>3297</v>
      </c>
      <c r="D208" s="146">
        <f>D153</f>
        <v>1629</v>
      </c>
      <c r="E208" s="145" t="s">
        <v>36</v>
      </c>
      <c r="F208" s="147" t="s">
        <v>281</v>
      </c>
      <c r="G208" s="207"/>
      <c r="H208" s="207"/>
    </row>
    <row r="209" spans="1:8" s="67" customFormat="1" ht="15">
      <c r="A209" s="145" t="s">
        <v>595</v>
      </c>
      <c r="B209" s="146">
        <f>B208/1.066</f>
        <v>764.0712945590994</v>
      </c>
      <c r="C209" s="146">
        <f>C208/1.066</f>
        <v>3092.8705440900562</v>
      </c>
      <c r="D209" s="146">
        <f>D208/1.066</f>
        <v>1528.1425891181989</v>
      </c>
      <c r="E209" s="145" t="s">
        <v>36</v>
      </c>
      <c r="F209" s="147" t="s">
        <v>283</v>
      </c>
      <c r="G209" s="207"/>
      <c r="H209" s="207"/>
    </row>
    <row r="210" spans="1:8" s="67" customFormat="1" ht="15">
      <c r="A210" s="83"/>
      <c r="B210" s="84"/>
      <c r="C210" s="84"/>
      <c r="D210" s="84"/>
      <c r="E210" s="83"/>
      <c r="F210" s="183"/>
      <c r="G210" s="207"/>
      <c r="H210" s="207"/>
    </row>
    <row r="211" spans="1:8" s="67" customFormat="1" ht="15">
      <c r="A211" s="8"/>
      <c r="B211" s="14"/>
      <c r="C211" s="14"/>
      <c r="D211" s="14"/>
      <c r="E211" s="8"/>
      <c r="F211" s="13"/>
      <c r="G211" s="207"/>
      <c r="H211" s="207"/>
    </row>
    <row r="212" spans="1:9" ht="15">
      <c r="A212" s="8"/>
      <c r="B212" s="14"/>
      <c r="C212" s="14"/>
      <c r="D212" s="14"/>
      <c r="E212" s="8"/>
      <c r="F212" s="13"/>
      <c r="G212" s="207"/>
      <c r="H212" s="207"/>
      <c r="I212" s="67"/>
    </row>
    <row r="213" spans="1:8" ht="21">
      <c r="A213" s="192" t="s">
        <v>460</v>
      </c>
      <c r="B213" s="199"/>
      <c r="C213" s="199"/>
      <c r="D213" s="199"/>
      <c r="E213" s="193"/>
      <c r="F213" s="194"/>
      <c r="H213" s="66"/>
    </row>
    <row r="214" spans="1:8" ht="15">
      <c r="A214" s="193"/>
      <c r="B214" s="199"/>
      <c r="C214" s="199"/>
      <c r="D214" s="199"/>
      <c r="E214" s="193"/>
      <c r="F214" s="194"/>
      <c r="H214" s="66"/>
    </row>
    <row r="215" spans="1:8" s="205" customFormat="1" ht="15">
      <c r="A215" s="472" t="s">
        <v>567</v>
      </c>
      <c r="B215" s="472"/>
      <c r="C215" s="472"/>
      <c r="D215" s="472"/>
      <c r="E215" s="472"/>
      <c r="F215" s="472"/>
      <c r="G215" s="208"/>
      <c r="H215" s="208"/>
    </row>
    <row r="216" spans="1:8" s="205" customFormat="1" ht="15">
      <c r="A216" s="193"/>
      <c r="B216" s="199"/>
      <c r="C216" s="199"/>
      <c r="D216" s="199"/>
      <c r="E216" s="193"/>
      <c r="F216" s="194"/>
      <c r="G216" s="208"/>
      <c r="H216" s="208"/>
    </row>
    <row r="217" spans="1:8" s="205" customFormat="1" ht="30" customHeight="1">
      <c r="A217" s="472" t="s">
        <v>643</v>
      </c>
      <c r="B217" s="472"/>
      <c r="C217" s="472"/>
      <c r="D217" s="472"/>
      <c r="E217" s="472"/>
      <c r="F217" s="472"/>
      <c r="G217" s="208"/>
      <c r="H217" s="208"/>
    </row>
    <row r="218" spans="1:8" s="205" customFormat="1" ht="15">
      <c r="A218" s="195"/>
      <c r="B218" s="199"/>
      <c r="C218" s="199"/>
      <c r="D218" s="199"/>
      <c r="E218" s="195"/>
      <c r="F218" s="194"/>
      <c r="G218" s="208"/>
      <c r="H218" s="208"/>
    </row>
    <row r="219" spans="1:8" s="205" customFormat="1" ht="15">
      <c r="A219" s="472" t="s">
        <v>642</v>
      </c>
      <c r="B219" s="472"/>
      <c r="C219" s="472"/>
      <c r="D219" s="472"/>
      <c r="E219" s="472"/>
      <c r="F219" s="472"/>
      <c r="G219" s="208"/>
      <c r="H219" s="208"/>
    </row>
    <row r="220" spans="1:8" s="205" customFormat="1" ht="15">
      <c r="A220" s="195"/>
      <c r="B220" s="199"/>
      <c r="C220" s="199"/>
      <c r="D220" s="199"/>
      <c r="E220" s="195"/>
      <c r="F220" s="194"/>
      <c r="G220" s="208"/>
      <c r="H220" s="208"/>
    </row>
    <row r="221" spans="1:8" s="205" customFormat="1" ht="15">
      <c r="A221" s="472" t="s">
        <v>644</v>
      </c>
      <c r="B221" s="472"/>
      <c r="C221" s="472"/>
      <c r="D221" s="472"/>
      <c r="E221" s="472"/>
      <c r="F221" s="472"/>
      <c r="G221" s="208"/>
      <c r="H221" s="208"/>
    </row>
    <row r="222" spans="1:8" ht="15">
      <c r="A222" s="193"/>
      <c r="B222" s="199"/>
      <c r="C222" s="199"/>
      <c r="D222" s="199"/>
      <c r="E222" s="193"/>
      <c r="F222" s="194"/>
      <c r="H222" s="66"/>
    </row>
    <row r="223" spans="1:8" ht="30" customHeight="1">
      <c r="A223" s="472" t="s">
        <v>589</v>
      </c>
      <c r="B223" s="472"/>
      <c r="C223" s="472"/>
      <c r="D223" s="472"/>
      <c r="E223" s="472"/>
      <c r="F223" s="472"/>
      <c r="H223" s="66"/>
    </row>
    <row r="224" spans="1:8" ht="15">
      <c r="A224" s="195"/>
      <c r="B224" s="199"/>
      <c r="C224" s="199"/>
      <c r="D224" s="199"/>
      <c r="E224" s="195"/>
      <c r="F224" s="194"/>
      <c r="H224" s="66"/>
    </row>
    <row r="225" spans="1:8" ht="15">
      <c r="A225" s="8"/>
      <c r="B225" s="14"/>
      <c r="C225" s="14"/>
      <c r="D225" s="14"/>
      <c r="E225" s="8"/>
      <c r="F225" s="13"/>
      <c r="H225" s="66"/>
    </row>
    <row r="226" spans="1:8" ht="30" customHeight="1">
      <c r="A226" s="8"/>
      <c r="B226" s="14"/>
      <c r="C226" s="14"/>
      <c r="D226" s="14"/>
      <c r="E226" s="8"/>
      <c r="F226" s="13"/>
      <c r="H226" s="66"/>
    </row>
    <row r="227" ht="15">
      <c r="H227" s="66"/>
    </row>
    <row r="228" ht="30" customHeight="1"/>
    <row r="229" ht="15">
      <c r="A229" s="182"/>
    </row>
    <row r="230" ht="15" customHeight="1"/>
    <row r="232" ht="30" customHeight="1"/>
    <row r="234" ht="30" customHeight="1"/>
  </sheetData>
  <sheetProtection/>
  <mergeCells count="11">
    <mergeCell ref="A81:E81"/>
    <mergeCell ref="A217:F217"/>
    <mergeCell ref="A219:F219"/>
    <mergeCell ref="A223:F223"/>
    <mergeCell ref="A32:E36"/>
    <mergeCell ref="A37:E37"/>
    <mergeCell ref="A63:E63"/>
    <mergeCell ref="A215:F215"/>
    <mergeCell ref="A221:F221"/>
    <mergeCell ref="A41:E41"/>
    <mergeCell ref="A76:E8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94"/>
  <sheetViews>
    <sheetView zoomScalePageLayoutView="0" workbookViewId="0" topLeftCell="A1">
      <selection activeCell="A71" sqref="A71"/>
    </sheetView>
  </sheetViews>
  <sheetFormatPr defaultColWidth="10.8515625" defaultRowHeight="15"/>
  <cols>
    <col min="1" max="1" width="35.00390625" style="4" customWidth="1"/>
    <col min="2" max="4" width="10.8515625" style="1" customWidth="1"/>
    <col min="5" max="5" width="10.8515625" style="4" customWidth="1"/>
    <col min="6" max="6" width="47.7109375" style="2" customWidth="1"/>
    <col min="7" max="16384" width="10.8515625" style="4" customWidth="1"/>
  </cols>
  <sheetData>
    <row r="1" spans="1:11" ht="23.25">
      <c r="A1" s="33" t="s">
        <v>200</v>
      </c>
      <c r="G1" s="8"/>
      <c r="H1" s="8"/>
      <c r="I1" s="8"/>
      <c r="J1" s="8"/>
      <c r="K1" s="8"/>
    </row>
    <row r="2" spans="1:11" ht="21">
      <c r="A2" s="17" t="s">
        <v>66</v>
      </c>
      <c r="B2" s="14"/>
      <c r="C2" s="14"/>
      <c r="D2" s="14"/>
      <c r="E2" s="8"/>
      <c r="F2" s="13"/>
      <c r="G2" s="8"/>
      <c r="H2" s="8"/>
      <c r="I2" s="8"/>
      <c r="J2" s="8"/>
      <c r="K2" s="8"/>
    </row>
    <row r="3" spans="1:11" s="3" customFormat="1" ht="21">
      <c r="A3" s="17"/>
      <c r="B3" s="18"/>
      <c r="C3" s="18"/>
      <c r="D3" s="18"/>
      <c r="E3" s="17"/>
      <c r="F3" s="19"/>
      <c r="G3" s="17"/>
      <c r="H3" s="17"/>
      <c r="I3" s="17"/>
      <c r="J3" s="17"/>
      <c r="K3" s="17"/>
    </row>
    <row r="4" spans="1:11" s="217" customFormat="1" ht="15" customHeight="1">
      <c r="A4" s="43"/>
      <c r="B4" s="54" t="s">
        <v>1</v>
      </c>
      <c r="C4" s="54" t="s">
        <v>2</v>
      </c>
      <c r="D4" s="54" t="s">
        <v>69</v>
      </c>
      <c r="E4" s="43"/>
      <c r="F4" s="216"/>
      <c r="G4" s="16"/>
      <c r="H4" s="16"/>
      <c r="I4" s="16"/>
      <c r="J4" s="16"/>
      <c r="K4" s="16"/>
    </row>
    <row r="5" spans="1:9" ht="15">
      <c r="A5" s="22" t="s">
        <v>28</v>
      </c>
      <c r="B5" s="28">
        <v>0.55</v>
      </c>
      <c r="C5" s="28">
        <v>0.9</v>
      </c>
      <c r="D5" s="28">
        <v>0.7</v>
      </c>
      <c r="E5" s="22"/>
      <c r="F5" s="181" t="s">
        <v>621</v>
      </c>
      <c r="G5" s="8"/>
      <c r="H5" s="22"/>
      <c r="I5" s="12" t="s">
        <v>251</v>
      </c>
    </row>
    <row r="6" spans="1:11" ht="15">
      <c r="A6" s="22"/>
      <c r="B6" s="29"/>
      <c r="C6" s="29"/>
      <c r="D6" s="29"/>
      <c r="E6" s="22"/>
      <c r="F6" s="21"/>
      <c r="G6" s="8"/>
      <c r="H6" s="8"/>
      <c r="I6" s="8"/>
      <c r="J6" s="8"/>
      <c r="K6" s="8"/>
    </row>
    <row r="7" spans="1:11" ht="30">
      <c r="A7" s="22" t="s">
        <v>18</v>
      </c>
      <c r="B7" s="29">
        <v>13.4</v>
      </c>
      <c r="C7" s="29">
        <v>16.2</v>
      </c>
      <c r="D7" s="29">
        <v>15.2</v>
      </c>
      <c r="E7" s="22" t="s">
        <v>19</v>
      </c>
      <c r="F7" s="21" t="s">
        <v>455</v>
      </c>
      <c r="G7" s="8"/>
      <c r="H7" s="8"/>
      <c r="I7" s="8"/>
      <c r="J7" s="8"/>
      <c r="K7" s="8"/>
    </row>
    <row r="8" spans="1:11" ht="15">
      <c r="A8" s="22" t="s">
        <v>61</v>
      </c>
      <c r="B8" s="29">
        <v>42</v>
      </c>
      <c r="C8" s="29">
        <v>60</v>
      </c>
      <c r="D8" s="29">
        <v>52</v>
      </c>
      <c r="E8" s="22" t="s">
        <v>19</v>
      </c>
      <c r="F8" s="21" t="s">
        <v>456</v>
      </c>
      <c r="G8" s="8"/>
      <c r="H8" s="8"/>
      <c r="I8" s="8"/>
      <c r="J8" s="8"/>
      <c r="K8" s="8"/>
    </row>
    <row r="9" spans="1:11" ht="15">
      <c r="A9" s="22"/>
      <c r="B9" s="29"/>
      <c r="C9" s="29"/>
      <c r="D9" s="29"/>
      <c r="E9" s="22"/>
      <c r="F9" s="21"/>
      <c r="G9" s="8"/>
      <c r="H9" s="8"/>
      <c r="I9" s="8"/>
      <c r="J9" s="8"/>
      <c r="K9" s="8"/>
    </row>
    <row r="10" spans="1:11" s="37" customFormat="1" ht="75" customHeight="1">
      <c r="A10" s="78" t="s">
        <v>20</v>
      </c>
      <c r="B10" s="79">
        <v>38</v>
      </c>
      <c r="C10" s="79">
        <v>40</v>
      </c>
      <c r="D10" s="79">
        <v>39</v>
      </c>
      <c r="E10" s="78" t="s">
        <v>19</v>
      </c>
      <c r="F10" s="81" t="s">
        <v>607</v>
      </c>
      <c r="G10" s="11"/>
      <c r="H10" s="11"/>
      <c r="I10" s="11"/>
      <c r="J10" s="11"/>
      <c r="K10" s="11"/>
    </row>
    <row r="11" spans="1:11" s="37" customFormat="1" ht="60">
      <c r="A11" s="78" t="s">
        <v>21</v>
      </c>
      <c r="B11" s="79">
        <v>40</v>
      </c>
      <c r="C11" s="79">
        <v>43</v>
      </c>
      <c r="D11" s="79">
        <v>41</v>
      </c>
      <c r="E11" s="78" t="s">
        <v>19</v>
      </c>
      <c r="F11" s="81" t="s">
        <v>606</v>
      </c>
      <c r="G11" s="11"/>
      <c r="H11" s="11"/>
      <c r="I11" s="11"/>
      <c r="J11" s="11"/>
      <c r="K11" s="11"/>
    </row>
    <row r="12" spans="1:11" ht="15">
      <c r="A12" s="78"/>
      <c r="B12" s="79"/>
      <c r="C12" s="79"/>
      <c r="D12" s="79"/>
      <c r="E12" s="78"/>
      <c r="F12" s="81"/>
      <c r="G12" s="8"/>
      <c r="H12" s="8"/>
      <c r="I12" s="8"/>
      <c r="J12" s="8"/>
      <c r="K12" s="8"/>
    </row>
    <row r="13" spans="1:11" s="37" customFormat="1" ht="165">
      <c r="A13" s="78" t="s">
        <v>22</v>
      </c>
      <c r="B13" s="79">
        <v>4</v>
      </c>
      <c r="C13" s="79">
        <v>15</v>
      </c>
      <c r="D13" s="79">
        <v>8</v>
      </c>
      <c r="E13" s="81" t="s">
        <v>112</v>
      </c>
      <c r="F13" s="81" t="s">
        <v>646</v>
      </c>
      <c r="G13"/>
      <c r="H13" s="11"/>
      <c r="I13" s="11"/>
      <c r="J13" s="11"/>
      <c r="K13" s="11"/>
    </row>
    <row r="14" spans="1:11" ht="15">
      <c r="A14" s="78"/>
      <c r="B14" s="79"/>
      <c r="C14" s="79"/>
      <c r="D14" s="79"/>
      <c r="E14" s="78"/>
      <c r="F14" s="81"/>
      <c r="G14" s="8"/>
      <c r="H14" s="8"/>
      <c r="I14" s="8"/>
      <c r="J14" s="8"/>
      <c r="K14" s="8"/>
    </row>
    <row r="15" spans="1:11" ht="15">
      <c r="A15" s="150"/>
      <c r="B15" s="149"/>
      <c r="C15" s="149"/>
      <c r="D15" s="149"/>
      <c r="E15" s="150"/>
      <c r="F15" s="148"/>
      <c r="G15" s="8"/>
      <c r="H15" s="8"/>
      <c r="I15" s="8"/>
      <c r="J15" s="8"/>
      <c r="K15" s="8"/>
    </row>
    <row r="16" spans="1:11" ht="15">
      <c r="A16" s="141"/>
      <c r="B16" s="140" t="s">
        <v>23</v>
      </c>
      <c r="C16" s="140" t="s">
        <v>24</v>
      </c>
      <c r="D16" s="140" t="s">
        <v>54</v>
      </c>
      <c r="E16" s="141"/>
      <c r="F16" s="142"/>
      <c r="G16" s="8"/>
      <c r="H16" s="8"/>
      <c r="I16" s="8"/>
      <c r="J16" s="8"/>
      <c r="K16" s="8"/>
    </row>
    <row r="17" spans="1:11" s="37" customFormat="1" ht="45">
      <c r="A17" s="78" t="s">
        <v>56</v>
      </c>
      <c r="B17" s="79">
        <v>5</v>
      </c>
      <c r="C17" s="79">
        <v>10</v>
      </c>
      <c r="D17" s="79">
        <v>7</v>
      </c>
      <c r="E17" s="78" t="s">
        <v>113</v>
      </c>
      <c r="F17" s="81" t="s">
        <v>458</v>
      </c>
      <c r="G17" s="11"/>
      <c r="H17" s="11"/>
      <c r="I17" s="11"/>
      <c r="J17" s="11"/>
      <c r="K17" s="11"/>
    </row>
    <row r="18" spans="1:11" s="37" customFormat="1" ht="30">
      <c r="A18" s="81" t="s">
        <v>400</v>
      </c>
      <c r="B18" s="79">
        <v>65</v>
      </c>
      <c r="C18" s="79">
        <v>100</v>
      </c>
      <c r="D18" s="79">
        <v>88</v>
      </c>
      <c r="E18" s="78" t="s">
        <v>25</v>
      </c>
      <c r="F18" s="81" t="s">
        <v>457</v>
      </c>
      <c r="G18" s="11"/>
      <c r="H18" s="11"/>
      <c r="I18" s="11"/>
      <c r="J18" s="11"/>
      <c r="K18" s="11"/>
    </row>
    <row r="19" spans="1:11" ht="15">
      <c r="A19" s="81"/>
      <c r="B19" s="79"/>
      <c r="C19" s="79"/>
      <c r="D19" s="79"/>
      <c r="E19" s="78"/>
      <c r="F19" s="81"/>
      <c r="G19" s="8"/>
      <c r="H19" s="8"/>
      <c r="I19" s="8"/>
      <c r="J19" s="8"/>
      <c r="K19" s="8"/>
    </row>
    <row r="20" spans="1:11" ht="30">
      <c r="A20" s="78" t="s">
        <v>65</v>
      </c>
      <c r="B20" s="79"/>
      <c r="C20" s="79"/>
      <c r="D20" s="79"/>
      <c r="E20" s="78"/>
      <c r="F20" s="81" t="s">
        <v>459</v>
      </c>
      <c r="G20" s="8"/>
      <c r="H20" s="8"/>
      <c r="I20" s="8"/>
      <c r="J20" s="8"/>
      <c r="K20" s="8"/>
    </row>
    <row r="21" spans="1:11" ht="30">
      <c r="A21" s="81" t="s">
        <v>93</v>
      </c>
      <c r="B21" s="79"/>
      <c r="C21" s="79"/>
      <c r="D21" s="79"/>
      <c r="E21" s="308">
        <v>0.65</v>
      </c>
      <c r="F21" s="81"/>
      <c r="G21" s="8"/>
      <c r="H21" s="8"/>
      <c r="I21" s="8"/>
      <c r="J21" s="8"/>
      <c r="K21" s="8"/>
    </row>
    <row r="22" spans="1:11" ht="30">
      <c r="A22" s="81" t="s">
        <v>94</v>
      </c>
      <c r="B22" s="79"/>
      <c r="C22" s="79"/>
      <c r="D22" s="79"/>
      <c r="E22" s="308">
        <v>0.8</v>
      </c>
      <c r="F22" s="293"/>
      <c r="G22" s="8"/>
      <c r="H22" s="8"/>
      <c r="I22" s="8"/>
      <c r="J22" s="8"/>
      <c r="K22" s="8"/>
    </row>
    <row r="23" spans="1:11" ht="30">
      <c r="A23" s="81" t="s">
        <v>95</v>
      </c>
      <c r="B23" s="79"/>
      <c r="C23" s="79"/>
      <c r="D23" s="79"/>
      <c r="E23" s="308">
        <v>0.4</v>
      </c>
      <c r="F23" s="298"/>
      <c r="G23" s="8"/>
      <c r="H23" s="8"/>
      <c r="I23" s="8"/>
      <c r="J23" s="8"/>
      <c r="K23" s="8"/>
    </row>
    <row r="24" spans="1:11" ht="15">
      <c r="A24" s="81" t="s">
        <v>252</v>
      </c>
      <c r="B24" s="79">
        <v>1</v>
      </c>
      <c r="C24" s="79">
        <v>4</v>
      </c>
      <c r="D24" s="79">
        <v>2</v>
      </c>
      <c r="E24" s="308"/>
      <c r="F24" s="298"/>
      <c r="G24" s="8"/>
      <c r="H24" s="8"/>
      <c r="I24" s="8"/>
      <c r="J24" s="8"/>
      <c r="K24" s="8"/>
    </row>
    <row r="25" spans="1:11" ht="15">
      <c r="A25" s="78"/>
      <c r="B25" s="79"/>
      <c r="C25" s="79"/>
      <c r="D25" s="79"/>
      <c r="E25" s="79"/>
      <c r="F25" s="298"/>
      <c r="G25" s="8"/>
      <c r="H25" s="8"/>
      <c r="I25" s="8"/>
      <c r="J25" s="8"/>
      <c r="K25" s="8"/>
    </row>
    <row r="26" spans="1:11" ht="30">
      <c r="A26" s="81" t="s">
        <v>76</v>
      </c>
      <c r="B26" s="291">
        <v>1</v>
      </c>
      <c r="C26" s="79">
        <v>24</v>
      </c>
      <c r="D26" s="79">
        <v>8</v>
      </c>
      <c r="E26" s="79" t="s">
        <v>114</v>
      </c>
      <c r="F26" s="153" t="s">
        <v>645</v>
      </c>
      <c r="G26" s="8"/>
      <c r="H26" s="8"/>
      <c r="I26" s="8"/>
      <c r="J26" s="8"/>
      <c r="K26" s="8"/>
    </row>
    <row r="27" spans="1:11" ht="30">
      <c r="A27" s="81" t="s">
        <v>106</v>
      </c>
      <c r="B27" s="79"/>
      <c r="C27" s="79"/>
      <c r="D27" s="79"/>
      <c r="E27" s="308">
        <v>0.1</v>
      </c>
      <c r="F27" s="298" t="s">
        <v>111</v>
      </c>
      <c r="G27" s="8"/>
      <c r="H27" s="8"/>
      <c r="I27" s="8"/>
      <c r="J27" s="8"/>
      <c r="K27" s="8"/>
    </row>
    <row r="28" spans="1:11" ht="15">
      <c r="A28" s="150"/>
      <c r="B28" s="315"/>
      <c r="C28" s="149"/>
      <c r="D28" s="149"/>
      <c r="E28" s="150"/>
      <c r="F28" s="303"/>
      <c r="G28" s="8"/>
      <c r="H28" s="8"/>
      <c r="I28" s="8"/>
      <c r="J28" s="8"/>
      <c r="K28" s="8"/>
    </row>
    <row r="29" spans="1:11" ht="21">
      <c r="A29" s="304" t="s">
        <v>26</v>
      </c>
      <c r="B29" s="149"/>
      <c r="C29" s="149"/>
      <c r="D29" s="149"/>
      <c r="E29" s="150"/>
      <c r="F29" s="303"/>
      <c r="G29" s="8"/>
      <c r="H29" s="8"/>
      <c r="I29" s="8"/>
      <c r="J29" s="8"/>
      <c r="K29" s="8"/>
    </row>
    <row r="30" spans="1:11" ht="15">
      <c r="A30" s="305"/>
      <c r="B30" s="149"/>
      <c r="C30" s="149"/>
      <c r="D30" s="149"/>
      <c r="E30" s="150"/>
      <c r="F30" s="148"/>
      <c r="G30" s="8"/>
      <c r="H30" s="8"/>
      <c r="I30" s="8"/>
      <c r="J30" s="8"/>
      <c r="K30" s="8"/>
    </row>
    <row r="31" spans="1:11" ht="15">
      <c r="A31" s="119" t="s">
        <v>750</v>
      </c>
      <c r="B31" s="140"/>
      <c r="C31" s="140"/>
      <c r="D31" s="140"/>
      <c r="E31" s="141"/>
      <c r="F31" s="142"/>
      <c r="G31" s="8"/>
      <c r="H31" s="8"/>
      <c r="I31" s="8"/>
      <c r="J31" s="8"/>
      <c r="K31" s="8"/>
    </row>
    <row r="32" spans="1:11" ht="15">
      <c r="A32" s="141"/>
      <c r="B32" s="140" t="s">
        <v>23</v>
      </c>
      <c r="C32" s="140" t="s">
        <v>24</v>
      </c>
      <c r="D32" s="140" t="s">
        <v>54</v>
      </c>
      <c r="E32" s="141"/>
      <c r="F32" s="142"/>
      <c r="G32" s="8"/>
      <c r="H32" s="8"/>
      <c r="I32" s="8"/>
      <c r="J32" s="8"/>
      <c r="K32" s="8"/>
    </row>
    <row r="33" spans="1:9" ht="15">
      <c r="A33" s="78" t="s">
        <v>55</v>
      </c>
      <c r="B33" s="308">
        <f>Water_heating_efficiency_high</f>
        <v>0.9</v>
      </c>
      <c r="C33" s="308">
        <f>Water_heating_efficiency_low</f>
        <v>0.55</v>
      </c>
      <c r="D33" s="308">
        <f>Water_heating_efficiency_med</f>
        <v>0.7</v>
      </c>
      <c r="E33" s="78"/>
      <c r="F33" s="81" t="s">
        <v>70</v>
      </c>
      <c r="G33" s="8"/>
      <c r="H33" s="22"/>
      <c r="I33" s="12" t="s">
        <v>251</v>
      </c>
    </row>
    <row r="34" spans="1:11" ht="15">
      <c r="A34" s="78" t="s">
        <v>68</v>
      </c>
      <c r="B34" s="79">
        <f>Cold_water_temp_high</f>
        <v>16.2</v>
      </c>
      <c r="C34" s="79">
        <f>Cold_water_temp_low</f>
        <v>13.4</v>
      </c>
      <c r="D34" s="79">
        <f>Cold_water_temp_med</f>
        <v>15.2</v>
      </c>
      <c r="E34" s="78" t="s">
        <v>19</v>
      </c>
      <c r="F34" s="81" t="s">
        <v>237</v>
      </c>
      <c r="G34" s="8"/>
      <c r="H34" s="8"/>
      <c r="I34" s="8"/>
      <c r="J34" s="8"/>
      <c r="K34" s="8"/>
    </row>
    <row r="35" spans="1:11" s="37" customFormat="1" ht="15">
      <c r="A35" s="78" t="s">
        <v>21</v>
      </c>
      <c r="B35" s="79">
        <f>Bath_temperature_low</f>
        <v>40</v>
      </c>
      <c r="C35" s="79">
        <f>Bath_temperature_high</f>
        <v>43</v>
      </c>
      <c r="D35" s="79">
        <f>Bath_temperature_med</f>
        <v>41</v>
      </c>
      <c r="E35" s="78" t="s">
        <v>19</v>
      </c>
      <c r="F35" s="81"/>
      <c r="G35" s="11"/>
      <c r="H35" s="11"/>
      <c r="I35" s="11"/>
      <c r="J35" s="11"/>
      <c r="K35" s="11"/>
    </row>
    <row r="36" spans="1:11" s="37" customFormat="1" ht="15">
      <c r="A36" s="78" t="s">
        <v>20</v>
      </c>
      <c r="B36" s="79">
        <f>Shower_temperature_high</f>
        <v>40</v>
      </c>
      <c r="C36" s="79">
        <f>Shower_temperature_low</f>
        <v>38</v>
      </c>
      <c r="D36" s="79">
        <f>Shower_temperature_med</f>
        <v>39</v>
      </c>
      <c r="E36" s="78" t="s">
        <v>19</v>
      </c>
      <c r="F36" s="81" t="s">
        <v>237</v>
      </c>
      <c r="G36" s="11"/>
      <c r="H36" s="11"/>
      <c r="I36" s="11"/>
      <c r="J36" s="11"/>
      <c r="K36" s="11"/>
    </row>
    <row r="37" spans="1:11" s="37" customFormat="1" ht="15">
      <c r="A37" s="78" t="s">
        <v>35</v>
      </c>
      <c r="B37" s="79">
        <f>Bath_volume_low</f>
        <v>65</v>
      </c>
      <c r="C37" s="79">
        <f>Bath_volume_high</f>
        <v>100</v>
      </c>
      <c r="D37" s="79">
        <f>Bath_volume_med</f>
        <v>88</v>
      </c>
      <c r="E37" s="78" t="s">
        <v>25</v>
      </c>
      <c r="F37" s="81" t="s">
        <v>71</v>
      </c>
      <c r="G37" s="11"/>
      <c r="H37" s="11"/>
      <c r="I37" s="11"/>
      <c r="J37" s="11"/>
      <c r="K37" s="11"/>
    </row>
    <row r="38" spans="1:11" s="37" customFormat="1" ht="15">
      <c r="A38" s="78" t="s">
        <v>22</v>
      </c>
      <c r="B38" s="79">
        <f>Shower_flow_high</f>
        <v>15</v>
      </c>
      <c r="C38" s="79">
        <f>Shower_flow_low</f>
        <v>4</v>
      </c>
      <c r="D38" s="79">
        <f>Shower_flow_med</f>
        <v>8</v>
      </c>
      <c r="E38" s="78" t="s">
        <v>112</v>
      </c>
      <c r="F38" s="81" t="s">
        <v>72</v>
      </c>
      <c r="G38" s="11"/>
      <c r="H38" s="11"/>
      <c r="I38" s="11"/>
      <c r="J38" s="11"/>
      <c r="K38" s="11"/>
    </row>
    <row r="39" spans="1:9" s="37" customFormat="1" ht="15">
      <c r="A39" s="145" t="s">
        <v>617</v>
      </c>
      <c r="B39" s="300">
        <f>B38*7</f>
        <v>105</v>
      </c>
      <c r="C39" s="300">
        <f>C38*7</f>
        <v>28</v>
      </c>
      <c r="D39" s="300">
        <f>D38*7</f>
        <v>56</v>
      </c>
      <c r="E39" s="145" t="s">
        <v>25</v>
      </c>
      <c r="F39" s="147"/>
      <c r="G39" s="11"/>
      <c r="H39" s="83"/>
      <c r="I39" s="215" t="s">
        <v>115</v>
      </c>
    </row>
    <row r="40" spans="1:11" s="37" customFormat="1" ht="15">
      <c r="A40" s="145" t="s">
        <v>27</v>
      </c>
      <c r="B40" s="316">
        <f>B39*(B36-B34)*Water_specific_heat/3600/B33</f>
        <v>3.2394444444444446</v>
      </c>
      <c r="C40" s="316">
        <f>C39*(C36-C34)*Water_specific_heat/3600/C33</f>
        <v>1.4610909090909092</v>
      </c>
      <c r="D40" s="316">
        <f>D39*(D36-D34)*Water_specific_heat/3600/D33</f>
        <v>2.221333333333334</v>
      </c>
      <c r="E40" s="145" t="s">
        <v>36</v>
      </c>
      <c r="F40" s="147"/>
      <c r="G40" s="11"/>
      <c r="H40" s="11"/>
      <c r="I40" s="11"/>
      <c r="J40" s="11"/>
      <c r="K40" s="11"/>
    </row>
    <row r="41" spans="1:11" s="37" customFormat="1" ht="15">
      <c r="A41" s="145" t="s">
        <v>37</v>
      </c>
      <c r="B41" s="316">
        <f>B37*Water_specific_heat*(B35-B34)/3600/B33</f>
        <v>2.0053703703703705</v>
      </c>
      <c r="C41" s="316">
        <f>C37*Water_specific_heat*(C35-C34)/3600/C33</f>
        <v>6.278787878787878</v>
      </c>
      <c r="D41" s="316">
        <f>D37*Water_specific_heat*(D35-D34)/3600/D33</f>
        <v>3.7840000000000003</v>
      </c>
      <c r="E41" s="145" t="s">
        <v>36</v>
      </c>
      <c r="F41" s="147"/>
      <c r="G41" s="11"/>
      <c r="H41" s="11"/>
      <c r="I41" s="11"/>
      <c r="J41" s="11"/>
      <c r="K41" s="11"/>
    </row>
    <row r="42" spans="1:11" s="37" customFormat="1" ht="15" customHeight="1">
      <c r="A42" s="145" t="s">
        <v>38</v>
      </c>
      <c r="B42" s="316">
        <f>B41-B40</f>
        <v>-1.234074074074074</v>
      </c>
      <c r="C42" s="316">
        <f>C41-C40</f>
        <v>4.81769696969697</v>
      </c>
      <c r="D42" s="316">
        <f>D41-D40</f>
        <v>1.5626666666666664</v>
      </c>
      <c r="E42" s="145" t="s">
        <v>36</v>
      </c>
      <c r="F42" s="317" t="s">
        <v>249</v>
      </c>
      <c r="G42" s="11"/>
      <c r="H42" s="11"/>
      <c r="I42" s="11"/>
      <c r="J42" s="11"/>
      <c r="K42" s="11"/>
    </row>
    <row r="43" spans="1:11" s="37" customFormat="1" ht="15">
      <c r="A43" s="145" t="s">
        <v>250</v>
      </c>
      <c r="B43" s="152">
        <f>B42*2*52</f>
        <v>-128.3437037037037</v>
      </c>
      <c r="C43" s="152">
        <f>C42*2*52</f>
        <v>501.0404848484848</v>
      </c>
      <c r="D43" s="152">
        <f>D42*2*52</f>
        <v>162.5173333333333</v>
      </c>
      <c r="E43" s="145" t="s">
        <v>39</v>
      </c>
      <c r="F43" s="147" t="s">
        <v>608</v>
      </c>
      <c r="G43" s="11"/>
      <c r="H43" s="11"/>
      <c r="I43" s="11"/>
      <c r="J43" s="11"/>
      <c r="K43" s="11"/>
    </row>
    <row r="44" spans="1:11" ht="15">
      <c r="A44" s="150"/>
      <c r="B44" s="318"/>
      <c r="C44" s="318"/>
      <c r="D44" s="318"/>
      <c r="E44" s="150"/>
      <c r="F44" s="148"/>
      <c r="G44" s="8"/>
      <c r="H44" s="8"/>
      <c r="I44" s="8"/>
      <c r="J44" s="8"/>
      <c r="K44" s="8"/>
    </row>
    <row r="45" spans="1:11" ht="15">
      <c r="A45" s="150"/>
      <c r="B45" s="149"/>
      <c r="C45" s="149"/>
      <c r="D45" s="149"/>
      <c r="E45" s="150"/>
      <c r="F45" s="148"/>
      <c r="G45" s="8"/>
      <c r="H45" s="8"/>
      <c r="I45" s="8"/>
      <c r="J45" s="8"/>
      <c r="K45" s="8"/>
    </row>
    <row r="46" spans="1:11" ht="15">
      <c r="A46" s="119" t="s">
        <v>751</v>
      </c>
      <c r="B46" s="140"/>
      <c r="C46" s="140"/>
      <c r="D46" s="140"/>
      <c r="E46" s="141"/>
      <c r="F46" s="142"/>
      <c r="G46" s="8"/>
      <c r="H46" s="8"/>
      <c r="I46" s="8"/>
      <c r="J46" s="8"/>
      <c r="K46" s="8"/>
    </row>
    <row r="47" spans="1:11" ht="15">
      <c r="A47" s="141"/>
      <c r="B47" s="140" t="s">
        <v>23</v>
      </c>
      <c r="C47" s="140" t="s">
        <v>24</v>
      </c>
      <c r="D47" s="140" t="s">
        <v>54</v>
      </c>
      <c r="E47" s="141"/>
      <c r="F47" s="142"/>
      <c r="G47" s="8"/>
      <c r="H47" s="8"/>
      <c r="I47" s="8"/>
      <c r="J47" s="8"/>
      <c r="K47" s="8"/>
    </row>
    <row r="48" spans="1:11" ht="15">
      <c r="A48" s="78" t="s">
        <v>55</v>
      </c>
      <c r="B48" s="308">
        <f>Water_heating_efficiency_high</f>
        <v>0.9</v>
      </c>
      <c r="C48" s="308">
        <f>Water_heating_efficiency_low</f>
        <v>0.55</v>
      </c>
      <c r="D48" s="308">
        <f>Water_heating_efficiency_med</f>
        <v>0.7</v>
      </c>
      <c r="E48" s="78"/>
      <c r="F48" s="81" t="s">
        <v>70</v>
      </c>
      <c r="G48" s="8"/>
      <c r="H48" s="8"/>
      <c r="I48" s="8"/>
      <c r="J48" s="8"/>
      <c r="K48" s="8"/>
    </row>
    <row r="49" spans="1:11" ht="15">
      <c r="A49" s="78" t="s">
        <v>68</v>
      </c>
      <c r="B49" s="79">
        <f>Cold_water_temp_high</f>
        <v>16.2</v>
      </c>
      <c r="C49" s="79">
        <f>Cold_water_temp_low</f>
        <v>13.4</v>
      </c>
      <c r="D49" s="79">
        <f>Cold_water_temp_med</f>
        <v>15.2</v>
      </c>
      <c r="E49" s="78" t="s">
        <v>19</v>
      </c>
      <c r="F49" s="81" t="s">
        <v>237</v>
      </c>
      <c r="G49" s="11"/>
      <c r="H49" s="8"/>
      <c r="I49" s="8"/>
      <c r="J49" s="8"/>
      <c r="K49" s="8"/>
    </row>
    <row r="50" spans="1:11" s="37" customFormat="1" ht="15">
      <c r="A50" s="78" t="s">
        <v>20</v>
      </c>
      <c r="B50" s="79">
        <f>Shower_temperature_low</f>
        <v>38</v>
      </c>
      <c r="C50" s="79">
        <f>Shower_temperature_high</f>
        <v>40</v>
      </c>
      <c r="D50" s="79">
        <f>Shower_temperature_med</f>
        <v>39</v>
      </c>
      <c r="E50" s="78" t="s">
        <v>19</v>
      </c>
      <c r="F50" s="81"/>
      <c r="G50" s="11"/>
      <c r="H50" s="11"/>
      <c r="I50" s="11"/>
      <c r="J50" s="11"/>
      <c r="K50" s="11"/>
    </row>
    <row r="51" spans="1:11" s="37" customFormat="1" ht="15">
      <c r="A51" s="78" t="s">
        <v>22</v>
      </c>
      <c r="B51" s="79">
        <f>Shower_flow_low</f>
        <v>4</v>
      </c>
      <c r="C51" s="79">
        <f>Shower_flow_high</f>
        <v>15</v>
      </c>
      <c r="D51" s="79">
        <f>Shower_flow_med</f>
        <v>8</v>
      </c>
      <c r="E51" s="78" t="s">
        <v>112</v>
      </c>
      <c r="F51" s="81" t="s">
        <v>73</v>
      </c>
      <c r="G51" s="11"/>
      <c r="H51" s="11"/>
      <c r="I51" s="11"/>
      <c r="J51" s="11"/>
      <c r="K51" s="11"/>
    </row>
    <row r="52" spans="1:11" s="37" customFormat="1" ht="15">
      <c r="A52" s="145" t="s">
        <v>609</v>
      </c>
      <c r="B52" s="300">
        <f>B51*2</f>
        <v>8</v>
      </c>
      <c r="C52" s="300">
        <f>C51*2</f>
        <v>30</v>
      </c>
      <c r="D52" s="300">
        <f>D51*2</f>
        <v>16</v>
      </c>
      <c r="E52" s="145" t="s">
        <v>25</v>
      </c>
      <c r="F52" s="147"/>
      <c r="G52" s="11"/>
      <c r="H52" s="11"/>
      <c r="I52" s="11"/>
      <c r="J52" s="11"/>
      <c r="K52" s="11"/>
    </row>
    <row r="53" spans="1:11" s="37" customFormat="1" ht="15">
      <c r="A53" s="145" t="s">
        <v>52</v>
      </c>
      <c r="B53" s="316">
        <f>B52*(B50-B49)*Water_specific_heat/3600/B48</f>
        <v>0.2260740740740741</v>
      </c>
      <c r="C53" s="316">
        <f>C52*(C50-C49)*Water_specific_heat/3600/C48</f>
        <v>1.6927272727272726</v>
      </c>
      <c r="D53" s="316">
        <f>D52*(D50-D49)*Water_specific_heat/3600/D48</f>
        <v>0.6346666666666667</v>
      </c>
      <c r="E53" s="145" t="s">
        <v>36</v>
      </c>
      <c r="F53" s="147"/>
      <c r="G53" s="11"/>
      <c r="H53" s="11"/>
      <c r="I53" s="11"/>
      <c r="J53" s="11"/>
      <c r="K53" s="11"/>
    </row>
    <row r="54" spans="1:11" s="37" customFormat="1" ht="15">
      <c r="A54" s="145" t="s">
        <v>53</v>
      </c>
      <c r="B54" s="152">
        <f>B53*4*52</f>
        <v>47.02340740740741</v>
      </c>
      <c r="C54" s="152">
        <f>C53*4*52</f>
        <v>352.0872727272727</v>
      </c>
      <c r="D54" s="152">
        <f>D53*4*52</f>
        <v>132.01066666666668</v>
      </c>
      <c r="E54" s="145" t="s">
        <v>39</v>
      </c>
      <c r="F54" s="147"/>
      <c r="G54" s="11"/>
      <c r="H54" s="11"/>
      <c r="I54" s="11"/>
      <c r="J54" s="11"/>
      <c r="K54" s="11"/>
    </row>
    <row r="55" spans="1:11" ht="15">
      <c r="A55" s="150"/>
      <c r="B55" s="149"/>
      <c r="C55" s="149"/>
      <c r="D55" s="149"/>
      <c r="E55" s="150"/>
      <c r="F55" s="148"/>
      <c r="G55" s="8"/>
      <c r="H55" s="8"/>
      <c r="I55" s="8"/>
      <c r="J55" s="8"/>
      <c r="K55" s="8"/>
    </row>
    <row r="56" spans="1:11" ht="15">
      <c r="A56" s="150"/>
      <c r="B56" s="149"/>
      <c r="C56" s="149"/>
      <c r="D56" s="149"/>
      <c r="E56" s="150"/>
      <c r="F56" s="148"/>
      <c r="G56" s="8"/>
      <c r="H56" s="8"/>
      <c r="I56" s="8"/>
      <c r="J56" s="8"/>
      <c r="K56" s="8"/>
    </row>
    <row r="57" spans="1:11" ht="15">
      <c r="A57" s="306" t="s">
        <v>752</v>
      </c>
      <c r="B57" s="140"/>
      <c r="C57" s="140"/>
      <c r="D57" s="140"/>
      <c r="E57" s="141"/>
      <c r="F57" s="142"/>
      <c r="G57" s="8"/>
      <c r="H57" s="8"/>
      <c r="I57" s="8"/>
      <c r="J57" s="8"/>
      <c r="K57" s="8"/>
    </row>
    <row r="58" spans="1:11" ht="15">
      <c r="A58" s="141"/>
      <c r="B58" s="140" t="s">
        <v>23</v>
      </c>
      <c r="C58" s="140" t="s">
        <v>24</v>
      </c>
      <c r="D58" s="140" t="s">
        <v>54</v>
      </c>
      <c r="E58" s="141"/>
      <c r="F58" s="142"/>
      <c r="G58" s="8"/>
      <c r="H58" s="8"/>
      <c r="I58" s="8"/>
      <c r="J58" s="8"/>
      <c r="K58" s="8"/>
    </row>
    <row r="59" spans="1:11" ht="15">
      <c r="A59" s="78" t="s">
        <v>55</v>
      </c>
      <c r="B59" s="308">
        <f>Water_heating_efficiency_high</f>
        <v>0.9</v>
      </c>
      <c r="C59" s="308">
        <f>Water_heating_efficiency_low</f>
        <v>0.55</v>
      </c>
      <c r="D59" s="308">
        <f>Water_heating_efficiency_med</f>
        <v>0.7</v>
      </c>
      <c r="E59" s="78"/>
      <c r="F59" s="81" t="s">
        <v>70</v>
      </c>
      <c r="G59" s="8"/>
      <c r="H59" s="8"/>
      <c r="I59" s="8"/>
      <c r="J59" s="8"/>
      <c r="K59" s="8"/>
    </row>
    <row r="60" spans="1:11" ht="15">
      <c r="A60" s="78" t="s">
        <v>68</v>
      </c>
      <c r="B60" s="79">
        <f>Cold_water_temp_high</f>
        <v>16.2</v>
      </c>
      <c r="C60" s="79">
        <f>Cold_water_temp_low</f>
        <v>13.4</v>
      </c>
      <c r="D60" s="79">
        <f>Cold_water_temp_med</f>
        <v>15.2</v>
      </c>
      <c r="E60" s="78" t="s">
        <v>19</v>
      </c>
      <c r="F60" s="81" t="s">
        <v>237</v>
      </c>
      <c r="G60" s="8"/>
      <c r="H60" s="8"/>
      <c r="I60" s="8"/>
      <c r="J60" s="8"/>
      <c r="K60" s="8"/>
    </row>
    <row r="61" spans="1:11" s="37" customFormat="1" ht="15">
      <c r="A61" s="78" t="s">
        <v>20</v>
      </c>
      <c r="B61" s="79">
        <f>Shower_temperature_low</f>
        <v>38</v>
      </c>
      <c r="C61" s="79">
        <f>Shower_temperature_high</f>
        <v>40</v>
      </c>
      <c r="D61" s="79">
        <f>Shower_temperature_med</f>
        <v>39</v>
      </c>
      <c r="E61" s="78" t="s">
        <v>19</v>
      </c>
      <c r="F61" s="81"/>
      <c r="G61" s="11"/>
      <c r="H61" s="11"/>
      <c r="I61" s="11"/>
      <c r="J61" s="11"/>
      <c r="K61" s="11"/>
    </row>
    <row r="62" spans="1:11" s="37" customFormat="1" ht="15">
      <c r="A62" s="78" t="s">
        <v>74</v>
      </c>
      <c r="B62" s="79">
        <f>D62</f>
        <v>8</v>
      </c>
      <c r="C62" s="79">
        <f>Shower_flow_high</f>
        <v>15</v>
      </c>
      <c r="D62" s="79">
        <f>Shower_flow_med</f>
        <v>8</v>
      </c>
      <c r="E62" s="78" t="s">
        <v>112</v>
      </c>
      <c r="F62" s="81" t="s">
        <v>73</v>
      </c>
      <c r="G62" s="11"/>
      <c r="H62" s="11"/>
      <c r="I62" s="11"/>
      <c r="J62" s="11"/>
      <c r="K62" s="11"/>
    </row>
    <row r="63" spans="1:11" s="37" customFormat="1" ht="15">
      <c r="A63" s="78" t="s">
        <v>81</v>
      </c>
      <c r="B63" s="79">
        <f>Shower_flow_low</f>
        <v>4</v>
      </c>
      <c r="C63" s="79">
        <f>Shower_flow_low</f>
        <v>4</v>
      </c>
      <c r="D63" s="79">
        <f>Shower_flow_low</f>
        <v>4</v>
      </c>
      <c r="E63" s="78" t="s">
        <v>112</v>
      </c>
      <c r="F63" s="81"/>
      <c r="G63" s="11"/>
      <c r="H63" s="11"/>
      <c r="I63" s="11"/>
      <c r="J63" s="11"/>
      <c r="K63" s="11"/>
    </row>
    <row r="64" spans="1:11" s="37" customFormat="1" ht="15">
      <c r="A64" s="144" t="s">
        <v>56</v>
      </c>
      <c r="B64" s="79">
        <f>Shower_duration_low</f>
        <v>5</v>
      </c>
      <c r="C64" s="79">
        <f>Shower_duration_high</f>
        <v>10</v>
      </c>
      <c r="D64" s="79">
        <f>Shower_duration_med</f>
        <v>7</v>
      </c>
      <c r="E64" s="78" t="s">
        <v>59</v>
      </c>
      <c r="F64" s="81" t="s">
        <v>75</v>
      </c>
      <c r="G64" s="11"/>
      <c r="H64" s="11"/>
      <c r="I64" s="11"/>
      <c r="J64" s="11"/>
      <c r="K64" s="11"/>
    </row>
    <row r="65" spans="1:11" s="37" customFormat="1" ht="15">
      <c r="A65" s="145" t="s">
        <v>57</v>
      </c>
      <c r="B65" s="300">
        <f>(B62-B63)*B64</f>
        <v>20</v>
      </c>
      <c r="C65" s="300">
        <f>(C62-C63)*C64</f>
        <v>110</v>
      </c>
      <c r="D65" s="300">
        <f>(D62-D63)*D64</f>
        <v>28</v>
      </c>
      <c r="E65" s="145" t="s">
        <v>25</v>
      </c>
      <c r="F65" s="147"/>
      <c r="G65" s="11"/>
      <c r="H65" s="11"/>
      <c r="I65" s="11"/>
      <c r="J65" s="11"/>
      <c r="K65" s="11"/>
    </row>
    <row r="66" spans="1:11" s="37" customFormat="1" ht="15">
      <c r="A66" s="145" t="s">
        <v>52</v>
      </c>
      <c r="B66" s="316">
        <f>B65*(B61-B60)*Water_specific_heat/3600/B59</f>
        <v>0.5651851851851852</v>
      </c>
      <c r="C66" s="316">
        <f>C65*(C61-C60)*Water_specific_heat/3600/C59</f>
        <v>6.206666666666666</v>
      </c>
      <c r="D66" s="316">
        <f>D65*(D61-D60)*Water_specific_heat/3600/D59</f>
        <v>1.110666666666667</v>
      </c>
      <c r="E66" s="145" t="s">
        <v>36</v>
      </c>
      <c r="F66" s="147"/>
      <c r="G66" s="11"/>
      <c r="H66" s="11"/>
      <c r="I66" s="11"/>
      <c r="J66" s="11"/>
      <c r="K66" s="11"/>
    </row>
    <row r="67" spans="1:11" s="37" customFormat="1" ht="15">
      <c r="A67" s="145" t="s">
        <v>58</v>
      </c>
      <c r="B67" s="152">
        <f>B66*365*2</f>
        <v>412.5851851851852</v>
      </c>
      <c r="C67" s="146">
        <f>C66*365*2</f>
        <v>4530.866666666666</v>
      </c>
      <c r="D67" s="152">
        <f>D66*365*2</f>
        <v>810.7866666666669</v>
      </c>
      <c r="E67" s="145" t="s">
        <v>39</v>
      </c>
      <c r="F67" s="147"/>
      <c r="G67" s="11"/>
      <c r="H67" s="11"/>
      <c r="I67" s="11"/>
      <c r="J67" s="11"/>
      <c r="K67" s="11"/>
    </row>
    <row r="68" spans="1:11" ht="15">
      <c r="A68" s="150"/>
      <c r="B68" s="149"/>
      <c r="C68" s="149"/>
      <c r="D68" s="149"/>
      <c r="E68" s="150"/>
      <c r="F68" s="148"/>
      <c r="G68" s="8"/>
      <c r="H68" s="8"/>
      <c r="I68" s="8"/>
      <c r="J68" s="8"/>
      <c r="K68" s="8"/>
    </row>
    <row r="69" spans="1:11" ht="15">
      <c r="A69" s="151"/>
      <c r="B69" s="149"/>
      <c r="C69" s="149"/>
      <c r="D69" s="149"/>
      <c r="E69" s="150"/>
      <c r="F69" s="148"/>
      <c r="G69" s="8"/>
      <c r="H69" s="8"/>
      <c r="I69" s="8"/>
      <c r="J69" s="8"/>
      <c r="K69" s="8"/>
    </row>
    <row r="70" spans="1:11" ht="15">
      <c r="A70" s="119" t="s">
        <v>753</v>
      </c>
      <c r="B70" s="140"/>
      <c r="C70" s="140"/>
      <c r="D70" s="140"/>
      <c r="E70" s="141"/>
      <c r="F70" s="142"/>
      <c r="G70" s="8"/>
      <c r="H70" s="8"/>
      <c r="I70" s="8"/>
      <c r="J70" s="8"/>
      <c r="K70" s="8"/>
    </row>
    <row r="71" spans="1:11" ht="15">
      <c r="A71" s="319"/>
      <c r="B71" s="140" t="s">
        <v>23</v>
      </c>
      <c r="C71" s="140" t="s">
        <v>24</v>
      </c>
      <c r="D71" s="140" t="s">
        <v>54</v>
      </c>
      <c r="E71" s="141"/>
      <c r="F71" s="142"/>
      <c r="G71" s="8"/>
      <c r="H71" s="8"/>
      <c r="I71" s="8"/>
      <c r="J71" s="8"/>
      <c r="K71" s="8"/>
    </row>
    <row r="72" spans="1:11" ht="15">
      <c r="A72" s="78" t="s">
        <v>55</v>
      </c>
      <c r="B72" s="308">
        <f>Water_heating_efficiency_high</f>
        <v>0.9</v>
      </c>
      <c r="C72" s="308">
        <f>Water_heating_efficiency_low</f>
        <v>0.55</v>
      </c>
      <c r="D72" s="308">
        <f>Water_heating_efficiency_med</f>
        <v>0.7</v>
      </c>
      <c r="E72" s="78"/>
      <c r="F72" s="81" t="s">
        <v>70</v>
      </c>
      <c r="G72" s="8"/>
      <c r="H72" s="8"/>
      <c r="I72" s="8"/>
      <c r="J72" s="8"/>
      <c r="K72" s="8"/>
    </row>
    <row r="73" spans="1:11" ht="15">
      <c r="A73" s="78" t="s">
        <v>68</v>
      </c>
      <c r="B73" s="79">
        <f>Cold_water_temp_high</f>
        <v>16.2</v>
      </c>
      <c r="C73" s="79">
        <f>Cold_water_temp_low</f>
        <v>13.4</v>
      </c>
      <c r="D73" s="79">
        <f>Cold_water_temp_med</f>
        <v>15.2</v>
      </c>
      <c r="E73" s="78" t="s">
        <v>19</v>
      </c>
      <c r="F73" s="81" t="s">
        <v>237</v>
      </c>
      <c r="G73" s="8"/>
      <c r="H73" s="8"/>
      <c r="I73" s="8"/>
      <c r="J73" s="8"/>
      <c r="K73" s="8"/>
    </row>
    <row r="74" spans="1:11" ht="15">
      <c r="A74" s="95" t="s">
        <v>61</v>
      </c>
      <c r="B74" s="79">
        <f>Hot_water_temp_low</f>
        <v>42</v>
      </c>
      <c r="C74" s="79">
        <f>Hot_water_temp_high</f>
        <v>60</v>
      </c>
      <c r="D74" s="79">
        <f>Hot_water_temp_med</f>
        <v>52</v>
      </c>
      <c r="E74" s="78" t="s">
        <v>19</v>
      </c>
      <c r="F74" s="81" t="s">
        <v>77</v>
      </c>
      <c r="G74" s="8"/>
      <c r="H74" s="8"/>
      <c r="I74" s="8"/>
      <c r="J74" s="8"/>
      <c r="K74" s="8"/>
    </row>
    <row r="75" spans="1:11" ht="15">
      <c r="A75" s="95" t="s">
        <v>618</v>
      </c>
      <c r="B75" s="79">
        <f>Drip_rate_low</f>
        <v>1</v>
      </c>
      <c r="C75" s="79">
        <f>Drip_rate_high</f>
        <v>24</v>
      </c>
      <c r="D75" s="79">
        <f>Drip_rate_med</f>
        <v>8</v>
      </c>
      <c r="E75" s="78" t="s">
        <v>114</v>
      </c>
      <c r="F75" s="81" t="s">
        <v>78</v>
      </c>
      <c r="G75" s="8"/>
      <c r="H75" s="8"/>
      <c r="I75" s="8"/>
      <c r="J75" s="8"/>
      <c r="K75" s="8"/>
    </row>
    <row r="76" spans="1:11" ht="15">
      <c r="A76" s="111" t="s">
        <v>62</v>
      </c>
      <c r="B76" s="320">
        <f>B75*(B74-B73)*Water_specific_heat/3600</f>
        <v>0.030100000000000005</v>
      </c>
      <c r="C76" s="320">
        <f>C75*(C74-C73)*Water_specific_heat/3600</f>
        <v>1.3048000000000002</v>
      </c>
      <c r="D76" s="320">
        <f>D75*(D74-D73)*Water_specific_heat/3600</f>
        <v>0.3434666666666667</v>
      </c>
      <c r="E76" s="145" t="s">
        <v>63</v>
      </c>
      <c r="F76" s="147"/>
      <c r="G76" s="8"/>
      <c r="H76" s="8"/>
      <c r="I76" s="8"/>
      <c r="J76" s="8"/>
      <c r="K76" s="8"/>
    </row>
    <row r="77" spans="1:11" ht="15">
      <c r="A77" s="111" t="s">
        <v>79</v>
      </c>
      <c r="B77" s="152">
        <f>B76*365</f>
        <v>10.986500000000001</v>
      </c>
      <c r="C77" s="152">
        <f>C76*365</f>
        <v>476.25200000000007</v>
      </c>
      <c r="D77" s="152">
        <f>D76*365</f>
        <v>125.36533333333334</v>
      </c>
      <c r="E77" s="145" t="s">
        <v>39</v>
      </c>
      <c r="F77" s="147"/>
      <c r="G77" s="8"/>
      <c r="H77" s="8"/>
      <c r="I77" s="8"/>
      <c r="J77" s="8"/>
      <c r="K77" s="8"/>
    </row>
    <row r="78" spans="1:11" ht="15">
      <c r="A78" s="20"/>
      <c r="B78" s="14"/>
      <c r="C78" s="14"/>
      <c r="D78" s="14"/>
      <c r="E78" s="8"/>
      <c r="F78" s="13"/>
      <c r="G78" s="8"/>
      <c r="H78" s="8"/>
      <c r="I78" s="8"/>
      <c r="J78" s="8"/>
      <c r="K78" s="8"/>
    </row>
    <row r="79" spans="1:11" s="179" customFormat="1" ht="15">
      <c r="A79" s="20"/>
      <c r="B79" s="14"/>
      <c r="C79" s="14"/>
      <c r="D79" s="14"/>
      <c r="E79" s="8"/>
      <c r="F79" s="13"/>
      <c r="G79" s="8"/>
      <c r="H79" s="8"/>
      <c r="I79" s="8"/>
      <c r="J79" s="8"/>
      <c r="K79" s="8"/>
    </row>
    <row r="80" spans="1:11" ht="21">
      <c r="A80" s="198" t="s">
        <v>460</v>
      </c>
      <c r="B80" s="199"/>
      <c r="C80" s="199"/>
      <c r="D80" s="199"/>
      <c r="E80" s="193"/>
      <c r="F80" s="194"/>
      <c r="G80" s="8"/>
      <c r="H80" s="8"/>
      <c r="I80" s="8"/>
      <c r="J80" s="8"/>
      <c r="K80" s="8"/>
    </row>
    <row r="81" spans="1:11" ht="15">
      <c r="A81" s="200"/>
      <c r="B81" s="201"/>
      <c r="C81" s="201"/>
      <c r="D81" s="201"/>
      <c r="E81" s="191"/>
      <c r="F81" s="202"/>
      <c r="G81" s="8"/>
      <c r="H81" s="8"/>
      <c r="I81" s="8"/>
      <c r="J81" s="8"/>
      <c r="K81" s="8"/>
    </row>
    <row r="82" spans="1:11" ht="45" customHeight="1">
      <c r="A82" s="476" t="s">
        <v>525</v>
      </c>
      <c r="B82" s="476"/>
      <c r="C82" s="476"/>
      <c r="D82" s="476"/>
      <c r="E82" s="476"/>
      <c r="F82" s="476"/>
      <c r="G82" s="8"/>
      <c r="H82" s="8"/>
      <c r="I82" s="8"/>
      <c r="J82" s="8"/>
      <c r="K82" s="8"/>
    </row>
    <row r="83" spans="1:11" ht="45" customHeight="1">
      <c r="A83" s="476" t="s">
        <v>465</v>
      </c>
      <c r="B83" s="476"/>
      <c r="C83" s="476"/>
      <c r="D83" s="476"/>
      <c r="E83" s="476"/>
      <c r="F83" s="476"/>
      <c r="G83" s="8"/>
      <c r="H83" s="8"/>
      <c r="I83" s="8"/>
      <c r="J83" s="8"/>
      <c r="K83" s="8"/>
    </row>
    <row r="84" spans="1:11" ht="15">
      <c r="A84" s="203"/>
      <c r="B84" s="201"/>
      <c r="C84" s="201"/>
      <c r="D84" s="201"/>
      <c r="E84" s="191"/>
      <c r="F84" s="202"/>
      <c r="G84" s="8"/>
      <c r="H84" s="8"/>
      <c r="I84" s="8"/>
      <c r="J84" s="8"/>
      <c r="K84" s="8"/>
    </row>
    <row r="85" spans="1:11" ht="30" customHeight="1">
      <c r="A85" s="476" t="s">
        <v>466</v>
      </c>
      <c r="B85" s="479"/>
      <c r="C85" s="479"/>
      <c r="D85" s="479"/>
      <c r="E85" s="479"/>
      <c r="F85" s="479"/>
      <c r="G85" s="8"/>
      <c r="H85" s="8"/>
      <c r="I85" s="8"/>
      <c r="J85" s="8"/>
      <c r="K85" s="8"/>
    </row>
    <row r="86" spans="1:11" ht="15">
      <c r="A86" s="203"/>
      <c r="B86" s="201"/>
      <c r="C86" s="201"/>
      <c r="D86" s="201"/>
      <c r="E86" s="191"/>
      <c r="F86" s="202"/>
      <c r="G86" s="8"/>
      <c r="H86" s="8"/>
      <c r="I86" s="8"/>
      <c r="J86" s="8"/>
      <c r="K86" s="8"/>
    </row>
    <row r="87" spans="1:11" ht="30.75" customHeight="1">
      <c r="A87" s="476" t="s">
        <v>467</v>
      </c>
      <c r="B87" s="476"/>
      <c r="C87" s="476"/>
      <c r="D87" s="476"/>
      <c r="E87" s="476"/>
      <c r="F87" s="476"/>
      <c r="G87" s="8"/>
      <c r="H87" s="8"/>
      <c r="I87" s="8"/>
      <c r="J87" s="8"/>
      <c r="K87" s="8"/>
    </row>
    <row r="88" spans="1:7" ht="15">
      <c r="A88" s="203"/>
      <c r="B88" s="201"/>
      <c r="C88" s="201"/>
      <c r="D88" s="201"/>
      <c r="E88" s="191"/>
      <c r="F88" s="202"/>
      <c r="G88" s="8"/>
    </row>
    <row r="89" spans="1:6" ht="33.75" customHeight="1">
      <c r="A89" s="478" t="s">
        <v>468</v>
      </c>
      <c r="B89" s="478"/>
      <c r="C89" s="478"/>
      <c r="D89" s="478"/>
      <c r="E89" s="478"/>
      <c r="F89" s="478"/>
    </row>
    <row r="90" spans="1:6" ht="15">
      <c r="A90" s="203"/>
      <c r="B90" s="201"/>
      <c r="C90" s="201"/>
      <c r="D90" s="201"/>
      <c r="E90" s="191"/>
      <c r="F90" s="202"/>
    </row>
    <row r="91" spans="1:6" ht="30.75" customHeight="1">
      <c r="A91" s="476" t="s">
        <v>469</v>
      </c>
      <c r="B91" s="476"/>
      <c r="C91" s="476"/>
      <c r="D91" s="476"/>
      <c r="E91" s="476"/>
      <c r="F91" s="476"/>
    </row>
    <row r="92" spans="1:6" ht="15">
      <c r="A92" s="191"/>
      <c r="B92" s="201"/>
      <c r="C92" s="201"/>
      <c r="D92" s="201"/>
      <c r="E92" s="191"/>
      <c r="F92" s="202"/>
    </row>
    <row r="93" spans="1:6" ht="30" customHeight="1">
      <c r="A93" s="477" t="s">
        <v>619</v>
      </c>
      <c r="B93" s="477"/>
      <c r="C93" s="477"/>
      <c r="D93" s="477"/>
      <c r="E93" s="477"/>
      <c r="F93" s="477"/>
    </row>
    <row r="94" spans="1:6" ht="15">
      <c r="A94" s="193"/>
      <c r="B94" s="199"/>
      <c r="C94" s="199"/>
      <c r="D94" s="199"/>
      <c r="E94" s="193"/>
      <c r="F94" s="194"/>
    </row>
  </sheetData>
  <sheetProtection/>
  <mergeCells count="7">
    <mergeCell ref="A82:F82"/>
    <mergeCell ref="A83:F83"/>
    <mergeCell ref="A87:F87"/>
    <mergeCell ref="A93:F93"/>
    <mergeCell ref="A91:F91"/>
    <mergeCell ref="A89:F89"/>
    <mergeCell ref="A85:F85"/>
  </mergeCells>
  <printOptions/>
  <pageMargins left="0.7500000000000001" right="0.7500000000000001"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F69"/>
  <sheetViews>
    <sheetView zoomScalePageLayoutView="0" workbookViewId="0" topLeftCell="A1">
      <selection activeCell="A54" sqref="A54"/>
    </sheetView>
  </sheetViews>
  <sheetFormatPr defaultColWidth="10.8515625" defaultRowHeight="15"/>
  <cols>
    <col min="1" max="1" width="39.28125" style="2" customWidth="1"/>
    <col min="2" max="4" width="10.8515625" style="4" customWidth="1"/>
    <col min="5" max="5" width="12.7109375" style="4" customWidth="1"/>
    <col min="6" max="6" width="45.421875" style="2" customWidth="1"/>
    <col min="7" max="16384" width="10.8515625" style="4" customWidth="1"/>
  </cols>
  <sheetData>
    <row r="1" spans="1:6" ht="23.25">
      <c r="A1" s="57" t="s">
        <v>253</v>
      </c>
      <c r="B1" s="8"/>
      <c r="C1" s="8"/>
      <c r="D1" s="8"/>
      <c r="E1" s="8"/>
      <c r="F1" s="13"/>
    </row>
    <row r="2" spans="1:6" ht="21">
      <c r="A2" s="17" t="s">
        <v>66</v>
      </c>
      <c r="B2" s="8"/>
      <c r="C2" s="8"/>
      <c r="D2" s="8"/>
      <c r="E2" s="8"/>
      <c r="F2" s="13"/>
    </row>
    <row r="3" spans="1:6" ht="15" customHeight="1">
      <c r="A3" s="16"/>
      <c r="B3" s="8"/>
      <c r="C3" s="8"/>
      <c r="D3" s="8"/>
      <c r="E3" s="8"/>
      <c r="F3" s="13"/>
    </row>
    <row r="4" spans="1:6" ht="15">
      <c r="A4" s="10"/>
      <c r="B4" s="54" t="s">
        <v>1</v>
      </c>
      <c r="C4" s="54" t="s">
        <v>2</v>
      </c>
      <c r="D4" s="54" t="s">
        <v>69</v>
      </c>
      <c r="E4" s="9"/>
      <c r="F4" s="10"/>
    </row>
    <row r="5" spans="1:6" ht="45" customHeight="1">
      <c r="A5" s="81" t="s">
        <v>87</v>
      </c>
      <c r="B5" s="79">
        <v>1</v>
      </c>
      <c r="C5" s="79">
        <v>10</v>
      </c>
      <c r="D5" s="79">
        <v>5</v>
      </c>
      <c r="E5" s="78" t="s">
        <v>84</v>
      </c>
      <c r="F5" s="81" t="s">
        <v>624</v>
      </c>
    </row>
    <row r="6" spans="1:6" ht="30">
      <c r="A6" s="81" t="s">
        <v>204</v>
      </c>
      <c r="B6" s="321">
        <f>dishwasher_freq_low*2/3</f>
        <v>0.6666666666666666</v>
      </c>
      <c r="C6" s="321">
        <f>Dishwasher_freq_high*2/3</f>
        <v>6.666666666666667</v>
      </c>
      <c r="D6" s="321">
        <f>Dishwasher_freq_med*2/3</f>
        <v>3.3333333333333335</v>
      </c>
      <c r="E6" s="78" t="s">
        <v>84</v>
      </c>
      <c r="F6" s="81" t="s">
        <v>622</v>
      </c>
    </row>
    <row r="7" spans="1:6" ht="45.75" customHeight="1">
      <c r="A7" s="81" t="s">
        <v>649</v>
      </c>
      <c r="B7" s="79">
        <v>0.5</v>
      </c>
      <c r="C7" s="79">
        <v>2</v>
      </c>
      <c r="D7" s="79">
        <v>1.2</v>
      </c>
      <c r="E7" s="78" t="s">
        <v>85</v>
      </c>
      <c r="F7" s="81" t="s">
        <v>650</v>
      </c>
    </row>
    <row r="8" spans="1:6" ht="30" customHeight="1">
      <c r="A8" s="81" t="s">
        <v>107</v>
      </c>
      <c r="B8" s="79"/>
      <c r="C8" s="79"/>
      <c r="D8" s="308">
        <v>0.39</v>
      </c>
      <c r="E8" s="78"/>
      <c r="F8" s="81" t="s">
        <v>461</v>
      </c>
    </row>
    <row r="9" spans="1:6" s="37" customFormat="1" ht="60" customHeight="1">
      <c r="A9" s="81" t="s">
        <v>620</v>
      </c>
      <c r="B9" s="79"/>
      <c r="C9" s="79"/>
      <c r="D9" s="308">
        <v>0.23</v>
      </c>
      <c r="E9" s="78"/>
      <c r="F9" s="81" t="s">
        <v>403</v>
      </c>
    </row>
    <row r="10" spans="1:6" ht="45" customHeight="1">
      <c r="A10" s="81" t="s">
        <v>89</v>
      </c>
      <c r="B10" s="79">
        <v>2</v>
      </c>
      <c r="C10" s="79">
        <v>13</v>
      </c>
      <c r="D10" s="79">
        <v>5</v>
      </c>
      <c r="E10" s="78" t="s">
        <v>84</v>
      </c>
      <c r="F10" s="81" t="s">
        <v>623</v>
      </c>
    </row>
    <row r="11" spans="1:6" ht="45" customHeight="1">
      <c r="A11" s="81" t="s">
        <v>88</v>
      </c>
      <c r="B11" s="79">
        <v>0.2</v>
      </c>
      <c r="C11" s="79">
        <v>4</v>
      </c>
      <c r="D11" s="79">
        <v>1.4</v>
      </c>
      <c r="E11" s="78" t="s">
        <v>85</v>
      </c>
      <c r="F11" s="81" t="s">
        <v>650</v>
      </c>
    </row>
    <row r="12" spans="1:6" ht="30" customHeight="1">
      <c r="A12" s="81" t="s">
        <v>108</v>
      </c>
      <c r="B12" s="79"/>
      <c r="C12" s="79"/>
      <c r="D12" s="308">
        <v>0.58</v>
      </c>
      <c r="E12" s="78"/>
      <c r="F12" s="81" t="s">
        <v>462</v>
      </c>
    </row>
    <row r="13" spans="1:6" ht="30">
      <c r="A13" s="81" t="s">
        <v>408</v>
      </c>
      <c r="B13" s="79"/>
      <c r="C13" s="79"/>
      <c r="D13" s="308">
        <v>0.5</v>
      </c>
      <c r="E13" s="78"/>
      <c r="F13" s="81" t="s">
        <v>648</v>
      </c>
    </row>
    <row r="14" spans="1:6" ht="15">
      <c r="A14" s="81"/>
      <c r="B14" s="79"/>
      <c r="C14" s="79"/>
      <c r="D14" s="308"/>
      <c r="E14" s="78"/>
      <c r="F14" s="81"/>
    </row>
    <row r="15" spans="1:6" ht="75" customHeight="1">
      <c r="A15" s="81" t="s">
        <v>90</v>
      </c>
      <c r="B15" s="79">
        <v>1</v>
      </c>
      <c r="C15" s="79">
        <v>7</v>
      </c>
      <c r="D15" s="79">
        <v>3</v>
      </c>
      <c r="E15" s="78" t="s">
        <v>84</v>
      </c>
      <c r="F15" s="81" t="s">
        <v>625</v>
      </c>
    </row>
    <row r="16" spans="1:6" ht="30">
      <c r="A16" s="81" t="s">
        <v>91</v>
      </c>
      <c r="B16" s="79">
        <v>0.5</v>
      </c>
      <c r="C16" s="79">
        <v>1.5</v>
      </c>
      <c r="D16" s="79">
        <v>0.75</v>
      </c>
      <c r="E16" s="78" t="s">
        <v>85</v>
      </c>
      <c r="F16" s="81" t="s">
        <v>647</v>
      </c>
    </row>
    <row r="17" spans="1:6" ht="15">
      <c r="A17" s="81" t="s">
        <v>92</v>
      </c>
      <c r="B17" s="79">
        <v>0.1</v>
      </c>
      <c r="C17" s="79">
        <v>0.5</v>
      </c>
      <c r="D17" s="79">
        <v>0.3</v>
      </c>
      <c r="E17" s="78"/>
      <c r="F17" s="81" t="s">
        <v>111</v>
      </c>
    </row>
    <row r="18" spans="1:6" ht="15">
      <c r="A18" s="81" t="s">
        <v>109</v>
      </c>
      <c r="B18" s="79"/>
      <c r="C18" s="79"/>
      <c r="D18" s="308">
        <v>0.96</v>
      </c>
      <c r="E18" s="78"/>
      <c r="F18" s="81" t="s">
        <v>461</v>
      </c>
    </row>
    <row r="19" spans="1:6" ht="30">
      <c r="A19" s="81" t="s">
        <v>627</v>
      </c>
      <c r="B19" s="79"/>
      <c r="C19" s="79"/>
      <c r="D19" s="308">
        <v>0.23</v>
      </c>
      <c r="E19" s="78"/>
      <c r="F19" s="81" t="s">
        <v>626</v>
      </c>
    </row>
    <row r="20" spans="1:6" ht="15">
      <c r="A20" s="81"/>
      <c r="B20" s="79"/>
      <c r="C20" s="79"/>
      <c r="D20" s="79"/>
      <c r="E20" s="78"/>
      <c r="F20" s="81"/>
    </row>
    <row r="21" spans="1:6" ht="15">
      <c r="A21" s="148"/>
      <c r="B21" s="150"/>
      <c r="C21" s="150"/>
      <c r="D21" s="150"/>
      <c r="E21" s="150"/>
      <c r="F21" s="148"/>
    </row>
    <row r="22" spans="1:6" ht="21">
      <c r="A22" s="322" t="s">
        <v>26</v>
      </c>
      <c r="B22" s="150"/>
      <c r="C22" s="150"/>
      <c r="D22" s="150"/>
      <c r="E22" s="150"/>
      <c r="F22" s="148"/>
    </row>
    <row r="23" spans="1:6" ht="15">
      <c r="A23" s="148"/>
      <c r="B23" s="150"/>
      <c r="C23" s="150"/>
      <c r="D23" s="150"/>
      <c r="E23" s="150"/>
      <c r="F23" s="148"/>
    </row>
    <row r="24" spans="1:6" ht="15">
      <c r="A24" s="323" t="s">
        <v>754</v>
      </c>
      <c r="B24" s="324"/>
      <c r="C24" s="141"/>
      <c r="D24" s="141"/>
      <c r="E24" s="141"/>
      <c r="F24" s="142"/>
    </row>
    <row r="25" spans="1:6" ht="60">
      <c r="A25" s="142"/>
      <c r="B25" s="324"/>
      <c r="C25" s="141"/>
      <c r="D25" s="141"/>
      <c r="E25" s="141"/>
      <c r="F25" s="53" t="s">
        <v>628</v>
      </c>
    </row>
    <row r="26" spans="1:6" ht="15">
      <c r="A26" s="325"/>
      <c r="B26" s="139" t="s">
        <v>23</v>
      </c>
      <c r="C26" s="140" t="s">
        <v>24</v>
      </c>
      <c r="D26" s="140" t="s">
        <v>54</v>
      </c>
      <c r="E26" s="141"/>
      <c r="F26" s="142"/>
    </row>
    <row r="27" spans="1:6" ht="15">
      <c r="A27" s="326" t="s">
        <v>96</v>
      </c>
      <c r="B27" s="327">
        <f>dishwasher_freq_low</f>
        <v>1</v>
      </c>
      <c r="C27" s="79">
        <f>Dishwasher_freq_high</f>
        <v>10</v>
      </c>
      <c r="D27" s="79">
        <f>Dishwasher_freq_med</f>
        <v>5</v>
      </c>
      <c r="E27" s="78" t="s">
        <v>84</v>
      </c>
      <c r="F27" s="81" t="s">
        <v>82</v>
      </c>
    </row>
    <row r="28" spans="1:6" ht="15">
      <c r="A28" s="326" t="s">
        <v>104</v>
      </c>
      <c r="B28" s="327">
        <f>Dishwasher_energy_low</f>
        <v>0.5</v>
      </c>
      <c r="C28" s="79">
        <f>Dishwasher_energy_high</f>
        <v>2</v>
      </c>
      <c r="D28" s="79">
        <f>Dishwasher_energy_med</f>
        <v>1.2</v>
      </c>
      <c r="E28" s="78" t="s">
        <v>85</v>
      </c>
      <c r="F28" s="81" t="s">
        <v>629</v>
      </c>
    </row>
    <row r="29" spans="1:6" ht="15">
      <c r="A29" s="326" t="s">
        <v>105</v>
      </c>
      <c r="B29" s="327">
        <f>Dishwasher_energy_low</f>
        <v>0.5</v>
      </c>
      <c r="C29" s="327">
        <f>Dishwasher_energy_low</f>
        <v>0.5</v>
      </c>
      <c r="D29" s="327">
        <f>Dishwasher_energy_low</f>
        <v>0.5</v>
      </c>
      <c r="E29" s="78" t="s">
        <v>85</v>
      </c>
      <c r="F29" s="81"/>
    </row>
    <row r="30" spans="1:6" ht="15">
      <c r="A30" s="328" t="s">
        <v>67</v>
      </c>
      <c r="B30" s="329">
        <f>(B28-B29)*B27*52</f>
        <v>0</v>
      </c>
      <c r="C30" s="300">
        <f>(C28-C29)*C27*52</f>
        <v>780</v>
      </c>
      <c r="D30" s="300">
        <f>(D28-D29)*D27*52</f>
        <v>182</v>
      </c>
      <c r="E30" s="145" t="s">
        <v>39</v>
      </c>
      <c r="F30" s="147"/>
    </row>
    <row r="31" spans="1:6" ht="15">
      <c r="A31" s="330"/>
      <c r="B31" s="331"/>
      <c r="C31" s="309"/>
      <c r="D31" s="309"/>
      <c r="E31" s="309"/>
      <c r="F31" s="311"/>
    </row>
    <row r="32" spans="1:6" ht="15">
      <c r="A32" s="325" t="s">
        <v>755</v>
      </c>
      <c r="B32" s="324"/>
      <c r="C32" s="141"/>
      <c r="D32" s="141"/>
      <c r="E32" s="141"/>
      <c r="F32" s="142"/>
    </row>
    <row r="33" spans="1:6" ht="30">
      <c r="A33" s="325"/>
      <c r="B33" s="324"/>
      <c r="C33" s="141"/>
      <c r="D33" s="141"/>
      <c r="E33" s="141"/>
      <c r="F33" s="142" t="s">
        <v>630</v>
      </c>
    </row>
    <row r="34" spans="1:6" ht="15">
      <c r="A34" s="325"/>
      <c r="B34" s="139" t="s">
        <v>23</v>
      </c>
      <c r="C34" s="140" t="s">
        <v>24</v>
      </c>
      <c r="D34" s="140" t="s">
        <v>54</v>
      </c>
      <c r="E34" s="141"/>
      <c r="F34" s="142"/>
    </row>
    <row r="35" spans="1:6" ht="15">
      <c r="A35" s="326" t="s">
        <v>86</v>
      </c>
      <c r="B35" s="327">
        <f>Dishwasher_energy_low</f>
        <v>0.5</v>
      </c>
      <c r="C35" s="79">
        <f>Dishwasher_energy_high</f>
        <v>2</v>
      </c>
      <c r="D35" s="79">
        <f>Dishwasher_energy_med</f>
        <v>1.2</v>
      </c>
      <c r="E35" s="78"/>
      <c r="F35" s="81"/>
    </row>
    <row r="36" spans="1:6" ht="15">
      <c r="A36" s="326" t="s">
        <v>83</v>
      </c>
      <c r="B36" s="327">
        <f>dishwasher_freq_low</f>
        <v>1</v>
      </c>
      <c r="C36" s="79">
        <f>Dishwasher_freq_high</f>
        <v>10</v>
      </c>
      <c r="D36" s="79">
        <f>Dishwasher_freq_med</f>
        <v>5</v>
      </c>
      <c r="E36" s="78" t="s">
        <v>84</v>
      </c>
      <c r="F36" s="81"/>
    </row>
    <row r="37" spans="1:6" ht="15">
      <c r="A37" s="326" t="s">
        <v>402</v>
      </c>
      <c r="B37" s="332">
        <f>B6</f>
        <v>0.6666666666666666</v>
      </c>
      <c r="C37" s="332">
        <f>C6</f>
        <v>6.666666666666667</v>
      </c>
      <c r="D37" s="332">
        <f>D6</f>
        <v>3.3333333333333335</v>
      </c>
      <c r="E37" s="78" t="s">
        <v>84</v>
      </c>
      <c r="F37" s="81"/>
    </row>
    <row r="38" spans="1:6" ht="30">
      <c r="A38" s="326" t="s">
        <v>404</v>
      </c>
      <c r="B38" s="333"/>
      <c r="C38" s="333"/>
      <c r="D38" s="63">
        <f>D8</f>
        <v>0.39</v>
      </c>
      <c r="E38" s="78"/>
      <c r="F38" s="81"/>
    </row>
    <row r="39" spans="1:6" ht="15">
      <c r="A39" s="326" t="s">
        <v>405</v>
      </c>
      <c r="B39" s="333"/>
      <c r="C39" s="333"/>
      <c r="D39" s="63">
        <f>D9</f>
        <v>0.23</v>
      </c>
      <c r="E39" s="78"/>
      <c r="F39" s="81"/>
    </row>
    <row r="40" spans="1:6" ht="15">
      <c r="A40" s="328" t="s">
        <v>67</v>
      </c>
      <c r="B40" s="334">
        <f>B35*(B36-B37)*52</f>
        <v>8.666666666666668</v>
      </c>
      <c r="C40" s="334">
        <f>C35*(C36-C37)*52</f>
        <v>346.66666666666663</v>
      </c>
      <c r="D40" s="334">
        <f>D35*(D36-D37)*52</f>
        <v>103.99999999999999</v>
      </c>
      <c r="E40" s="145" t="s">
        <v>39</v>
      </c>
      <c r="F40" s="147"/>
    </row>
    <row r="41" spans="1:6" ht="30">
      <c r="A41" s="328" t="s">
        <v>406</v>
      </c>
      <c r="B41" s="334"/>
      <c r="C41" s="334"/>
      <c r="D41" s="335">
        <f>D38*D39</f>
        <v>0.0897</v>
      </c>
      <c r="E41" s="145"/>
      <c r="F41" s="147"/>
    </row>
    <row r="42" spans="1:6" ht="15">
      <c r="A42" s="336"/>
      <c r="B42" s="337"/>
      <c r="C42" s="150"/>
      <c r="D42" s="150"/>
      <c r="E42" s="150"/>
      <c r="F42" s="148"/>
    </row>
    <row r="43" spans="1:6" ht="15">
      <c r="A43" s="323" t="s">
        <v>756</v>
      </c>
      <c r="B43" s="324"/>
      <c r="C43" s="141"/>
      <c r="D43" s="141"/>
      <c r="E43" s="141"/>
      <c r="F43" s="142"/>
    </row>
    <row r="44" spans="1:6" ht="45">
      <c r="A44" s="323"/>
      <c r="B44" s="324"/>
      <c r="C44" s="141"/>
      <c r="D44" s="141"/>
      <c r="E44" s="141"/>
      <c r="F44" s="142" t="s">
        <v>631</v>
      </c>
    </row>
    <row r="45" spans="1:6" ht="15">
      <c r="A45" s="325"/>
      <c r="B45" s="139" t="s">
        <v>23</v>
      </c>
      <c r="C45" s="140" t="s">
        <v>24</v>
      </c>
      <c r="D45" s="140" t="s">
        <v>54</v>
      </c>
      <c r="E45" s="141"/>
      <c r="F45" s="142"/>
    </row>
    <row r="46" spans="1:6" ht="15">
      <c r="A46" s="326" t="s">
        <v>96</v>
      </c>
      <c r="B46" s="327">
        <f aca="true" t="shared" si="0" ref="B46:D47">B10</f>
        <v>2</v>
      </c>
      <c r="C46" s="327">
        <f t="shared" si="0"/>
        <v>13</v>
      </c>
      <c r="D46" s="327">
        <f t="shared" si="0"/>
        <v>5</v>
      </c>
      <c r="E46" s="78" t="s">
        <v>84</v>
      </c>
      <c r="F46" s="81"/>
    </row>
    <row r="47" spans="1:6" ht="15">
      <c r="A47" s="326" t="s">
        <v>97</v>
      </c>
      <c r="B47" s="327">
        <f t="shared" si="0"/>
        <v>0.2</v>
      </c>
      <c r="C47" s="327">
        <f t="shared" si="0"/>
        <v>4</v>
      </c>
      <c r="D47" s="327">
        <f t="shared" si="0"/>
        <v>1.4</v>
      </c>
      <c r="E47" s="78" t="s">
        <v>98</v>
      </c>
      <c r="F47" s="81"/>
    </row>
    <row r="48" spans="1:6" ht="30">
      <c r="A48" s="326" t="s">
        <v>407</v>
      </c>
      <c r="B48" s="338"/>
      <c r="C48" s="338"/>
      <c r="D48" s="339">
        <f>D12</f>
        <v>0.58</v>
      </c>
      <c r="E48" s="78"/>
      <c r="F48" s="81"/>
    </row>
    <row r="49" spans="1:6" ht="30">
      <c r="A49" s="326" t="s">
        <v>408</v>
      </c>
      <c r="B49" s="338"/>
      <c r="C49" s="338"/>
      <c r="D49" s="339">
        <f>D13</f>
        <v>0.5</v>
      </c>
      <c r="E49" s="78"/>
      <c r="F49" s="81"/>
    </row>
    <row r="50" spans="1:6" ht="15">
      <c r="A50" s="328" t="s">
        <v>67</v>
      </c>
      <c r="B50" s="329">
        <f>B46*B47*52</f>
        <v>20.8</v>
      </c>
      <c r="C50" s="340">
        <f>C46*C47*52</f>
        <v>2704</v>
      </c>
      <c r="D50" s="329">
        <f>D46*D47*52</f>
        <v>364</v>
      </c>
      <c r="E50" s="145" t="s">
        <v>39</v>
      </c>
      <c r="F50" s="147"/>
    </row>
    <row r="51" spans="1:6" ht="30">
      <c r="A51" s="328" t="s">
        <v>406</v>
      </c>
      <c r="B51" s="341"/>
      <c r="C51" s="341"/>
      <c r="D51" s="342">
        <f>D48*D49</f>
        <v>0.29</v>
      </c>
      <c r="E51" s="145"/>
      <c r="F51" s="147"/>
    </row>
    <row r="52" spans="1:6" ht="15">
      <c r="A52" s="148"/>
      <c r="B52" s="337"/>
      <c r="C52" s="150"/>
      <c r="D52" s="150"/>
      <c r="E52" s="150"/>
      <c r="F52" s="148"/>
    </row>
    <row r="53" spans="1:6" ht="15">
      <c r="A53" s="325" t="s">
        <v>757</v>
      </c>
      <c r="B53" s="324"/>
      <c r="C53" s="141"/>
      <c r="D53" s="141"/>
      <c r="E53" s="141"/>
      <c r="F53" s="142"/>
    </row>
    <row r="54" spans="1:6" ht="60">
      <c r="A54" s="325"/>
      <c r="B54" s="324"/>
      <c r="C54" s="141"/>
      <c r="D54" s="141"/>
      <c r="E54" s="141"/>
      <c r="F54" s="142" t="s">
        <v>632</v>
      </c>
    </row>
    <row r="55" spans="1:6" ht="15">
      <c r="A55" s="325"/>
      <c r="B55" s="139" t="s">
        <v>23</v>
      </c>
      <c r="C55" s="140" t="s">
        <v>24</v>
      </c>
      <c r="D55" s="140" t="s">
        <v>54</v>
      </c>
      <c r="E55" s="141"/>
      <c r="F55" s="142"/>
    </row>
    <row r="56" spans="1:6" ht="30">
      <c r="A56" s="21" t="s">
        <v>99</v>
      </c>
      <c r="B56" s="62">
        <f aca="true" t="shared" si="1" ref="B56:D58">B15</f>
        <v>1</v>
      </c>
      <c r="C56" s="62">
        <f t="shared" si="1"/>
        <v>7</v>
      </c>
      <c r="D56" s="62">
        <f t="shared" si="1"/>
        <v>3</v>
      </c>
      <c r="E56" s="22" t="s">
        <v>84</v>
      </c>
      <c r="F56" s="21"/>
    </row>
    <row r="57" spans="1:6" ht="15">
      <c r="A57" s="21" t="s">
        <v>100</v>
      </c>
      <c r="B57" s="62">
        <f t="shared" si="1"/>
        <v>0.5</v>
      </c>
      <c r="C57" s="62">
        <f t="shared" si="1"/>
        <v>1.5</v>
      </c>
      <c r="D57" s="62">
        <f t="shared" si="1"/>
        <v>0.75</v>
      </c>
      <c r="E57" s="22" t="s">
        <v>85</v>
      </c>
      <c r="F57" s="21"/>
    </row>
    <row r="58" spans="1:6" ht="15">
      <c r="A58" s="21" t="s">
        <v>101</v>
      </c>
      <c r="B58" s="62">
        <f t="shared" si="1"/>
        <v>0.1</v>
      </c>
      <c r="C58" s="62">
        <f t="shared" si="1"/>
        <v>0.5</v>
      </c>
      <c r="D58" s="62">
        <f t="shared" si="1"/>
        <v>0.3</v>
      </c>
      <c r="E58" s="22" t="s">
        <v>85</v>
      </c>
      <c r="F58" s="21"/>
    </row>
    <row r="59" spans="1:6" ht="15">
      <c r="A59" s="27" t="s">
        <v>67</v>
      </c>
      <c r="B59" s="31">
        <f>B56*(B57-B58)*52</f>
        <v>20.8</v>
      </c>
      <c r="C59" s="31">
        <f>C56*(C57-C58)*52</f>
        <v>364</v>
      </c>
      <c r="D59" s="31">
        <f>D56*(D57-D58)*52</f>
        <v>70.2</v>
      </c>
      <c r="E59" s="26" t="s">
        <v>39</v>
      </c>
      <c r="F59" s="27"/>
    </row>
    <row r="60" spans="1:6" ht="15">
      <c r="A60" s="13"/>
      <c r="B60" s="8"/>
      <c r="C60" s="8"/>
      <c r="D60" s="8"/>
      <c r="E60" s="8"/>
      <c r="F60" s="13"/>
    </row>
    <row r="61" spans="1:6" s="179" customFormat="1" ht="15">
      <c r="A61" s="13"/>
      <c r="B61" s="8"/>
      <c r="C61" s="8"/>
      <c r="D61" s="8"/>
      <c r="E61" s="8"/>
      <c r="F61" s="13"/>
    </row>
    <row r="62" spans="1:6" ht="21">
      <c r="A62" s="196" t="s">
        <v>460</v>
      </c>
      <c r="B62" s="193"/>
      <c r="C62" s="193"/>
      <c r="D62" s="193"/>
      <c r="E62" s="193"/>
      <c r="F62" s="194"/>
    </row>
    <row r="63" spans="1:6" ht="15">
      <c r="A63" s="194"/>
      <c r="B63" s="193"/>
      <c r="C63" s="193"/>
      <c r="D63" s="193"/>
      <c r="E63" s="193"/>
      <c r="F63" s="194"/>
    </row>
    <row r="64" spans="1:6" ht="30" customHeight="1">
      <c r="A64" s="480" t="s">
        <v>471</v>
      </c>
      <c r="B64" s="480"/>
      <c r="C64" s="480"/>
      <c r="D64" s="480"/>
      <c r="E64" s="480"/>
      <c r="F64" s="480"/>
    </row>
    <row r="65" spans="1:6" ht="16.5" customHeight="1">
      <c r="A65" s="194"/>
      <c r="B65" s="193"/>
      <c r="C65" s="193"/>
      <c r="D65" s="193"/>
      <c r="E65" s="193"/>
      <c r="F65" s="194"/>
    </row>
    <row r="66" spans="1:6" ht="30" customHeight="1">
      <c r="A66" s="472" t="s">
        <v>470</v>
      </c>
      <c r="B66" s="472"/>
      <c r="C66" s="472"/>
      <c r="D66" s="472"/>
      <c r="E66" s="472"/>
      <c r="F66" s="472"/>
    </row>
    <row r="67" spans="1:6" ht="18" customHeight="1">
      <c r="A67" s="197"/>
      <c r="B67" s="197"/>
      <c r="C67" s="197"/>
      <c r="D67" s="197"/>
      <c r="E67" s="197"/>
      <c r="F67" s="197"/>
    </row>
    <row r="68" spans="1:6" ht="30" customHeight="1">
      <c r="A68" s="480" t="s">
        <v>633</v>
      </c>
      <c r="B68" s="480"/>
      <c r="C68" s="480"/>
      <c r="D68" s="480"/>
      <c r="E68" s="480"/>
      <c r="F68" s="480"/>
    </row>
    <row r="69" spans="1:6" ht="15">
      <c r="A69" s="194"/>
      <c r="B69" s="193"/>
      <c r="C69" s="193"/>
      <c r="D69" s="193"/>
      <c r="E69" s="193"/>
      <c r="F69" s="194"/>
    </row>
  </sheetData>
  <sheetProtection/>
  <mergeCells count="3">
    <mergeCell ref="A64:F64"/>
    <mergeCell ref="A68:F68"/>
    <mergeCell ref="A66:F66"/>
  </mergeCells>
  <printOptions/>
  <pageMargins left="0.7500000000000001" right="0.7500000000000001"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N86"/>
  <sheetViews>
    <sheetView zoomScalePageLayoutView="0" workbookViewId="0" topLeftCell="A1">
      <selection activeCell="A56" sqref="A56"/>
    </sheetView>
  </sheetViews>
  <sheetFormatPr defaultColWidth="11.421875" defaultRowHeight="15"/>
  <cols>
    <col min="1" max="1" width="36.8515625" style="4" customWidth="1"/>
    <col min="2" max="4" width="11.421875" style="4" customWidth="1"/>
    <col min="5" max="5" width="12.421875" style="4" customWidth="1"/>
    <col min="6" max="6" width="60.00390625" style="71" customWidth="1"/>
    <col min="7" max="16384" width="11.421875" style="4" customWidth="1"/>
  </cols>
  <sheetData>
    <row r="1" ht="23.25">
      <c r="A1" s="33" t="s">
        <v>320</v>
      </c>
    </row>
    <row r="2" ht="21">
      <c r="A2" s="3" t="s">
        <v>66</v>
      </c>
    </row>
    <row r="4" spans="1:6" ht="15">
      <c r="A4" s="5"/>
      <c r="B4" s="5"/>
      <c r="C4" s="5"/>
      <c r="D4" s="5"/>
      <c r="E4" s="5"/>
      <c r="F4" s="73"/>
    </row>
    <row r="5" spans="1:6" ht="60">
      <c r="A5" s="76" t="s">
        <v>316</v>
      </c>
      <c r="B5" s="24" t="s">
        <v>1</v>
      </c>
      <c r="C5" s="24" t="s">
        <v>2</v>
      </c>
      <c r="D5" s="24" t="s">
        <v>69</v>
      </c>
      <c r="E5" s="9"/>
      <c r="F5" s="10" t="s">
        <v>651</v>
      </c>
    </row>
    <row r="6" spans="1:6" ht="15">
      <c r="A6" s="76"/>
      <c r="B6" s="24"/>
      <c r="C6" s="24"/>
      <c r="D6" s="24"/>
      <c r="E6" s="9"/>
      <c r="F6" s="10"/>
    </row>
    <row r="7" spans="1:6" ht="30">
      <c r="A7" s="77" t="s">
        <v>380</v>
      </c>
      <c r="B7" s="35">
        <v>8000</v>
      </c>
      <c r="C7" s="35">
        <v>8500</v>
      </c>
      <c r="D7" s="35">
        <v>8100</v>
      </c>
      <c r="E7" s="22" t="s">
        <v>309</v>
      </c>
      <c r="F7" s="70" t="s">
        <v>463</v>
      </c>
    </row>
    <row r="8" spans="1:14" ht="75.75" customHeight="1">
      <c r="A8" s="70" t="s">
        <v>310</v>
      </c>
      <c r="B8" s="36">
        <v>0.05</v>
      </c>
      <c r="C8" s="36">
        <v>0.3</v>
      </c>
      <c r="D8" s="36">
        <v>0.15</v>
      </c>
      <c r="E8" s="22" t="s">
        <v>103</v>
      </c>
      <c r="F8" s="181" t="s">
        <v>737</v>
      </c>
      <c r="G8" s="481"/>
      <c r="H8" s="482"/>
      <c r="I8" s="482"/>
      <c r="J8" s="482"/>
      <c r="K8" s="482"/>
      <c r="L8" s="482"/>
      <c r="M8" s="482"/>
      <c r="N8" s="482"/>
    </row>
    <row r="9" spans="1:14" ht="15">
      <c r="A9" s="70"/>
      <c r="B9" s="35"/>
      <c r="C9" s="35"/>
      <c r="D9" s="35"/>
      <c r="E9" s="22"/>
      <c r="F9" s="77"/>
      <c r="G9" s="482"/>
      <c r="H9" s="482"/>
      <c r="I9" s="482"/>
      <c r="J9" s="482"/>
      <c r="K9" s="482"/>
      <c r="L9" s="482"/>
      <c r="M9" s="482"/>
      <c r="N9" s="482"/>
    </row>
    <row r="10" spans="1:6" ht="15">
      <c r="A10" s="70" t="s">
        <v>311</v>
      </c>
      <c r="B10" s="35"/>
      <c r="C10" s="35"/>
      <c r="D10" s="35">
        <v>25.36</v>
      </c>
      <c r="E10" s="22" t="s">
        <v>266</v>
      </c>
      <c r="F10" s="77" t="s">
        <v>481</v>
      </c>
    </row>
    <row r="11" spans="1:6" ht="15">
      <c r="A11" s="70" t="s">
        <v>110</v>
      </c>
      <c r="B11" s="35"/>
      <c r="C11" s="35"/>
      <c r="D11" s="36">
        <v>0.97</v>
      </c>
      <c r="E11" s="22"/>
      <c r="F11" s="70" t="s">
        <v>461</v>
      </c>
    </row>
    <row r="12" spans="1:6" s="5" customFormat="1" ht="15">
      <c r="A12" s="70"/>
      <c r="B12" s="35"/>
      <c r="C12" s="35"/>
      <c r="D12" s="36"/>
      <c r="E12" s="22"/>
      <c r="F12" s="70"/>
    </row>
    <row r="13" spans="1:6" ht="15">
      <c r="A13" s="73"/>
      <c r="B13" s="74"/>
      <c r="C13" s="74"/>
      <c r="D13" s="75"/>
      <c r="E13" s="5"/>
      <c r="F13" s="73"/>
    </row>
    <row r="14" spans="1:6" ht="15">
      <c r="A14" s="72" t="s">
        <v>317</v>
      </c>
      <c r="B14" s="24" t="s">
        <v>1</v>
      </c>
      <c r="C14" s="24" t="s">
        <v>2</v>
      </c>
      <c r="D14" s="24" t="s">
        <v>69</v>
      </c>
      <c r="E14" s="9"/>
      <c r="F14" s="10"/>
    </row>
    <row r="15" spans="1:6" s="37" customFormat="1" ht="45" customHeight="1">
      <c r="A15" s="81" t="s">
        <v>294</v>
      </c>
      <c r="B15" s="343">
        <f>D15/2</f>
        <v>268.5</v>
      </c>
      <c r="C15" s="343">
        <f>D15*2</f>
        <v>1074</v>
      </c>
      <c r="D15" s="343">
        <v>537</v>
      </c>
      <c r="E15" s="78" t="s">
        <v>39</v>
      </c>
      <c r="F15" s="81" t="s">
        <v>690</v>
      </c>
    </row>
    <row r="16" spans="1:6" ht="15">
      <c r="A16" s="81" t="s">
        <v>296</v>
      </c>
      <c r="B16" s="344">
        <v>0.5</v>
      </c>
      <c r="C16" s="344">
        <v>0.9</v>
      </c>
      <c r="D16" s="344">
        <v>0.75</v>
      </c>
      <c r="E16" s="78"/>
      <c r="F16" s="81" t="s">
        <v>111</v>
      </c>
    </row>
    <row r="17" spans="1:6" ht="15">
      <c r="A17" s="81" t="s">
        <v>298</v>
      </c>
      <c r="B17" s="223">
        <v>0.5</v>
      </c>
      <c r="C17" s="223">
        <v>1</v>
      </c>
      <c r="D17" s="345">
        <v>0.5</v>
      </c>
      <c r="E17" s="78"/>
      <c r="F17" s="81" t="s">
        <v>464</v>
      </c>
    </row>
    <row r="18" spans="1:6" ht="15">
      <c r="A18" s="81" t="s">
        <v>299</v>
      </c>
      <c r="B18" s="223">
        <v>5</v>
      </c>
      <c r="C18" s="223">
        <v>10</v>
      </c>
      <c r="D18" s="224">
        <v>7</v>
      </c>
      <c r="E18" s="78"/>
      <c r="F18" s="81" t="s">
        <v>111</v>
      </c>
    </row>
    <row r="19" spans="1:6" ht="15">
      <c r="A19" s="81" t="s">
        <v>312</v>
      </c>
      <c r="B19" s="223">
        <v>1</v>
      </c>
      <c r="C19" s="223">
        <v>3</v>
      </c>
      <c r="D19" s="224">
        <v>2</v>
      </c>
      <c r="E19" s="78"/>
      <c r="F19" s="81" t="s">
        <v>111</v>
      </c>
    </row>
    <row r="20" spans="1:6" ht="15">
      <c r="A20" s="81" t="s">
        <v>313</v>
      </c>
      <c r="B20" s="223">
        <v>12</v>
      </c>
      <c r="C20" s="223">
        <v>160</v>
      </c>
      <c r="D20" s="224">
        <v>76</v>
      </c>
      <c r="E20" s="78" t="s">
        <v>102</v>
      </c>
      <c r="F20" s="81" t="s">
        <v>689</v>
      </c>
    </row>
    <row r="21" spans="1:6" ht="15">
      <c r="A21" s="81" t="s">
        <v>314</v>
      </c>
      <c r="B21" s="223">
        <v>1</v>
      </c>
      <c r="C21" s="223">
        <v>3</v>
      </c>
      <c r="D21" s="224">
        <v>1</v>
      </c>
      <c r="E21" s="78" t="s">
        <v>103</v>
      </c>
      <c r="F21" s="81" t="s">
        <v>366</v>
      </c>
    </row>
    <row r="22" spans="1:6" ht="15">
      <c r="A22" s="81" t="s">
        <v>315</v>
      </c>
      <c r="B22" s="345">
        <v>0.1</v>
      </c>
      <c r="C22" s="345">
        <v>0.5</v>
      </c>
      <c r="D22" s="346">
        <v>0.2</v>
      </c>
      <c r="E22" s="78" t="s">
        <v>103</v>
      </c>
      <c r="F22" s="81" t="s">
        <v>366</v>
      </c>
    </row>
    <row r="23" spans="1:6" s="5" customFormat="1" ht="15">
      <c r="A23" s="294"/>
      <c r="B23" s="347"/>
      <c r="C23" s="347"/>
      <c r="D23" s="347"/>
      <c r="E23" s="347"/>
      <c r="F23" s="294"/>
    </row>
    <row r="24" spans="1:6" ht="21">
      <c r="A24" s="348" t="s">
        <v>26</v>
      </c>
      <c r="B24" s="309"/>
      <c r="C24" s="309"/>
      <c r="D24" s="309"/>
      <c r="E24" s="309"/>
      <c r="F24" s="311"/>
    </row>
    <row r="25" spans="1:6" ht="15">
      <c r="A25" s="309"/>
      <c r="B25" s="309"/>
      <c r="C25" s="309"/>
      <c r="D25" s="309"/>
      <c r="E25" s="309"/>
      <c r="F25" s="311"/>
    </row>
    <row r="26" spans="1:6" s="179" customFormat="1" ht="255">
      <c r="A26" s="323" t="s">
        <v>758</v>
      </c>
      <c r="B26" s="141"/>
      <c r="C26" s="141"/>
      <c r="D26" s="141"/>
      <c r="E26" s="141"/>
      <c r="F26" s="142" t="s">
        <v>740</v>
      </c>
    </row>
    <row r="27" spans="1:6" s="179" customFormat="1" ht="15">
      <c r="A27" s="323"/>
      <c r="B27" s="141"/>
      <c r="C27" s="141"/>
      <c r="D27" s="141"/>
      <c r="E27" s="141"/>
      <c r="F27" s="142"/>
    </row>
    <row r="28" spans="1:6" s="179" customFormat="1" ht="15">
      <c r="A28" s="325"/>
      <c r="B28" s="349" t="s">
        <v>23</v>
      </c>
      <c r="C28" s="350" t="s">
        <v>24</v>
      </c>
      <c r="D28" s="350" t="s">
        <v>54</v>
      </c>
      <c r="E28" s="141"/>
      <c r="F28" s="142"/>
    </row>
    <row r="29" spans="1:6" s="179" customFormat="1" ht="30">
      <c r="A29" s="457" t="str">
        <f aca="true" t="shared" si="0" ref="A29:D30">A7</f>
        <v>Energy consumption of TVs in UK*                                           (including multiple TVs in some homes)</v>
      </c>
      <c r="B29" s="457">
        <f t="shared" si="0"/>
        <v>8000</v>
      </c>
      <c r="C29" s="457">
        <f t="shared" si="0"/>
        <v>8500</v>
      </c>
      <c r="D29" s="457">
        <f t="shared" si="0"/>
        <v>8100</v>
      </c>
      <c r="E29" s="78" t="s">
        <v>309</v>
      </c>
      <c r="F29" s="457"/>
    </row>
    <row r="30" spans="1:6" s="179" customFormat="1" ht="15">
      <c r="A30" s="457" t="str">
        <f t="shared" si="0"/>
        <v>Proportion of time no-one watching TV</v>
      </c>
      <c r="B30" s="464">
        <f t="shared" si="0"/>
        <v>0.05</v>
      </c>
      <c r="C30" s="464">
        <f t="shared" si="0"/>
        <v>0.3</v>
      </c>
      <c r="D30" s="464">
        <f t="shared" si="0"/>
        <v>0.15</v>
      </c>
      <c r="E30" s="78"/>
      <c r="F30" s="457"/>
    </row>
    <row r="31" spans="1:6" s="179" customFormat="1" ht="15">
      <c r="A31" s="457" t="s">
        <v>741</v>
      </c>
      <c r="B31" s="297">
        <f>$D11</f>
        <v>0.97</v>
      </c>
      <c r="C31" s="297">
        <f>$D11</f>
        <v>0.97</v>
      </c>
      <c r="D31" s="297">
        <f>$D11</f>
        <v>0.97</v>
      </c>
      <c r="E31" s="78"/>
      <c r="F31" s="457"/>
    </row>
    <row r="32" spans="1:6" s="179" customFormat="1" ht="15">
      <c r="A32" s="457" t="s">
        <v>742</v>
      </c>
      <c r="B32" s="299">
        <v>25.36</v>
      </c>
      <c r="C32" s="299">
        <v>25.36</v>
      </c>
      <c r="D32" s="460">
        <v>25.36</v>
      </c>
      <c r="E32" s="78" t="s">
        <v>266</v>
      </c>
      <c r="F32" s="457"/>
    </row>
    <row r="33" spans="1:6" s="179" customFormat="1" ht="15">
      <c r="A33" s="459" t="s">
        <v>743</v>
      </c>
      <c r="B33" s="461">
        <f>B32*B31</f>
        <v>24.5992</v>
      </c>
      <c r="C33" s="461">
        <f>C32*C31</f>
        <v>24.5992</v>
      </c>
      <c r="D33" s="461">
        <f>D32*D31</f>
        <v>24.5992</v>
      </c>
      <c r="E33" s="145" t="s">
        <v>266</v>
      </c>
      <c r="F33" s="459"/>
    </row>
    <row r="34" spans="1:6" s="179" customFormat="1" ht="15">
      <c r="A34" s="459" t="s">
        <v>744</v>
      </c>
      <c r="B34" s="462">
        <f>B29/B33</f>
        <v>325.21382809197047</v>
      </c>
      <c r="C34" s="462">
        <f>C29/C33</f>
        <v>345.53969234771864</v>
      </c>
      <c r="D34" s="462">
        <f>D29/D33</f>
        <v>329.2790009431201</v>
      </c>
      <c r="E34" s="145" t="s">
        <v>745</v>
      </c>
      <c r="F34" s="459"/>
    </row>
    <row r="35" spans="1:6" s="179" customFormat="1" ht="15">
      <c r="A35" s="459" t="s">
        <v>67</v>
      </c>
      <c r="B35" s="353">
        <f>B30*B34</f>
        <v>16.260691404598525</v>
      </c>
      <c r="C35" s="353">
        <f>C30*C34</f>
        <v>103.6619077043156</v>
      </c>
      <c r="D35" s="353">
        <f>D30*D34</f>
        <v>49.39185014146801</v>
      </c>
      <c r="E35" s="145" t="s">
        <v>745</v>
      </c>
      <c r="F35" s="459"/>
    </row>
    <row r="36" spans="1:6" s="179" customFormat="1" ht="15">
      <c r="A36" s="459"/>
      <c r="B36" s="353"/>
      <c r="C36" s="353"/>
      <c r="D36" s="353"/>
      <c r="E36" s="145"/>
      <c r="F36" s="459"/>
    </row>
    <row r="37" spans="1:6" s="179" customFormat="1" ht="15">
      <c r="A37" s="347" t="s">
        <v>746</v>
      </c>
      <c r="B37" s="463"/>
      <c r="C37" s="463"/>
      <c r="D37" s="463"/>
      <c r="E37" s="347"/>
      <c r="F37" s="294"/>
    </row>
    <row r="38" spans="1:6" s="179" customFormat="1" ht="15">
      <c r="A38" s="309"/>
      <c r="B38" s="309"/>
      <c r="C38" s="309"/>
      <c r="D38" s="309"/>
      <c r="E38" s="309"/>
      <c r="F38" s="458"/>
    </row>
    <row r="39" spans="1:6" ht="15">
      <c r="A39" s="309"/>
      <c r="B39" s="309"/>
      <c r="C39" s="309"/>
      <c r="D39" s="309"/>
      <c r="E39" s="309"/>
      <c r="F39" s="311"/>
    </row>
    <row r="40" spans="1:6" ht="15">
      <c r="A40" s="307" t="s">
        <v>759</v>
      </c>
      <c r="B40" s="141"/>
      <c r="C40" s="141"/>
      <c r="D40" s="141"/>
      <c r="E40" s="141"/>
      <c r="F40" s="142"/>
    </row>
    <row r="41" spans="1:6" ht="105">
      <c r="A41" s="307"/>
      <c r="B41" s="141"/>
      <c r="C41" s="141"/>
      <c r="D41" s="141"/>
      <c r="E41" s="141"/>
      <c r="F41" s="142" t="s">
        <v>661</v>
      </c>
    </row>
    <row r="42" spans="1:6" ht="15">
      <c r="A42" s="325"/>
      <c r="B42" s="349" t="s">
        <v>23</v>
      </c>
      <c r="C42" s="350" t="s">
        <v>24</v>
      </c>
      <c r="D42" s="350" t="s">
        <v>54</v>
      </c>
      <c r="E42" s="141"/>
      <c r="F42" s="142"/>
    </row>
    <row r="43" spans="1:6" s="37" customFormat="1" ht="15">
      <c r="A43" s="78" t="s">
        <v>295</v>
      </c>
      <c r="B43" s="78">
        <f>B15</f>
        <v>268.5</v>
      </c>
      <c r="C43" s="354">
        <f>C15</f>
        <v>1074</v>
      </c>
      <c r="D43" s="78">
        <f>D15</f>
        <v>537</v>
      </c>
      <c r="E43" s="78" t="s">
        <v>39</v>
      </c>
      <c r="F43" s="81"/>
    </row>
    <row r="44" spans="1:6" s="5" customFormat="1" ht="15">
      <c r="A44" s="78" t="s">
        <v>296</v>
      </c>
      <c r="B44" s="351">
        <f>C16</f>
        <v>0.9</v>
      </c>
      <c r="C44" s="351">
        <f>B16</f>
        <v>0.5</v>
      </c>
      <c r="D44" s="351">
        <f>D16</f>
        <v>0.75</v>
      </c>
      <c r="E44" s="78"/>
      <c r="F44" s="81" t="s">
        <v>301</v>
      </c>
    </row>
    <row r="45" spans="1:6" s="138" customFormat="1" ht="15">
      <c r="A45" s="145" t="s">
        <v>297</v>
      </c>
      <c r="B45" s="352">
        <f>B43*(1-B44)</f>
        <v>26.849999999999994</v>
      </c>
      <c r="C45" s="352">
        <f>C43*(1-C44)</f>
        <v>537</v>
      </c>
      <c r="D45" s="352">
        <f>D43*(1-D44)</f>
        <v>134.25</v>
      </c>
      <c r="E45" s="145" t="s">
        <v>39</v>
      </c>
      <c r="F45" s="147"/>
    </row>
    <row r="46" spans="1:6" s="5" customFormat="1" ht="15">
      <c r="A46" s="309"/>
      <c r="B46" s="309"/>
      <c r="C46" s="309"/>
      <c r="D46" s="309"/>
      <c r="E46" s="309"/>
      <c r="F46" s="311"/>
    </row>
    <row r="47" spans="1:6" ht="15">
      <c r="A47" s="307" t="s">
        <v>760</v>
      </c>
      <c r="B47" s="141"/>
      <c r="C47" s="141"/>
      <c r="D47" s="141"/>
      <c r="E47" s="141"/>
      <c r="F47" s="142"/>
    </row>
    <row r="48" spans="1:6" ht="60">
      <c r="A48" s="307"/>
      <c r="B48" s="141"/>
      <c r="C48" s="141"/>
      <c r="D48" s="141"/>
      <c r="E48" s="141"/>
      <c r="F48" s="142" t="s">
        <v>652</v>
      </c>
    </row>
    <row r="49" spans="1:6" ht="15">
      <c r="A49" s="325"/>
      <c r="B49" s="349" t="s">
        <v>23</v>
      </c>
      <c r="C49" s="350" t="s">
        <v>24</v>
      </c>
      <c r="D49" s="350" t="s">
        <v>54</v>
      </c>
      <c r="E49" s="141"/>
      <c r="F49" s="142"/>
    </row>
    <row r="50" spans="1:6" ht="15">
      <c r="A50" s="78" t="s">
        <v>298</v>
      </c>
      <c r="B50" s="78">
        <f>C17</f>
        <v>1</v>
      </c>
      <c r="C50" s="78">
        <f>B17</f>
        <v>0.5</v>
      </c>
      <c r="D50" s="346">
        <f>D17</f>
        <v>0.5</v>
      </c>
      <c r="E50" s="78" t="s">
        <v>102</v>
      </c>
      <c r="F50" s="81" t="s">
        <v>300</v>
      </c>
    </row>
    <row r="51" spans="1:6" ht="15">
      <c r="A51" s="78" t="s">
        <v>303</v>
      </c>
      <c r="B51" s="78">
        <f>C18</f>
        <v>10</v>
      </c>
      <c r="C51" s="78">
        <f>B18</f>
        <v>5</v>
      </c>
      <c r="D51" s="355">
        <f>D18</f>
        <v>7</v>
      </c>
      <c r="E51" s="78"/>
      <c r="F51" s="81" t="s">
        <v>302</v>
      </c>
    </row>
    <row r="52" spans="1:6" ht="15">
      <c r="A52" s="145" t="s">
        <v>304</v>
      </c>
      <c r="B52" s="353">
        <f>B50*B51*24*365/1000</f>
        <v>87.6</v>
      </c>
      <c r="C52" s="353">
        <f>C50*C51*24*365/1000</f>
        <v>21.9</v>
      </c>
      <c r="D52" s="353">
        <f>D50*D51*24*365/1000</f>
        <v>30.66</v>
      </c>
      <c r="E52" s="145" t="s">
        <v>39</v>
      </c>
      <c r="F52" s="147"/>
    </row>
    <row r="53" spans="1:6" s="37" customFormat="1" ht="15">
      <c r="A53" s="145" t="s">
        <v>305</v>
      </c>
      <c r="B53" s="353">
        <f>B45-B52</f>
        <v>-60.75</v>
      </c>
      <c r="C53" s="353">
        <f>C45-C52</f>
        <v>515.1</v>
      </c>
      <c r="D53" s="353">
        <f>D45-D52</f>
        <v>103.59</v>
      </c>
      <c r="E53" s="145" t="s">
        <v>306</v>
      </c>
      <c r="F53" s="456" t="s">
        <v>738</v>
      </c>
    </row>
    <row r="54" spans="1:6" ht="15">
      <c r="A54" s="309"/>
      <c r="B54" s="309"/>
      <c r="C54" s="309"/>
      <c r="D54" s="309"/>
      <c r="E54" s="309"/>
      <c r="F54" s="311"/>
    </row>
    <row r="55" spans="1:6" ht="15">
      <c r="A55" s="307" t="s">
        <v>761</v>
      </c>
      <c r="B55" s="141"/>
      <c r="C55" s="141"/>
      <c r="D55" s="141"/>
      <c r="E55" s="141"/>
      <c r="F55" s="142"/>
    </row>
    <row r="56" spans="1:6" ht="15">
      <c r="A56" s="325"/>
      <c r="B56" s="349" t="s">
        <v>23</v>
      </c>
      <c r="C56" s="350" t="s">
        <v>24</v>
      </c>
      <c r="D56" s="350" t="s">
        <v>54</v>
      </c>
      <c r="E56" s="141"/>
      <c r="F56" s="142"/>
    </row>
    <row r="57" spans="1:6" ht="15">
      <c r="A57" s="78" t="s">
        <v>298</v>
      </c>
      <c r="B57" s="78">
        <f>C17</f>
        <v>1</v>
      </c>
      <c r="C57" s="78">
        <f>B17</f>
        <v>0.5</v>
      </c>
      <c r="D57" s="346">
        <f>D17</f>
        <v>0.5</v>
      </c>
      <c r="E57" s="78" t="s">
        <v>102</v>
      </c>
      <c r="F57" s="81" t="s">
        <v>300</v>
      </c>
    </row>
    <row r="58" spans="1:6" ht="15">
      <c r="A58" s="78" t="s">
        <v>307</v>
      </c>
      <c r="B58" s="78">
        <f>C19</f>
        <v>3</v>
      </c>
      <c r="C58" s="78">
        <f>B19</f>
        <v>1</v>
      </c>
      <c r="D58" s="78">
        <f>D19</f>
        <v>2</v>
      </c>
      <c r="E58" s="78"/>
      <c r="F58" s="81" t="s">
        <v>302</v>
      </c>
    </row>
    <row r="59" spans="1:6" ht="15">
      <c r="A59" s="78" t="str">
        <f>A21</f>
        <v>Time hall lights on without sensors</v>
      </c>
      <c r="B59" s="355">
        <f>B21</f>
        <v>1</v>
      </c>
      <c r="C59" s="355">
        <f>C21</f>
        <v>3</v>
      </c>
      <c r="D59" s="355">
        <f>D21</f>
        <v>1</v>
      </c>
      <c r="E59" s="78" t="s">
        <v>103</v>
      </c>
      <c r="F59" s="81"/>
    </row>
    <row r="60" spans="1:6" ht="15">
      <c r="A60" s="78" t="str">
        <f>A22</f>
        <v>Time hall lights on with sensors</v>
      </c>
      <c r="B60" s="78">
        <f>C22</f>
        <v>0.5</v>
      </c>
      <c r="C60" s="78">
        <f>B22</f>
        <v>0.1</v>
      </c>
      <c r="D60" s="346">
        <f>D22</f>
        <v>0.2</v>
      </c>
      <c r="E60" s="78" t="s">
        <v>103</v>
      </c>
      <c r="F60" s="81" t="s">
        <v>378</v>
      </c>
    </row>
    <row r="61" spans="1:6" s="37" customFormat="1" ht="15">
      <c r="A61" s="78" t="str">
        <f>A20</f>
        <v>Wattage for hall lights</v>
      </c>
      <c r="B61" s="78">
        <f>B20</f>
        <v>12</v>
      </c>
      <c r="C61" s="78">
        <f>C20</f>
        <v>160</v>
      </c>
      <c r="D61" s="78">
        <f>D20</f>
        <v>76</v>
      </c>
      <c r="E61" s="78" t="s">
        <v>102</v>
      </c>
      <c r="F61" s="81"/>
    </row>
    <row r="62" spans="1:6" ht="15">
      <c r="A62" s="145" t="s">
        <v>304</v>
      </c>
      <c r="B62" s="353">
        <f>B57*B58*24*365/1000</f>
        <v>26.28</v>
      </c>
      <c r="C62" s="353">
        <f>C57*C58*24*365/1000</f>
        <v>4.38</v>
      </c>
      <c r="D62" s="353">
        <f>D57*D58*24*365/1000</f>
        <v>8.76</v>
      </c>
      <c r="E62" s="145" t="s">
        <v>39</v>
      </c>
      <c r="F62" s="147"/>
    </row>
    <row r="63" spans="1:6" ht="15">
      <c r="A63" s="145" t="s">
        <v>308</v>
      </c>
      <c r="B63" s="353">
        <f>(B59-B60)*B61*365/1000</f>
        <v>2.19</v>
      </c>
      <c r="C63" s="353">
        <f>(C59-C60)*C61*365/1000</f>
        <v>169.36</v>
      </c>
      <c r="D63" s="353">
        <f>(D59-D60)*D61*365/1000</f>
        <v>22.192</v>
      </c>
      <c r="E63" s="145" t="s">
        <v>39</v>
      </c>
      <c r="F63" s="147"/>
    </row>
    <row r="64" spans="1:6" s="37" customFormat="1" ht="15">
      <c r="A64" s="145" t="s">
        <v>379</v>
      </c>
      <c r="B64" s="353">
        <f>B63-B62</f>
        <v>-24.09</v>
      </c>
      <c r="C64" s="353">
        <f>C63-C62</f>
        <v>164.98000000000002</v>
      </c>
      <c r="D64" s="353">
        <f>D63-D62</f>
        <v>13.432</v>
      </c>
      <c r="E64" s="145" t="s">
        <v>39</v>
      </c>
      <c r="F64" s="147"/>
    </row>
    <row r="66" s="179" customFormat="1" ht="15">
      <c r="F66" s="178"/>
    </row>
    <row r="67" spans="1:6" ht="21">
      <c r="A67" s="192" t="s">
        <v>460</v>
      </c>
      <c r="B67" s="193"/>
      <c r="C67" s="193"/>
      <c r="D67" s="193"/>
      <c r="E67" s="193"/>
      <c r="F67" s="194"/>
    </row>
    <row r="68" spans="1:6" ht="15">
      <c r="A68" s="193"/>
      <c r="B68" s="193"/>
      <c r="C68" s="193"/>
      <c r="D68" s="193"/>
      <c r="E68" s="193"/>
      <c r="F68" s="194"/>
    </row>
    <row r="69" spans="1:6" ht="30" customHeight="1">
      <c r="A69" s="480" t="s">
        <v>657</v>
      </c>
      <c r="B69" s="480"/>
      <c r="C69" s="480"/>
      <c r="D69" s="480"/>
      <c r="E69" s="480"/>
      <c r="F69" s="480"/>
    </row>
    <row r="70" spans="1:6" ht="15">
      <c r="A70" s="193"/>
      <c r="B70" s="193"/>
      <c r="C70" s="193"/>
      <c r="D70" s="193"/>
      <c r="E70" s="193"/>
      <c r="F70" s="194"/>
    </row>
    <row r="71" spans="1:6" ht="45" customHeight="1">
      <c r="A71" s="472" t="s">
        <v>658</v>
      </c>
      <c r="B71" s="472"/>
      <c r="C71" s="472"/>
      <c r="D71" s="472"/>
      <c r="E71" s="472"/>
      <c r="F71" s="472"/>
    </row>
    <row r="72" spans="1:6" ht="15">
      <c r="A72" s="193"/>
      <c r="B72" s="193"/>
      <c r="C72" s="193"/>
      <c r="D72" s="193"/>
      <c r="E72" s="193"/>
      <c r="F72" s="194"/>
    </row>
    <row r="73" spans="1:6" ht="28.5" customHeight="1">
      <c r="A73" s="480" t="s">
        <v>659</v>
      </c>
      <c r="B73" s="480"/>
      <c r="C73" s="480"/>
      <c r="D73" s="480"/>
      <c r="E73" s="480"/>
      <c r="F73" s="480"/>
    </row>
    <row r="74" spans="1:6" ht="15">
      <c r="A74" s="193"/>
      <c r="B74" s="193"/>
      <c r="C74" s="193"/>
      <c r="D74" s="193"/>
      <c r="E74" s="193"/>
      <c r="F74" s="194"/>
    </row>
    <row r="75" spans="1:6" ht="30" customHeight="1">
      <c r="A75" s="480" t="s">
        <v>656</v>
      </c>
      <c r="B75" s="480"/>
      <c r="C75" s="480"/>
      <c r="D75" s="480"/>
      <c r="E75" s="480"/>
      <c r="F75" s="480"/>
    </row>
    <row r="76" spans="1:6" ht="15">
      <c r="A76" s="193"/>
      <c r="B76" s="193"/>
      <c r="C76" s="193"/>
      <c r="D76" s="193"/>
      <c r="E76" s="193"/>
      <c r="F76" s="194"/>
    </row>
    <row r="77" spans="1:6" ht="30" customHeight="1">
      <c r="A77" s="480" t="s">
        <v>660</v>
      </c>
      <c r="B77" s="480"/>
      <c r="C77" s="480"/>
      <c r="D77" s="480"/>
      <c r="E77" s="480"/>
      <c r="F77" s="480"/>
    </row>
    <row r="78" spans="1:6" ht="15">
      <c r="A78" s="193"/>
      <c r="B78" s="193"/>
      <c r="C78" s="193"/>
      <c r="D78" s="193"/>
      <c r="E78" s="193"/>
      <c r="F78" s="194"/>
    </row>
    <row r="79" spans="1:6" ht="15">
      <c r="A79" s="483" t="s">
        <v>574</v>
      </c>
      <c r="B79" s="483"/>
      <c r="C79" s="483"/>
      <c r="D79" s="483"/>
      <c r="E79" s="483"/>
      <c r="F79" s="483"/>
    </row>
    <row r="80" spans="1:6" ht="15">
      <c r="A80" s="193"/>
      <c r="B80" s="193"/>
      <c r="C80" s="193"/>
      <c r="D80" s="193"/>
      <c r="E80" s="193"/>
      <c r="F80" s="194"/>
    </row>
    <row r="81" spans="1:6" ht="30" customHeight="1">
      <c r="A81" s="472" t="s">
        <v>655</v>
      </c>
      <c r="B81" s="472"/>
      <c r="C81" s="472"/>
      <c r="D81" s="472"/>
      <c r="E81" s="472"/>
      <c r="F81" s="472"/>
    </row>
    <row r="82" spans="1:6" ht="15">
      <c r="A82" s="193"/>
      <c r="B82" s="193"/>
      <c r="C82" s="193"/>
      <c r="D82" s="193"/>
      <c r="E82" s="193"/>
      <c r="F82" s="194"/>
    </row>
    <row r="83" spans="1:6" ht="15">
      <c r="A83" s="484" t="s">
        <v>654</v>
      </c>
      <c r="B83" s="484"/>
      <c r="C83" s="484"/>
      <c r="D83" s="484"/>
      <c r="E83" s="484"/>
      <c r="F83" s="484"/>
    </row>
    <row r="84" spans="1:6" ht="15">
      <c r="A84" s="193"/>
      <c r="B84" s="193"/>
      <c r="C84" s="193"/>
      <c r="D84" s="193"/>
      <c r="E84" s="193"/>
      <c r="F84" s="194"/>
    </row>
    <row r="85" spans="1:6" ht="30" customHeight="1">
      <c r="A85" s="480" t="s">
        <v>653</v>
      </c>
      <c r="B85" s="480"/>
      <c r="C85" s="480"/>
      <c r="D85" s="480"/>
      <c r="E85" s="480"/>
      <c r="F85" s="480"/>
    </row>
    <row r="86" spans="1:6" ht="15">
      <c r="A86" s="193"/>
      <c r="B86" s="193"/>
      <c r="C86" s="193"/>
      <c r="D86" s="193"/>
      <c r="E86" s="193"/>
      <c r="F86" s="194"/>
    </row>
  </sheetData>
  <sheetProtection/>
  <mergeCells count="10">
    <mergeCell ref="G8:N9"/>
    <mergeCell ref="A77:F77"/>
    <mergeCell ref="A79:F79"/>
    <mergeCell ref="A81:F81"/>
    <mergeCell ref="A85:F85"/>
    <mergeCell ref="A83:F83"/>
    <mergeCell ref="A69:F69"/>
    <mergeCell ref="A73:F73"/>
    <mergeCell ref="A75:F75"/>
    <mergeCell ref="A71:F7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E317"/>
  <sheetViews>
    <sheetView zoomScalePageLayoutView="0" workbookViewId="0" topLeftCell="A1">
      <selection activeCell="B295" sqref="B295"/>
    </sheetView>
  </sheetViews>
  <sheetFormatPr defaultColWidth="10.8515625" defaultRowHeight="15"/>
  <cols>
    <col min="1" max="1" width="60.140625" style="6" customWidth="1"/>
    <col min="2" max="2" width="15.00390625" style="6" customWidth="1"/>
    <col min="3" max="4" width="10.8515625" style="6" customWidth="1"/>
    <col min="5" max="5" width="12.421875" style="6" customWidth="1"/>
    <col min="6" max="6" width="51.8515625" style="41" customWidth="1"/>
    <col min="7" max="16384" width="10.8515625" style="6" customWidth="1"/>
  </cols>
  <sheetData>
    <row r="1" spans="1:8" ht="23.25">
      <c r="A1" s="59" t="s">
        <v>201</v>
      </c>
      <c r="B1" s="58"/>
      <c r="C1" s="58"/>
      <c r="D1" s="58"/>
      <c r="E1" s="58"/>
      <c r="F1" s="15"/>
      <c r="G1" s="58"/>
      <c r="H1" s="58"/>
    </row>
    <row r="2" spans="1:8" ht="21">
      <c r="A2" s="60" t="s">
        <v>66</v>
      </c>
      <c r="B2" s="58"/>
      <c r="C2" s="58"/>
      <c r="D2" s="58"/>
      <c r="E2" s="58"/>
      <c r="F2" s="15"/>
      <c r="G2" s="58"/>
      <c r="H2" s="58"/>
    </row>
    <row r="3" spans="1:8" ht="15">
      <c r="A3" s="58"/>
      <c r="B3" s="58"/>
      <c r="C3" s="58"/>
      <c r="D3" s="58"/>
      <c r="E3" s="58"/>
      <c r="F3" s="15"/>
      <c r="G3" s="58"/>
      <c r="H3" s="58"/>
    </row>
    <row r="4" spans="1:8" ht="15" customHeight="1">
      <c r="A4" s="68"/>
      <c r="B4" s="69" t="s">
        <v>1</v>
      </c>
      <c r="C4" s="69" t="s">
        <v>2</v>
      </c>
      <c r="D4" s="69" t="s">
        <v>69</v>
      </c>
      <c r="E4" s="23"/>
      <c r="F4" s="44"/>
      <c r="G4" s="58"/>
      <c r="H4" s="58"/>
    </row>
    <row r="5" spans="1:8" ht="15" customHeight="1">
      <c r="A5" s="32"/>
      <c r="B5" s="62"/>
      <c r="C5" s="62"/>
      <c r="D5" s="62"/>
      <c r="E5" s="25"/>
      <c r="F5" s="30"/>
      <c r="G5" s="58"/>
      <c r="H5" s="220"/>
    </row>
    <row r="6" spans="1:8" s="123" customFormat="1" ht="15">
      <c r="A6" s="34" t="s">
        <v>118</v>
      </c>
      <c r="B6" s="356">
        <v>200</v>
      </c>
      <c r="C6" s="356">
        <v>800</v>
      </c>
      <c r="D6" s="356">
        <v>427</v>
      </c>
      <c r="E6" s="34" t="s">
        <v>39</v>
      </c>
      <c r="F6" s="357" t="s">
        <v>474</v>
      </c>
      <c r="G6" s="219"/>
      <c r="H6" s="219"/>
    </row>
    <row r="7" spans="1:8" s="123" customFormat="1" ht="30">
      <c r="A7" s="34" t="s">
        <v>424</v>
      </c>
      <c r="B7" s="339">
        <v>0.6</v>
      </c>
      <c r="C7" s="339">
        <v>0.8</v>
      </c>
      <c r="D7" s="339">
        <f>D8/(D8+D9)</f>
        <v>0.6753507014028056</v>
      </c>
      <c r="E7" s="34"/>
      <c r="F7" s="357" t="s">
        <v>475</v>
      </c>
      <c r="G7" s="219"/>
      <c r="H7" s="219"/>
    </row>
    <row r="8" spans="1:8" s="123" customFormat="1" ht="45">
      <c r="A8" s="34" t="s">
        <v>119</v>
      </c>
      <c r="B8" s="356">
        <v>130</v>
      </c>
      <c r="C8" s="358">
        <v>1000</v>
      </c>
      <c r="D8" s="356">
        <v>337</v>
      </c>
      <c r="E8" s="34" t="s">
        <v>39</v>
      </c>
      <c r="F8" s="357" t="s">
        <v>662</v>
      </c>
      <c r="G8" s="219"/>
      <c r="H8" s="219"/>
    </row>
    <row r="9" spans="1:8" s="123" customFormat="1" ht="15">
      <c r="A9" s="34" t="s">
        <v>117</v>
      </c>
      <c r="B9" s="356">
        <v>80</v>
      </c>
      <c r="C9" s="356">
        <v>300</v>
      </c>
      <c r="D9" s="356">
        <v>162</v>
      </c>
      <c r="E9" s="34" t="s">
        <v>39</v>
      </c>
      <c r="F9" s="357" t="s">
        <v>474</v>
      </c>
      <c r="G9" s="219"/>
      <c r="H9" s="219"/>
    </row>
    <row r="10" spans="1:8" ht="15">
      <c r="A10" s="34"/>
      <c r="B10" s="327"/>
      <c r="C10" s="327"/>
      <c r="D10" s="327"/>
      <c r="E10" s="144"/>
      <c r="F10" s="298"/>
      <c r="G10" s="58"/>
      <c r="H10" s="58"/>
    </row>
    <row r="11" spans="1:8" ht="30">
      <c r="A11" s="298" t="s">
        <v>169</v>
      </c>
      <c r="B11" s="327">
        <v>1</v>
      </c>
      <c r="C11" s="327">
        <v>3</v>
      </c>
      <c r="D11" s="333">
        <v>2</v>
      </c>
      <c r="E11" s="144"/>
      <c r="F11" s="298" t="s">
        <v>473</v>
      </c>
      <c r="G11" s="58"/>
      <c r="H11" s="58"/>
    </row>
    <row r="12" spans="1:8" ht="30">
      <c r="A12" s="144" t="s">
        <v>160</v>
      </c>
      <c r="B12" s="327">
        <v>90</v>
      </c>
      <c r="C12" s="327">
        <v>200</v>
      </c>
      <c r="D12" s="333">
        <v>110</v>
      </c>
      <c r="E12" s="144" t="s">
        <v>25</v>
      </c>
      <c r="F12" s="298" t="s">
        <v>663</v>
      </c>
      <c r="G12" s="58"/>
      <c r="H12" s="58"/>
    </row>
    <row r="13" spans="1:8" ht="15">
      <c r="A13" s="144"/>
      <c r="B13" s="327"/>
      <c r="C13" s="327"/>
      <c r="D13" s="333"/>
      <c r="E13" s="144"/>
      <c r="F13" s="298"/>
      <c r="G13" s="58"/>
      <c r="H13" s="58"/>
    </row>
    <row r="14" spans="1:8" ht="15">
      <c r="A14" s="34" t="s">
        <v>121</v>
      </c>
      <c r="B14" s="327">
        <v>5</v>
      </c>
      <c r="C14" s="327">
        <v>2</v>
      </c>
      <c r="D14" s="327">
        <v>4</v>
      </c>
      <c r="E14" s="144" t="s">
        <v>19</v>
      </c>
      <c r="F14" s="298"/>
      <c r="G14" s="58"/>
      <c r="H14" s="58"/>
    </row>
    <row r="15" spans="1:8" ht="15">
      <c r="A15" s="34" t="s">
        <v>122</v>
      </c>
      <c r="B15" s="327">
        <v>-16</v>
      </c>
      <c r="C15" s="327">
        <v>-20</v>
      </c>
      <c r="D15" s="327">
        <v>-18</v>
      </c>
      <c r="E15" s="144" t="s">
        <v>19</v>
      </c>
      <c r="F15" s="298"/>
      <c r="G15" s="58"/>
      <c r="H15" s="58"/>
    </row>
    <row r="16" spans="1:8" ht="15">
      <c r="A16" s="34" t="s">
        <v>144</v>
      </c>
      <c r="B16" s="327"/>
      <c r="C16" s="327"/>
      <c r="D16" s="327">
        <v>2</v>
      </c>
      <c r="E16" s="144" t="s">
        <v>19</v>
      </c>
      <c r="F16" s="298"/>
      <c r="G16" s="58"/>
      <c r="H16" s="58"/>
    </row>
    <row r="17" spans="1:8" ht="15">
      <c r="A17" s="34" t="s">
        <v>128</v>
      </c>
      <c r="B17" s="327"/>
      <c r="C17" s="327"/>
      <c r="D17" s="327">
        <v>-23</v>
      </c>
      <c r="E17" s="144" t="s">
        <v>19</v>
      </c>
      <c r="F17" s="298"/>
      <c r="G17" s="58"/>
      <c r="H17" s="58"/>
    </row>
    <row r="18" spans="1:8" ht="15">
      <c r="A18" s="34"/>
      <c r="B18" s="327"/>
      <c r="C18" s="327"/>
      <c r="D18" s="327"/>
      <c r="E18" s="144"/>
      <c r="F18" s="298"/>
      <c r="G18" s="58"/>
      <c r="H18" s="58"/>
    </row>
    <row r="19" spans="1:8" ht="15">
      <c r="A19" s="34" t="s">
        <v>673</v>
      </c>
      <c r="B19" s="327"/>
      <c r="C19" s="327"/>
      <c r="D19" s="63">
        <f>1/3</f>
        <v>0.3333333333333333</v>
      </c>
      <c r="E19" s="144"/>
      <c r="F19" s="298" t="s">
        <v>476</v>
      </c>
      <c r="G19" s="58"/>
      <c r="H19" s="58"/>
    </row>
    <row r="20" spans="1:8" ht="15">
      <c r="A20" s="34" t="s">
        <v>229</v>
      </c>
      <c r="B20" s="327"/>
      <c r="C20" s="327"/>
      <c r="D20" s="63">
        <f>2/3</f>
        <v>0.6666666666666666</v>
      </c>
      <c r="E20" s="144"/>
      <c r="F20" s="298" t="s">
        <v>231</v>
      </c>
      <c r="G20" s="58"/>
      <c r="H20" s="58"/>
    </row>
    <row r="21" spans="1:8" ht="15">
      <c r="A21" s="359" t="s">
        <v>230</v>
      </c>
      <c r="B21" s="327"/>
      <c r="C21" s="327"/>
      <c r="D21" s="63">
        <f>12/27</f>
        <v>0.4444444444444444</v>
      </c>
      <c r="E21" s="144"/>
      <c r="F21" s="298" t="s">
        <v>231</v>
      </c>
      <c r="G21" s="58"/>
      <c r="H21" s="58"/>
    </row>
    <row r="22" spans="1:8" ht="15">
      <c r="A22" s="359" t="s">
        <v>368</v>
      </c>
      <c r="B22" s="327"/>
      <c r="C22" s="327"/>
      <c r="D22" s="63">
        <v>0.1</v>
      </c>
      <c r="E22" s="144"/>
      <c r="F22" s="298" t="s">
        <v>111</v>
      </c>
      <c r="G22" s="58"/>
      <c r="H22" s="58"/>
    </row>
    <row r="23" spans="1:8" ht="15" customHeight="1">
      <c r="A23" s="360" t="s">
        <v>714</v>
      </c>
      <c r="B23" s="63">
        <v>0.2</v>
      </c>
      <c r="C23" s="63">
        <v>1</v>
      </c>
      <c r="D23" s="63">
        <v>0.3</v>
      </c>
      <c r="E23" s="144" t="s">
        <v>39</v>
      </c>
      <c r="F23" s="298" t="s">
        <v>111</v>
      </c>
      <c r="G23" s="58"/>
      <c r="H23" s="58"/>
    </row>
    <row r="24" spans="1:8" ht="15">
      <c r="A24" s="34" t="s">
        <v>369</v>
      </c>
      <c r="B24" s="327"/>
      <c r="C24" s="327"/>
      <c r="D24" s="63">
        <v>0.3</v>
      </c>
      <c r="E24" s="144"/>
      <c r="F24" s="298" t="s">
        <v>111</v>
      </c>
      <c r="G24" s="58"/>
      <c r="H24" s="58"/>
    </row>
    <row r="25" spans="1:8" ht="15">
      <c r="A25" s="34" t="s">
        <v>364</v>
      </c>
      <c r="B25" s="327"/>
      <c r="C25" s="327"/>
      <c r="D25" s="63">
        <v>0.2</v>
      </c>
      <c r="E25" s="144"/>
      <c r="F25" s="298" t="s">
        <v>111</v>
      </c>
      <c r="G25" s="58"/>
      <c r="H25" s="58"/>
    </row>
    <row r="26" spans="1:8" ht="15">
      <c r="A26" s="34"/>
      <c r="B26" s="327"/>
      <c r="C26" s="327"/>
      <c r="D26" s="327"/>
      <c r="E26" s="144"/>
      <c r="F26" s="298"/>
      <c r="G26" s="58"/>
      <c r="H26" s="58"/>
    </row>
    <row r="27" spans="1:8" ht="15">
      <c r="A27" s="34" t="s">
        <v>135</v>
      </c>
      <c r="B27" s="327">
        <v>17</v>
      </c>
      <c r="C27" s="327">
        <v>24</v>
      </c>
      <c r="D27" s="327">
        <v>20</v>
      </c>
      <c r="E27" s="144" t="s">
        <v>19</v>
      </c>
      <c r="F27" s="298" t="s">
        <v>111</v>
      </c>
      <c r="G27" s="58"/>
      <c r="H27" s="58"/>
    </row>
    <row r="28" spans="1:8" ht="15">
      <c r="A28" s="34" t="s">
        <v>194</v>
      </c>
      <c r="B28" s="63">
        <v>0.45</v>
      </c>
      <c r="C28" s="63">
        <v>0.7</v>
      </c>
      <c r="D28" s="63">
        <v>0.5</v>
      </c>
      <c r="E28" s="144"/>
      <c r="F28" s="298" t="s">
        <v>111</v>
      </c>
      <c r="G28" s="58"/>
      <c r="H28" s="58"/>
    </row>
    <row r="29" spans="1:8" ht="30">
      <c r="A29" s="34" t="s">
        <v>159</v>
      </c>
      <c r="B29" s="327">
        <v>1</v>
      </c>
      <c r="C29" s="327">
        <v>10</v>
      </c>
      <c r="D29" s="327">
        <v>3</v>
      </c>
      <c r="E29" s="144" t="s">
        <v>19</v>
      </c>
      <c r="F29" s="298" t="s">
        <v>664</v>
      </c>
      <c r="G29" s="58"/>
      <c r="H29" s="58"/>
    </row>
    <row r="30" spans="1:8" ht="45">
      <c r="A30" s="357" t="s">
        <v>120</v>
      </c>
      <c r="B30" s="333">
        <f>$D$27+B29</f>
        <v>21</v>
      </c>
      <c r="C30" s="333">
        <f>$D$27+C29</f>
        <v>30</v>
      </c>
      <c r="D30" s="333">
        <f>$D$27+D29</f>
        <v>23</v>
      </c>
      <c r="E30" s="144" t="s">
        <v>19</v>
      </c>
      <c r="F30" s="298" t="s">
        <v>206</v>
      </c>
      <c r="G30" s="58"/>
      <c r="H30" s="58"/>
    </row>
    <row r="31" spans="1:8" ht="15">
      <c r="A31" s="34"/>
      <c r="B31" s="327"/>
      <c r="C31" s="327"/>
      <c r="D31" s="327"/>
      <c r="E31" s="144"/>
      <c r="F31" s="298"/>
      <c r="G31" s="58"/>
      <c r="H31" s="58"/>
    </row>
    <row r="32" spans="1:8" ht="15">
      <c r="A32" s="34" t="s">
        <v>129</v>
      </c>
      <c r="B32" s="327">
        <v>10</v>
      </c>
      <c r="C32" s="327">
        <v>17</v>
      </c>
      <c r="D32" s="327">
        <v>15</v>
      </c>
      <c r="E32" s="144" t="s">
        <v>19</v>
      </c>
      <c r="F32" s="298" t="s">
        <v>111</v>
      </c>
      <c r="G32" s="58"/>
      <c r="H32" s="58"/>
    </row>
    <row r="33" spans="1:8" ht="15">
      <c r="A33" s="34" t="s">
        <v>665</v>
      </c>
      <c r="B33" s="327"/>
      <c r="C33" s="327"/>
      <c r="D33" s="63">
        <v>0.1</v>
      </c>
      <c r="E33" s="144"/>
      <c r="F33" s="298" t="s">
        <v>111</v>
      </c>
      <c r="G33" s="58"/>
      <c r="H33" s="58"/>
    </row>
    <row r="34" spans="1:8" ht="15">
      <c r="A34" s="34"/>
      <c r="B34" s="327"/>
      <c r="C34" s="327"/>
      <c r="D34" s="63"/>
      <c r="E34" s="144"/>
      <c r="F34" s="298"/>
      <c r="G34" s="58"/>
      <c r="H34" s="58"/>
    </row>
    <row r="35" spans="1:8" ht="15">
      <c r="A35" s="222"/>
      <c r="B35" s="361"/>
      <c r="C35" s="361"/>
      <c r="D35" s="361"/>
      <c r="E35" s="337"/>
      <c r="F35" s="303"/>
      <c r="G35" s="58"/>
      <c r="H35" s="58"/>
    </row>
    <row r="36" spans="1:8" ht="23.25">
      <c r="A36" s="362"/>
      <c r="B36" s="363" t="s">
        <v>1</v>
      </c>
      <c r="C36" s="363" t="s">
        <v>2</v>
      </c>
      <c r="D36" s="363" t="s">
        <v>69</v>
      </c>
      <c r="E36" s="324"/>
      <c r="F36" s="364"/>
      <c r="G36" s="58"/>
      <c r="H36" s="58"/>
    </row>
    <row r="37" spans="1:8" ht="30">
      <c r="A37" s="34" t="s">
        <v>116</v>
      </c>
      <c r="B37" s="332">
        <f>'Cooking Assumptions+Calcs'!B65/52</f>
        <v>1.1826923076923077</v>
      </c>
      <c r="C37" s="332">
        <f>'Cooking Assumptions+Calcs'!C65/52*1.5</f>
        <v>5.322115384615384</v>
      </c>
      <c r="D37" s="332">
        <f>'Cooking Assumptions+Calcs'!D65/52</f>
        <v>2.3653846153846154</v>
      </c>
      <c r="E37" s="144" t="s">
        <v>370</v>
      </c>
      <c r="F37" s="298" t="s">
        <v>666</v>
      </c>
      <c r="G37" s="58"/>
      <c r="H37" s="58"/>
    </row>
    <row r="38" spans="1:8" ht="15">
      <c r="A38" s="34" t="s">
        <v>127</v>
      </c>
      <c r="B38" s="327">
        <v>40</v>
      </c>
      <c r="C38" s="327">
        <v>70</v>
      </c>
      <c r="D38" s="327">
        <v>50</v>
      </c>
      <c r="E38" s="144" t="s">
        <v>19</v>
      </c>
      <c r="F38" s="298" t="s">
        <v>123</v>
      </c>
      <c r="G38" s="58"/>
      <c r="H38" s="58"/>
    </row>
    <row r="39" spans="1:8" ht="15">
      <c r="A39" s="34" t="s">
        <v>232</v>
      </c>
      <c r="B39" s="327"/>
      <c r="C39" s="327"/>
      <c r="D39" s="63">
        <v>0.3</v>
      </c>
      <c r="E39" s="144"/>
      <c r="F39" s="298" t="s">
        <v>123</v>
      </c>
      <c r="G39" s="58"/>
      <c r="H39" s="58"/>
    </row>
    <row r="40" spans="1:8" ht="15">
      <c r="A40" s="34"/>
      <c r="B40" s="327"/>
      <c r="C40" s="327"/>
      <c r="D40" s="327"/>
      <c r="E40" s="144"/>
      <c r="F40" s="298"/>
      <c r="G40" s="58"/>
      <c r="H40" s="58"/>
    </row>
    <row r="41" spans="1:8" ht="45">
      <c r="A41" s="34" t="s">
        <v>147</v>
      </c>
      <c r="B41" s="327">
        <v>0.05</v>
      </c>
      <c r="C41" s="327">
        <v>0.5</v>
      </c>
      <c r="D41" s="327">
        <v>0.1</v>
      </c>
      <c r="E41" s="144" t="s">
        <v>149</v>
      </c>
      <c r="F41" s="298" t="s">
        <v>150</v>
      </c>
      <c r="G41" s="58"/>
      <c r="H41" s="58"/>
    </row>
    <row r="42" spans="1:8" ht="15">
      <c r="A42" s="34" t="s">
        <v>228</v>
      </c>
      <c r="B42" s="327">
        <v>0.2</v>
      </c>
      <c r="C42" s="327">
        <v>1</v>
      </c>
      <c r="D42" s="327">
        <v>0.5</v>
      </c>
      <c r="E42" s="144" t="s">
        <v>149</v>
      </c>
      <c r="F42" s="298" t="s">
        <v>123</v>
      </c>
      <c r="G42" s="58"/>
      <c r="H42" s="58"/>
    </row>
    <row r="43" spans="1:8" ht="30">
      <c r="A43" s="34" t="s">
        <v>151</v>
      </c>
      <c r="B43" s="327">
        <v>0.25</v>
      </c>
      <c r="C43" s="327">
        <v>1</v>
      </c>
      <c r="D43" s="327">
        <v>0.4</v>
      </c>
      <c r="E43" s="144" t="s">
        <v>149</v>
      </c>
      <c r="F43" s="298" t="s">
        <v>157</v>
      </c>
      <c r="G43" s="58"/>
      <c r="H43" s="58"/>
    </row>
    <row r="44" spans="1:8" ht="15">
      <c r="A44" s="34" t="s">
        <v>148</v>
      </c>
      <c r="B44" s="327">
        <v>0.1</v>
      </c>
      <c r="C44" s="327">
        <v>0.5</v>
      </c>
      <c r="D44" s="327">
        <v>0.25</v>
      </c>
      <c r="E44" s="144" t="s">
        <v>149</v>
      </c>
      <c r="F44" s="298" t="s">
        <v>123</v>
      </c>
      <c r="G44" s="58"/>
      <c r="H44" s="58"/>
    </row>
    <row r="45" spans="1:8" ht="15">
      <c r="A45" s="34" t="s">
        <v>158</v>
      </c>
      <c r="B45" s="327">
        <v>35</v>
      </c>
      <c r="C45" s="327">
        <v>60</v>
      </c>
      <c r="D45" s="327">
        <v>40</v>
      </c>
      <c r="E45" s="144" t="s">
        <v>19</v>
      </c>
      <c r="F45" s="298" t="s">
        <v>123</v>
      </c>
      <c r="G45" s="58"/>
      <c r="H45" s="58"/>
    </row>
    <row r="46" spans="1:8" ht="15">
      <c r="A46" s="34"/>
      <c r="B46" s="327"/>
      <c r="C46" s="327"/>
      <c r="D46" s="327"/>
      <c r="E46" s="144"/>
      <c r="F46" s="298"/>
      <c r="G46" s="58"/>
      <c r="H46" s="58"/>
    </row>
    <row r="47" spans="1:8" ht="15">
      <c r="A47" s="34" t="s">
        <v>161</v>
      </c>
      <c r="B47" s="327">
        <v>10</v>
      </c>
      <c r="C47" s="327">
        <v>30</v>
      </c>
      <c r="D47" s="327">
        <v>20</v>
      </c>
      <c r="E47" s="144" t="s">
        <v>167</v>
      </c>
      <c r="F47" s="298" t="s">
        <v>111</v>
      </c>
      <c r="G47" s="58"/>
      <c r="H47" s="58"/>
    </row>
    <row r="48" spans="1:8" ht="15">
      <c r="A48" s="34" t="s">
        <v>373</v>
      </c>
      <c r="B48" s="327">
        <v>5</v>
      </c>
      <c r="C48" s="327">
        <v>15</v>
      </c>
      <c r="D48" s="327">
        <v>10</v>
      </c>
      <c r="E48" s="144" t="s">
        <v>167</v>
      </c>
      <c r="F48" s="298" t="s">
        <v>111</v>
      </c>
      <c r="G48" s="58"/>
      <c r="H48" s="58"/>
    </row>
    <row r="49" spans="1:8" ht="15">
      <c r="A49" s="34"/>
      <c r="B49" s="327"/>
      <c r="C49" s="327"/>
      <c r="D49" s="327"/>
      <c r="E49" s="144"/>
      <c r="F49" s="298"/>
      <c r="G49" s="58"/>
      <c r="H49" s="58"/>
    </row>
    <row r="50" spans="1:8" ht="15">
      <c r="A50" s="34" t="s">
        <v>233</v>
      </c>
      <c r="B50" s="327"/>
      <c r="C50" s="327"/>
      <c r="D50" s="63">
        <v>0.3</v>
      </c>
      <c r="E50" s="144"/>
      <c r="F50" s="298" t="s">
        <v>240</v>
      </c>
      <c r="G50" s="58"/>
      <c r="H50" s="58"/>
    </row>
    <row r="51" spans="1:8" ht="45">
      <c r="A51" s="34"/>
      <c r="B51" s="327"/>
      <c r="C51" s="327"/>
      <c r="D51" s="63"/>
      <c r="E51" s="144"/>
      <c r="F51" s="81" t="s">
        <v>241</v>
      </c>
      <c r="G51" s="58"/>
      <c r="H51" s="58"/>
    </row>
    <row r="52" spans="1:8" ht="15">
      <c r="A52" s="34" t="s">
        <v>234</v>
      </c>
      <c r="B52" s="327"/>
      <c r="C52" s="327"/>
      <c r="D52" s="63">
        <v>0.2</v>
      </c>
      <c r="E52" s="144"/>
      <c r="F52" s="298" t="s">
        <v>111</v>
      </c>
      <c r="G52" s="58"/>
      <c r="H52" s="58"/>
    </row>
    <row r="53" spans="1:8" ht="15">
      <c r="A53" s="34" t="s">
        <v>235</v>
      </c>
      <c r="B53" s="327"/>
      <c r="C53" s="327"/>
      <c r="D53" s="63">
        <v>0.8</v>
      </c>
      <c r="E53" s="144"/>
      <c r="F53" s="298" t="s">
        <v>111</v>
      </c>
      <c r="G53" s="58"/>
      <c r="H53" s="58"/>
    </row>
    <row r="54" spans="1:8" ht="15">
      <c r="A54" s="34" t="s">
        <v>236</v>
      </c>
      <c r="B54" s="327"/>
      <c r="C54" s="327"/>
      <c r="D54" s="63">
        <v>0.05</v>
      </c>
      <c r="E54" s="144"/>
      <c r="F54" s="298" t="s">
        <v>111</v>
      </c>
      <c r="G54" s="58"/>
      <c r="H54" s="58"/>
    </row>
    <row r="55" spans="1:8" ht="15">
      <c r="A55" s="34"/>
      <c r="B55" s="327"/>
      <c r="C55" s="327"/>
      <c r="D55" s="63"/>
      <c r="E55" s="144"/>
      <c r="F55" s="298"/>
      <c r="G55" s="58"/>
      <c r="H55" s="58"/>
    </row>
    <row r="56" spans="1:8" s="123" customFormat="1" ht="15">
      <c r="A56" s="34" t="s">
        <v>724</v>
      </c>
      <c r="B56" s="356">
        <v>2</v>
      </c>
      <c r="C56" s="356">
        <v>10</v>
      </c>
      <c r="D56" s="338">
        <v>5</v>
      </c>
      <c r="E56" s="34" t="s">
        <v>719</v>
      </c>
      <c r="F56" s="357" t="s">
        <v>111</v>
      </c>
      <c r="G56" s="219"/>
      <c r="H56" s="219"/>
    </row>
    <row r="57" spans="1:8" s="123" customFormat="1" ht="15">
      <c r="A57" s="34" t="s">
        <v>728</v>
      </c>
      <c r="B57" s="356">
        <v>0</v>
      </c>
      <c r="C57" s="356">
        <v>2</v>
      </c>
      <c r="D57" s="338">
        <v>1</v>
      </c>
      <c r="E57" s="34" t="s">
        <v>720</v>
      </c>
      <c r="F57" s="357" t="s">
        <v>111</v>
      </c>
      <c r="G57" s="219"/>
      <c r="H57" s="219"/>
    </row>
    <row r="58" spans="1:6" s="131" customFormat="1" ht="45">
      <c r="A58" s="95" t="s">
        <v>318</v>
      </c>
      <c r="B58" s="444">
        <v>4</v>
      </c>
      <c r="C58" s="444">
        <f>D58*1.3</f>
        <v>7.800000000000001</v>
      </c>
      <c r="D58" s="444">
        <v>6</v>
      </c>
      <c r="E58" s="95" t="s">
        <v>319</v>
      </c>
      <c r="F58" s="92" t="s">
        <v>731</v>
      </c>
    </row>
    <row r="59" spans="1:8" ht="15">
      <c r="A59" s="222"/>
      <c r="B59" s="361"/>
      <c r="C59" s="361"/>
      <c r="D59" s="361"/>
      <c r="E59" s="337"/>
      <c r="F59" s="303"/>
      <c r="G59" s="58"/>
      <c r="H59" s="58"/>
    </row>
    <row r="60" spans="1:8" ht="23.25">
      <c r="A60" s="362"/>
      <c r="B60" s="363" t="s">
        <v>1</v>
      </c>
      <c r="C60" s="363" t="s">
        <v>2</v>
      </c>
      <c r="D60" s="363" t="s">
        <v>69</v>
      </c>
      <c r="E60" s="324"/>
      <c r="F60" s="364"/>
      <c r="G60" s="58"/>
      <c r="H60" s="58"/>
    </row>
    <row r="61" spans="1:8" ht="15">
      <c r="A61" s="34" t="s">
        <v>401</v>
      </c>
      <c r="B61" s="63">
        <v>0.1</v>
      </c>
      <c r="C61" s="63">
        <v>0.5</v>
      </c>
      <c r="D61" s="63">
        <v>0.25</v>
      </c>
      <c r="E61" s="144"/>
      <c r="F61" s="298" t="s">
        <v>477</v>
      </c>
      <c r="G61" s="58"/>
      <c r="H61" s="58"/>
    </row>
    <row r="62" spans="1:8" ht="15">
      <c r="A62" s="34" t="s">
        <v>248</v>
      </c>
      <c r="B62" s="63"/>
      <c r="C62" s="63"/>
      <c r="D62" s="63">
        <v>0.3</v>
      </c>
      <c r="E62" s="144"/>
      <c r="F62" s="298" t="s">
        <v>111</v>
      </c>
      <c r="G62" s="58"/>
      <c r="H62" s="58"/>
    </row>
    <row r="63" spans="1:8" s="123" customFormat="1" ht="30">
      <c r="A63" s="34" t="s">
        <v>435</v>
      </c>
      <c r="B63" s="339">
        <v>0.05</v>
      </c>
      <c r="C63" s="339">
        <v>0.3</v>
      </c>
      <c r="D63" s="339">
        <v>0.1</v>
      </c>
      <c r="E63" s="34"/>
      <c r="F63" s="357" t="s">
        <v>478</v>
      </c>
      <c r="G63" s="219"/>
      <c r="H63" s="219"/>
    </row>
    <row r="64" spans="1:8" s="123" customFormat="1" ht="15">
      <c r="A64" s="34" t="s">
        <v>439</v>
      </c>
      <c r="B64" s="339"/>
      <c r="C64" s="339"/>
      <c r="D64" s="339">
        <v>0.9</v>
      </c>
      <c r="E64" s="34"/>
      <c r="F64" s="357" t="s">
        <v>111</v>
      </c>
      <c r="G64" s="219"/>
      <c r="H64" s="219"/>
    </row>
    <row r="65" spans="1:8" s="123" customFormat="1" ht="15">
      <c r="A65" s="34" t="s">
        <v>436</v>
      </c>
      <c r="B65" s="339">
        <v>0.1</v>
      </c>
      <c r="C65" s="339">
        <v>0.3</v>
      </c>
      <c r="D65" s="339">
        <v>0.2</v>
      </c>
      <c r="E65" s="34"/>
      <c r="F65" s="357" t="s">
        <v>111</v>
      </c>
      <c r="G65" s="219"/>
      <c r="H65" s="219"/>
    </row>
    <row r="66" spans="1:8" s="123" customFormat="1" ht="15">
      <c r="A66" s="34" t="s">
        <v>438</v>
      </c>
      <c r="B66" s="339"/>
      <c r="C66" s="339"/>
      <c r="D66" s="339">
        <v>0.75</v>
      </c>
      <c r="E66" s="34"/>
      <c r="F66" s="357" t="s">
        <v>111</v>
      </c>
      <c r="G66" s="219"/>
      <c r="H66" s="219"/>
    </row>
    <row r="67" spans="1:8" ht="15">
      <c r="A67" s="34"/>
      <c r="B67" s="63"/>
      <c r="C67" s="63"/>
      <c r="D67" s="63"/>
      <c r="E67" s="144"/>
      <c r="F67" s="298"/>
      <c r="G67" s="58"/>
      <c r="H67" s="58"/>
    </row>
    <row r="68" spans="1:8" s="123" customFormat="1" ht="15">
      <c r="A68" s="360" t="s">
        <v>410</v>
      </c>
      <c r="B68" s="339">
        <v>0.05</v>
      </c>
      <c r="C68" s="339">
        <v>0.2</v>
      </c>
      <c r="D68" s="339">
        <v>0.1</v>
      </c>
      <c r="E68" s="34"/>
      <c r="F68" s="357" t="s">
        <v>111</v>
      </c>
      <c r="G68" s="219"/>
      <c r="H68" s="219"/>
    </row>
    <row r="69" spans="1:8" s="123" customFormat="1" ht="15">
      <c r="A69" s="360" t="s">
        <v>411</v>
      </c>
      <c r="B69" s="339">
        <v>0.2</v>
      </c>
      <c r="C69" s="339">
        <v>0.4</v>
      </c>
      <c r="D69" s="339">
        <v>0.3</v>
      </c>
      <c r="E69" s="34"/>
      <c r="F69" s="357" t="s">
        <v>111</v>
      </c>
      <c r="G69" s="219"/>
      <c r="H69" s="219"/>
    </row>
    <row r="70" spans="1:8" s="123" customFormat="1" ht="60">
      <c r="A70" s="360" t="s">
        <v>412</v>
      </c>
      <c r="B70" s="365">
        <f>D70*0.6</f>
        <v>1.9319999999999997</v>
      </c>
      <c r="C70" s="356">
        <f>D70*1.5</f>
        <v>4.83</v>
      </c>
      <c r="D70" s="356">
        <f>2.3*1.4</f>
        <v>3.2199999999999998</v>
      </c>
      <c r="E70" s="34" t="s">
        <v>149</v>
      </c>
      <c r="F70" s="357" t="s">
        <v>667</v>
      </c>
      <c r="G70" s="219"/>
      <c r="H70" s="219"/>
    </row>
    <row r="71" spans="1:8" s="123" customFormat="1" ht="45">
      <c r="A71" s="360" t="s">
        <v>409</v>
      </c>
      <c r="B71" s="356">
        <v>13</v>
      </c>
      <c r="C71" s="356">
        <f>D27</f>
        <v>20</v>
      </c>
      <c r="D71" s="356">
        <f>(B71+C71)/2</f>
        <v>16.5</v>
      </c>
      <c r="E71" s="34" t="s">
        <v>19</v>
      </c>
      <c r="F71" s="357" t="s">
        <v>668</v>
      </c>
      <c r="G71" s="219"/>
      <c r="H71" s="219"/>
    </row>
    <row r="72" spans="1:8" ht="15">
      <c r="A72" s="337"/>
      <c r="B72" s="337"/>
      <c r="C72" s="337"/>
      <c r="D72" s="337"/>
      <c r="E72" s="337"/>
      <c r="F72" s="303"/>
      <c r="G72" s="58"/>
      <c r="H72" s="58"/>
    </row>
    <row r="73" spans="1:8" s="38" customFormat="1" ht="15">
      <c r="A73" s="222"/>
      <c r="B73" s="337"/>
      <c r="C73" s="337"/>
      <c r="D73" s="337"/>
      <c r="E73" s="337"/>
      <c r="F73" s="303"/>
      <c r="G73" s="58"/>
      <c r="H73" s="58"/>
    </row>
    <row r="74" spans="1:8" ht="21">
      <c r="A74" s="366" t="s">
        <v>669</v>
      </c>
      <c r="B74" s="144"/>
      <c r="C74" s="144"/>
      <c r="D74" s="144"/>
      <c r="E74" s="144"/>
      <c r="F74" s="298"/>
      <c r="G74" s="58"/>
      <c r="H74" s="58"/>
    </row>
    <row r="75" spans="1:8" ht="16.5" customHeight="1">
      <c r="A75" s="366"/>
      <c r="B75" s="144"/>
      <c r="C75" s="144"/>
      <c r="D75" s="144"/>
      <c r="E75" s="144"/>
      <c r="F75" s="298"/>
      <c r="G75" s="58"/>
      <c r="H75" s="58"/>
    </row>
    <row r="76" spans="1:8" ht="16.5" customHeight="1">
      <c r="A76" s="367" t="s">
        <v>211</v>
      </c>
      <c r="B76" s="144"/>
      <c r="C76" s="144"/>
      <c r="D76" s="144"/>
      <c r="E76" s="144"/>
      <c r="F76" s="298"/>
      <c r="G76" s="58"/>
      <c r="H76" s="58"/>
    </row>
    <row r="77" spans="1:8" ht="15">
      <c r="A77" s="144" t="s">
        <v>213</v>
      </c>
      <c r="B77" s="144"/>
      <c r="C77" s="144"/>
      <c r="D77" s="144"/>
      <c r="E77" s="144"/>
      <c r="F77" s="298"/>
      <c r="G77" s="58"/>
      <c r="H77" s="58"/>
    </row>
    <row r="78" spans="1:8" ht="15">
      <c r="A78" s="144" t="s">
        <v>214</v>
      </c>
      <c r="B78" s="144"/>
      <c r="C78" s="144"/>
      <c r="D78" s="144"/>
      <c r="E78" s="144"/>
      <c r="F78" s="298"/>
      <c r="G78" s="58"/>
      <c r="H78" s="58"/>
    </row>
    <row r="79" spans="1:8" ht="15">
      <c r="A79" s="368"/>
      <c r="B79" s="368"/>
      <c r="C79" s="368"/>
      <c r="D79" s="368"/>
      <c r="E79" s="368"/>
      <c r="F79" s="369"/>
      <c r="G79" s="58"/>
      <c r="H79" s="58"/>
    </row>
    <row r="80" spans="1:8" ht="15">
      <c r="A80" s="370" t="s">
        <v>212</v>
      </c>
      <c r="B80" s="144"/>
      <c r="C80" s="144"/>
      <c r="D80" s="144"/>
      <c r="E80" s="144"/>
      <c r="F80" s="298"/>
      <c r="G80" s="58"/>
      <c r="H80" s="58"/>
    </row>
    <row r="81" spans="1:8" ht="15">
      <c r="A81" s="144" t="s">
        <v>717</v>
      </c>
      <c r="B81" s="144"/>
      <c r="C81" s="144"/>
      <c r="D81" s="144"/>
      <c r="E81" s="144"/>
      <c r="F81" s="298"/>
      <c r="G81" s="58"/>
      <c r="H81" s="58"/>
    </row>
    <row r="82" spans="1:8" ht="28.5" customHeight="1">
      <c r="A82" s="144" t="s">
        <v>215</v>
      </c>
      <c r="B82" s="144"/>
      <c r="C82" s="144"/>
      <c r="D82" s="144"/>
      <c r="E82" s="144"/>
      <c r="F82" s="298"/>
      <c r="G82" s="58"/>
      <c r="H82" s="58"/>
    </row>
    <row r="83" spans="1:8" ht="15">
      <c r="A83" s="39" t="s">
        <v>674</v>
      </c>
      <c r="B83" s="45"/>
      <c r="C83" s="45"/>
      <c r="D83" s="45"/>
      <c r="E83" s="45"/>
      <c r="F83" s="46"/>
      <c r="G83" s="58"/>
      <c r="H83" s="58"/>
    </row>
    <row r="84" spans="1:8" ht="15">
      <c r="A84" s="39" t="s">
        <v>207</v>
      </c>
      <c r="B84" s="45"/>
      <c r="C84" s="45"/>
      <c r="D84" s="45"/>
      <c r="E84" s="45"/>
      <c r="F84" s="46"/>
      <c r="G84" s="58"/>
      <c r="H84" s="58"/>
    </row>
    <row r="85" spans="1:8" ht="15">
      <c r="A85" s="39" t="s">
        <v>124</v>
      </c>
      <c r="B85" s="45"/>
      <c r="C85" s="45"/>
      <c r="D85" s="45"/>
      <c r="E85" s="45"/>
      <c r="F85" s="46"/>
      <c r="G85" s="58"/>
      <c r="H85" s="58"/>
    </row>
    <row r="86" spans="1:8" ht="15">
      <c r="A86" s="39" t="s">
        <v>209</v>
      </c>
      <c r="B86" s="45"/>
      <c r="C86" s="45"/>
      <c r="D86" s="45"/>
      <c r="E86" s="45"/>
      <c r="F86" s="46"/>
      <c r="G86" s="58"/>
      <c r="H86" s="58" t="s">
        <v>202</v>
      </c>
    </row>
    <row r="87" spans="1:8" ht="15">
      <c r="A87" s="39" t="s">
        <v>205</v>
      </c>
      <c r="B87" s="45"/>
      <c r="C87" s="45"/>
      <c r="D87" s="45"/>
      <c r="E87" s="45"/>
      <c r="F87" s="46"/>
      <c r="G87" s="58"/>
      <c r="H87" s="221"/>
    </row>
    <row r="88" spans="1:8" ht="15">
      <c r="A88" s="39" t="s">
        <v>208</v>
      </c>
      <c r="B88" s="45"/>
      <c r="C88" s="45"/>
      <c r="D88" s="45"/>
      <c r="E88" s="45"/>
      <c r="F88" s="46"/>
      <c r="G88" s="58"/>
      <c r="H88" s="58"/>
    </row>
    <row r="89" spans="1:8" ht="15">
      <c r="A89" s="39"/>
      <c r="B89" s="45"/>
      <c r="C89" s="45"/>
      <c r="D89" s="45"/>
      <c r="E89" s="45"/>
      <c r="F89" s="46"/>
      <c r="G89" s="58"/>
      <c r="H89" s="58"/>
    </row>
    <row r="90" spans="1:8" ht="15">
      <c r="A90" s="144" t="s">
        <v>718</v>
      </c>
      <c r="B90" s="144"/>
      <c r="C90" s="144"/>
      <c r="D90" s="144"/>
      <c r="E90" s="144"/>
      <c r="F90" s="298"/>
      <c r="G90" s="58"/>
      <c r="H90" s="58"/>
    </row>
    <row r="91" spans="1:8" ht="15">
      <c r="A91" s="144" t="s">
        <v>422</v>
      </c>
      <c r="B91" s="144"/>
      <c r="C91" s="144"/>
      <c r="D91" s="144"/>
      <c r="E91" s="144"/>
      <c r="F91" s="298"/>
      <c r="G91" s="58"/>
      <c r="H91" s="58"/>
    </row>
    <row r="92" spans="1:8" ht="15">
      <c r="A92" s="39" t="s">
        <v>210</v>
      </c>
      <c r="B92" s="45"/>
      <c r="C92" s="45"/>
      <c r="D92" s="45"/>
      <c r="E92" s="45"/>
      <c r="F92" s="46"/>
      <c r="G92" s="58"/>
      <c r="H92" s="58"/>
    </row>
    <row r="93" spans="1:8" ht="15">
      <c r="A93" s="39" t="s">
        <v>185</v>
      </c>
      <c r="B93" s="145">
        <f>11</f>
        <v>11</v>
      </c>
      <c r="C93" s="145" t="s">
        <v>186</v>
      </c>
      <c r="D93" s="145" t="s">
        <v>187</v>
      </c>
      <c r="E93" s="45"/>
      <c r="F93" s="46"/>
      <c r="G93" s="58"/>
      <c r="H93" s="58"/>
    </row>
    <row r="94" spans="1:8" ht="15">
      <c r="A94" s="39" t="s">
        <v>188</v>
      </c>
      <c r="B94" s="45">
        <f>B93*0.5*0.001</f>
        <v>0.0055</v>
      </c>
      <c r="C94" s="45" t="s">
        <v>149</v>
      </c>
      <c r="D94" s="45"/>
      <c r="E94" s="45"/>
      <c r="F94" s="46"/>
      <c r="G94" s="58"/>
      <c r="H94" s="58"/>
    </row>
    <row r="95" spans="1:8" ht="15">
      <c r="A95" s="39" t="s">
        <v>189</v>
      </c>
      <c r="B95" s="371">
        <f>B94*'Refrig. Assumptions+Calcs'!B110</f>
        <v>12.43</v>
      </c>
      <c r="C95" s="45" t="s">
        <v>190</v>
      </c>
      <c r="D95" s="45"/>
      <c r="E95" s="45"/>
      <c r="F95" s="46"/>
      <c r="G95" s="58"/>
      <c r="H95" s="58"/>
    </row>
    <row r="96" spans="1:8" ht="15">
      <c r="A96" s="39" t="s">
        <v>191</v>
      </c>
      <c r="B96" s="371">
        <f>B94*(D27-D14)*Water_specific_heat</f>
        <v>0.3696</v>
      </c>
      <c r="C96" s="45" t="s">
        <v>190</v>
      </c>
      <c r="D96" s="45"/>
      <c r="E96" s="45"/>
      <c r="F96" s="46"/>
      <c r="G96" s="58"/>
      <c r="H96" s="58"/>
    </row>
    <row r="97" spans="1:8" ht="15">
      <c r="A97" s="39" t="s">
        <v>192</v>
      </c>
      <c r="B97" s="371">
        <f>100*(D27-D14)*Air_specific_heat_by_volume/1000</f>
        <v>2.08</v>
      </c>
      <c r="C97" s="45" t="s">
        <v>190</v>
      </c>
      <c r="D97" s="45"/>
      <c r="E97" s="45"/>
      <c r="F97" s="46"/>
      <c r="G97" s="58"/>
      <c r="H97" s="58"/>
    </row>
    <row r="98" spans="1:8" ht="15">
      <c r="A98" s="39" t="s">
        <v>193</v>
      </c>
      <c r="B98" s="45"/>
      <c r="C98" s="45"/>
      <c r="D98" s="45"/>
      <c r="E98" s="45"/>
      <c r="F98" s="46"/>
      <c r="G98" s="58"/>
      <c r="H98" s="220"/>
    </row>
    <row r="99" spans="1:8" ht="15">
      <c r="A99" s="39" t="s">
        <v>216</v>
      </c>
      <c r="B99" s="45"/>
      <c r="C99" s="45"/>
      <c r="D99" s="45"/>
      <c r="E99" s="45"/>
      <c r="F99" s="46"/>
      <c r="G99" s="58"/>
      <c r="H99" s="220"/>
    </row>
    <row r="100" spans="1:8" ht="15">
      <c r="A100" s="331"/>
      <c r="B100" s="331"/>
      <c r="C100" s="331"/>
      <c r="D100" s="331"/>
      <c r="E100" s="331"/>
      <c r="F100" s="372"/>
      <c r="G100" s="58"/>
      <c r="H100" s="58"/>
    </row>
    <row r="101" spans="1:8" s="42" customFormat="1" ht="15">
      <c r="A101" s="370" t="s">
        <v>421</v>
      </c>
      <c r="B101" s="144"/>
      <c r="C101" s="144"/>
      <c r="D101" s="144"/>
      <c r="E101" s="144"/>
      <c r="F101" s="298"/>
      <c r="G101" s="220"/>
      <c r="H101" s="220"/>
    </row>
    <row r="102" spans="1:8" s="42" customFormat="1" ht="15">
      <c r="A102" s="144" t="s">
        <v>423</v>
      </c>
      <c r="B102" s="144"/>
      <c r="C102" s="144"/>
      <c r="D102" s="144"/>
      <c r="E102" s="144"/>
      <c r="F102" s="298"/>
      <c r="G102" s="220"/>
      <c r="H102" s="220"/>
    </row>
    <row r="103" spans="1:8" s="42" customFormat="1" ht="15">
      <c r="A103" s="144" t="s">
        <v>670</v>
      </c>
      <c r="B103" s="144"/>
      <c r="C103" s="144"/>
      <c r="D103" s="144"/>
      <c r="E103" s="144"/>
      <c r="F103" s="298"/>
      <c r="G103" s="220"/>
      <c r="H103" s="220"/>
    </row>
    <row r="104" spans="1:8" ht="15">
      <c r="A104" s="331"/>
      <c r="B104" s="331"/>
      <c r="C104" s="331"/>
      <c r="D104" s="331"/>
      <c r="E104" s="331"/>
      <c r="F104" s="372"/>
      <c r="G104" s="58"/>
      <c r="H104" s="58"/>
    </row>
    <row r="105" spans="1:8" s="38" customFormat="1" ht="21">
      <c r="A105" s="373" t="s">
        <v>29</v>
      </c>
      <c r="B105" s="141"/>
      <c r="C105" s="141"/>
      <c r="D105" s="141"/>
      <c r="E105" s="324"/>
      <c r="F105" s="364"/>
      <c r="G105" s="58"/>
      <c r="H105" s="58"/>
    </row>
    <row r="106" spans="1:8" ht="15">
      <c r="A106" s="145" t="s">
        <v>30</v>
      </c>
      <c r="B106" s="145">
        <v>4.2</v>
      </c>
      <c r="C106" s="145" t="s">
        <v>671</v>
      </c>
      <c r="D106" s="145"/>
      <c r="E106" s="45"/>
      <c r="F106" s="46"/>
      <c r="G106" s="58"/>
      <c r="H106" s="58"/>
    </row>
    <row r="107" spans="1:8" ht="15">
      <c r="A107" s="145" t="s">
        <v>511</v>
      </c>
      <c r="B107" s="145">
        <v>1.9</v>
      </c>
      <c r="C107" s="145" t="s">
        <v>671</v>
      </c>
      <c r="D107" s="145"/>
      <c r="E107" s="45"/>
      <c r="F107" s="46"/>
      <c r="G107" s="58"/>
      <c r="H107" s="58"/>
    </row>
    <row r="108" spans="1:8" s="42" customFormat="1" ht="15">
      <c r="A108" s="145" t="s">
        <v>416</v>
      </c>
      <c r="B108" s="145">
        <v>2.1</v>
      </c>
      <c r="C108" s="145" t="s">
        <v>671</v>
      </c>
      <c r="D108" s="145"/>
      <c r="E108" s="45"/>
      <c r="F108" s="46"/>
      <c r="G108" s="220"/>
      <c r="H108" s="220"/>
    </row>
    <row r="109" spans="1:8" ht="15">
      <c r="A109" s="145" t="s">
        <v>31</v>
      </c>
      <c r="B109" s="145">
        <v>334</v>
      </c>
      <c r="C109" s="145" t="s">
        <v>33</v>
      </c>
      <c r="D109" s="145"/>
      <c r="E109" s="45"/>
      <c r="F109" s="46"/>
      <c r="G109" s="58"/>
      <c r="H109" s="58"/>
    </row>
    <row r="110" spans="1:8" ht="15">
      <c r="A110" s="145" t="s">
        <v>32</v>
      </c>
      <c r="B110" s="145">
        <v>2260</v>
      </c>
      <c r="C110" s="145" t="s">
        <v>33</v>
      </c>
      <c r="D110" s="145" t="s">
        <v>34</v>
      </c>
      <c r="E110" s="45"/>
      <c r="F110" s="46"/>
      <c r="G110" s="58"/>
      <c r="H110" s="58"/>
    </row>
    <row r="111" spans="1:8" ht="15">
      <c r="A111" s="145" t="s">
        <v>163</v>
      </c>
      <c r="B111" s="145">
        <v>1.3</v>
      </c>
      <c r="C111" s="145" t="s">
        <v>164</v>
      </c>
      <c r="D111" s="145" t="s">
        <v>162</v>
      </c>
      <c r="E111" s="45"/>
      <c r="F111" s="46"/>
      <c r="G111" s="58"/>
      <c r="H111" s="58"/>
    </row>
    <row r="112" spans="1:8" ht="15">
      <c r="A112" s="145" t="s">
        <v>198</v>
      </c>
      <c r="B112" s="145">
        <v>0.11</v>
      </c>
      <c r="C112" s="145" t="s">
        <v>195</v>
      </c>
      <c r="D112" s="145" t="s">
        <v>199</v>
      </c>
      <c r="E112" s="45"/>
      <c r="F112" s="46"/>
      <c r="G112" s="58"/>
      <c r="H112" s="58"/>
    </row>
    <row r="113" spans="1:8" ht="23.25">
      <c r="A113" s="374"/>
      <c r="B113" s="331"/>
      <c r="C113" s="331"/>
      <c r="D113" s="331"/>
      <c r="E113" s="331"/>
      <c r="F113" s="372"/>
      <c r="G113" s="58"/>
      <c r="H113" s="58"/>
    </row>
    <row r="114" spans="1:8" ht="21">
      <c r="A114" s="375" t="s">
        <v>26</v>
      </c>
      <c r="B114" s="331"/>
      <c r="C114" s="331"/>
      <c r="D114" s="331"/>
      <c r="E114" s="331"/>
      <c r="F114" s="372"/>
      <c r="G114" s="58"/>
      <c r="H114" s="58"/>
    </row>
    <row r="115" spans="1:8" ht="21">
      <c r="A115" s="375"/>
      <c r="B115" s="376"/>
      <c r="C115" s="376"/>
      <c r="D115" s="376"/>
      <c r="E115" s="376"/>
      <c r="F115" s="372"/>
      <c r="G115" s="58"/>
      <c r="H115" s="58"/>
    </row>
    <row r="116" spans="1:8" s="123" customFormat="1" ht="15">
      <c r="A116" s="40" t="s">
        <v>425</v>
      </c>
      <c r="B116" s="52"/>
      <c r="C116" s="52"/>
      <c r="D116" s="52"/>
      <c r="E116" s="52"/>
      <c r="F116" s="53"/>
      <c r="G116" s="219"/>
      <c r="H116" s="219"/>
    </row>
    <row r="117" spans="1:8" s="123" customFormat="1" ht="105">
      <c r="A117" s="40"/>
      <c r="B117" s="52"/>
      <c r="C117" s="52"/>
      <c r="D117" s="52"/>
      <c r="E117" s="52"/>
      <c r="F117" s="377" t="s">
        <v>672</v>
      </c>
      <c r="G117" s="219"/>
      <c r="H117" s="219"/>
    </row>
    <row r="118" spans="1:8" s="123" customFormat="1" ht="15">
      <c r="A118" s="378"/>
      <c r="B118" s="379" t="s">
        <v>1</v>
      </c>
      <c r="C118" s="380" t="s">
        <v>2</v>
      </c>
      <c r="D118" s="380" t="s">
        <v>69</v>
      </c>
      <c r="E118" s="52"/>
      <c r="F118" s="381"/>
      <c r="G118" s="219"/>
      <c r="H118" s="219"/>
    </row>
    <row r="119" spans="1:8" s="123" customFormat="1" ht="15">
      <c r="A119" s="34" t="str">
        <f>A6</f>
        <v>Fridge-freezer normal energy consumption</v>
      </c>
      <c r="B119" s="34">
        <f>B6</f>
        <v>200</v>
      </c>
      <c r="C119" s="356">
        <f>C6</f>
        <v>800</v>
      </c>
      <c r="D119" s="356">
        <f>D6</f>
        <v>427</v>
      </c>
      <c r="E119" s="34" t="str">
        <f>E6</f>
        <v>kWh/year</v>
      </c>
      <c r="F119" s="357"/>
      <c r="G119" s="219"/>
      <c r="H119" s="219"/>
    </row>
    <row r="120" spans="1:8" s="123" customFormat="1" ht="15">
      <c r="A120" s="34" t="str">
        <f aca="true" t="shared" si="0" ref="A120:D122">A7</f>
        <v>Proportion of this energy due to freezer</v>
      </c>
      <c r="B120" s="382">
        <f t="shared" si="0"/>
        <v>0.6</v>
      </c>
      <c r="C120" s="339">
        <f t="shared" si="0"/>
        <v>0.8</v>
      </c>
      <c r="D120" s="339">
        <f t="shared" si="0"/>
        <v>0.6753507014028056</v>
      </c>
      <c r="E120" s="34"/>
      <c r="F120" s="357"/>
      <c r="G120" s="219"/>
      <c r="H120" s="219"/>
    </row>
    <row r="121" spans="1:8" s="123" customFormat="1" ht="15">
      <c r="A121" s="34" t="str">
        <f t="shared" si="0"/>
        <v>Freezer normal energy consumption</v>
      </c>
      <c r="B121" s="34">
        <f t="shared" si="0"/>
        <v>130</v>
      </c>
      <c r="C121" s="358">
        <f t="shared" si="0"/>
        <v>1000</v>
      </c>
      <c r="D121" s="356">
        <f t="shared" si="0"/>
        <v>337</v>
      </c>
      <c r="E121" s="34" t="str">
        <f>E8</f>
        <v>kWh/year</v>
      </c>
      <c r="F121" s="357"/>
      <c r="G121" s="219"/>
      <c r="H121" s="219"/>
    </row>
    <row r="122" spans="1:8" s="123" customFormat="1" ht="15">
      <c r="A122" s="34" t="str">
        <f t="shared" si="0"/>
        <v>Fridge normal energy consumption</v>
      </c>
      <c r="B122" s="34">
        <f t="shared" si="0"/>
        <v>80</v>
      </c>
      <c r="C122" s="356">
        <f t="shared" si="0"/>
        <v>300</v>
      </c>
      <c r="D122" s="356">
        <f t="shared" si="0"/>
        <v>162</v>
      </c>
      <c r="E122" s="34" t="str">
        <f>E9</f>
        <v>kWh/year</v>
      </c>
      <c r="F122" s="357"/>
      <c r="G122" s="219"/>
      <c r="H122" s="219"/>
    </row>
    <row r="123" spans="1:8" s="123" customFormat="1" ht="15">
      <c r="A123" s="34" t="str">
        <f>A19</f>
        <v>Proportion of households with a fridge (not fridge-freezers)</v>
      </c>
      <c r="B123" s="34"/>
      <c r="C123" s="356"/>
      <c r="D123" s="339">
        <f>D19</f>
        <v>0.3333333333333333</v>
      </c>
      <c r="E123" s="34"/>
      <c r="F123" s="357"/>
      <c r="G123" s="219"/>
      <c r="H123" s="219"/>
    </row>
    <row r="124" spans="1:8" s="123" customFormat="1" ht="15">
      <c r="A124" s="34" t="str">
        <f>A20</f>
        <v>Proportion of households with a fridge-freezer</v>
      </c>
      <c r="B124" s="34"/>
      <c r="C124" s="356"/>
      <c r="D124" s="339">
        <f>D20</f>
        <v>0.6666666666666666</v>
      </c>
      <c r="E124" s="34"/>
      <c r="F124" s="357"/>
      <c r="G124" s="219"/>
      <c r="H124" s="219"/>
    </row>
    <row r="125" spans="1:8" s="123" customFormat="1" ht="15">
      <c r="A125" s="34" t="str">
        <f>A21</f>
        <v>Proportion of households with a freezer</v>
      </c>
      <c r="B125" s="34"/>
      <c r="C125" s="356"/>
      <c r="D125" s="339">
        <f>D21</f>
        <v>0.4444444444444444</v>
      </c>
      <c r="E125" s="34"/>
      <c r="F125" s="357"/>
      <c r="G125" s="219"/>
      <c r="H125" s="219"/>
    </row>
    <row r="126" spans="1:6" s="219" customFormat="1" ht="15">
      <c r="A126" s="39" t="s">
        <v>426</v>
      </c>
      <c r="B126" s="383">
        <f>(B119*B120*$D124+B121*$D125)</f>
        <v>137.77777777777777</v>
      </c>
      <c r="C126" s="341">
        <f>(C119*C120*$D124+C121*$D125)</f>
        <v>871.1111111111111</v>
      </c>
      <c r="D126" s="341">
        <f>(D119*D120*$D124+D121*$D125)</f>
        <v>342.02761077710977</v>
      </c>
      <c r="E126" s="39" t="s">
        <v>39</v>
      </c>
      <c r="F126" s="384"/>
    </row>
    <row r="127" spans="1:6" s="219" customFormat="1" ht="15">
      <c r="A127" s="39" t="s">
        <v>679</v>
      </c>
      <c r="B127" s="383">
        <f>B119*(1-B120)*$D124+B122*$D123</f>
        <v>80</v>
      </c>
      <c r="C127" s="341">
        <f>C119*(1-C120)*$D124+C122*$D123</f>
        <v>206.66666666666663</v>
      </c>
      <c r="D127" s="341">
        <f>D119*(1-D120)*$D124+D122*$D123</f>
        <v>146.41683366733466</v>
      </c>
      <c r="E127" s="39" t="s">
        <v>39</v>
      </c>
      <c r="F127" s="384"/>
    </row>
    <row r="128" spans="1:6" s="219" customFormat="1" ht="15">
      <c r="A128" s="39" t="s">
        <v>427</v>
      </c>
      <c r="B128" s="383">
        <f>B126+B127</f>
        <v>217.77777777777777</v>
      </c>
      <c r="C128" s="341">
        <f>C126+C127</f>
        <v>1077.7777777777778</v>
      </c>
      <c r="D128" s="341">
        <f>D126+D127</f>
        <v>488.44444444444446</v>
      </c>
      <c r="E128" s="39" t="s">
        <v>39</v>
      </c>
      <c r="F128" s="384"/>
    </row>
    <row r="129" spans="1:8" ht="15">
      <c r="A129" s="385"/>
      <c r="B129" s="45"/>
      <c r="C129" s="45"/>
      <c r="D129" s="45"/>
      <c r="E129" s="45"/>
      <c r="F129" s="46"/>
      <c r="G129" s="58"/>
      <c r="H129" s="58"/>
    </row>
    <row r="130" spans="1:8" ht="15">
      <c r="A130" s="386"/>
      <c r="B130" s="337"/>
      <c r="C130" s="337"/>
      <c r="D130" s="337"/>
      <c r="E130" s="337"/>
      <c r="F130" s="303"/>
      <c r="G130" s="58"/>
      <c r="H130" s="58"/>
    </row>
    <row r="131" spans="1:8" ht="15">
      <c r="A131" s="40" t="s">
        <v>762</v>
      </c>
      <c r="B131" s="324"/>
      <c r="C131" s="324"/>
      <c r="D131" s="324"/>
      <c r="E131" s="324"/>
      <c r="F131" s="364"/>
      <c r="G131" s="58"/>
      <c r="H131" s="58"/>
    </row>
    <row r="132" spans="1:8" ht="150">
      <c r="A132" s="40"/>
      <c r="B132" s="324"/>
      <c r="C132" s="324"/>
      <c r="D132" s="324"/>
      <c r="E132" s="324"/>
      <c r="F132" s="364" t="s">
        <v>521</v>
      </c>
      <c r="G132" s="58"/>
      <c r="H132" s="58"/>
    </row>
    <row r="133" spans="1:8" ht="15">
      <c r="A133" s="40"/>
      <c r="B133" s="324"/>
      <c r="C133" s="324"/>
      <c r="D133" s="324"/>
      <c r="E133" s="324"/>
      <c r="F133" s="364"/>
      <c r="G133" s="58"/>
      <c r="H133" s="58"/>
    </row>
    <row r="134" spans="1:8" ht="15">
      <c r="A134" s="378"/>
      <c r="B134" s="393" t="s">
        <v>1</v>
      </c>
      <c r="C134" s="393" t="s">
        <v>2</v>
      </c>
      <c r="D134" s="393" t="s">
        <v>69</v>
      </c>
      <c r="E134" s="324"/>
      <c r="F134" s="349"/>
      <c r="G134" s="58"/>
      <c r="H134" s="58"/>
    </row>
    <row r="135" spans="1:8" ht="15">
      <c r="A135" s="357" t="s">
        <v>135</v>
      </c>
      <c r="B135" s="144">
        <f>B$27</f>
        <v>17</v>
      </c>
      <c r="C135" s="144">
        <f>C27</f>
        <v>24</v>
      </c>
      <c r="D135" s="144">
        <f>$D27</f>
        <v>20</v>
      </c>
      <c r="E135" s="144" t="s">
        <v>19</v>
      </c>
      <c r="F135" s="144"/>
      <c r="G135" s="58"/>
      <c r="H135" s="58"/>
    </row>
    <row r="136" spans="1:8" ht="15">
      <c r="A136" s="357" t="s">
        <v>130</v>
      </c>
      <c r="B136" s="144">
        <f>C32</f>
        <v>17</v>
      </c>
      <c r="C136" s="144">
        <f>B32</f>
        <v>10</v>
      </c>
      <c r="D136" s="144">
        <f>D32</f>
        <v>15</v>
      </c>
      <c r="E136" s="144" t="s">
        <v>19</v>
      </c>
      <c r="F136" s="298" t="s">
        <v>131</v>
      </c>
      <c r="G136" s="220"/>
      <c r="H136" s="58"/>
    </row>
    <row r="137" spans="1:8" ht="15">
      <c r="A137" s="357" t="s">
        <v>126</v>
      </c>
      <c r="B137" s="387">
        <f>B30</f>
        <v>21</v>
      </c>
      <c r="C137" s="387">
        <f>C30</f>
        <v>30</v>
      </c>
      <c r="D137" s="387">
        <f>D30</f>
        <v>23</v>
      </c>
      <c r="E137" s="144" t="s">
        <v>19</v>
      </c>
      <c r="F137" s="298" t="s">
        <v>430</v>
      </c>
      <c r="G137" s="58"/>
      <c r="H137" s="58"/>
    </row>
    <row r="138" spans="1:8" ht="15">
      <c r="A138" s="34" t="s">
        <v>121</v>
      </c>
      <c r="B138" s="144">
        <f>D14</f>
        <v>4</v>
      </c>
      <c r="C138" s="144">
        <f>D14</f>
        <v>4</v>
      </c>
      <c r="D138" s="144">
        <f>D14</f>
        <v>4</v>
      </c>
      <c r="E138" s="144" t="s">
        <v>19</v>
      </c>
      <c r="F138" s="298"/>
      <c r="G138" s="58"/>
      <c r="H138" s="58"/>
    </row>
    <row r="139" spans="1:8" ht="15">
      <c r="A139" s="34" t="s">
        <v>122</v>
      </c>
      <c r="B139" s="144">
        <f>D15</f>
        <v>-18</v>
      </c>
      <c r="C139" s="144">
        <f>D15</f>
        <v>-18</v>
      </c>
      <c r="D139" s="144">
        <f>D15</f>
        <v>-18</v>
      </c>
      <c r="E139" s="144" t="s">
        <v>19</v>
      </c>
      <c r="F139" s="298"/>
      <c r="G139" s="58"/>
      <c r="H139" s="58"/>
    </row>
    <row r="140" spans="1:8" ht="15">
      <c r="A140" s="384" t="s">
        <v>254</v>
      </c>
      <c r="B140" s="64"/>
      <c r="C140" s="64"/>
      <c r="D140" s="64"/>
      <c r="E140" s="45"/>
      <c r="F140" s="46"/>
      <c r="G140" s="58"/>
      <c r="H140" s="58"/>
    </row>
    <row r="141" spans="1:8" ht="15">
      <c r="A141" s="384" t="s">
        <v>217</v>
      </c>
      <c r="B141" s="64">
        <f>(B137-B139)/(B135-B139)</f>
        <v>1.1142857142857143</v>
      </c>
      <c r="C141" s="64">
        <f>(C137-C139)/(C135-C139)</f>
        <v>1.1428571428571428</v>
      </c>
      <c r="D141" s="64">
        <f>(D137-D139)/(D135-D139)</f>
        <v>1.0789473684210527</v>
      </c>
      <c r="E141" s="45"/>
      <c r="F141" s="45" t="s">
        <v>431</v>
      </c>
      <c r="G141" s="220"/>
      <c r="H141" s="58"/>
    </row>
    <row r="142" spans="1:8" ht="15">
      <c r="A142" s="384" t="s">
        <v>133</v>
      </c>
      <c r="B142" s="64">
        <f>POWER((B136-B139)/(B135-B139),2)</f>
        <v>1</v>
      </c>
      <c r="C142" s="64">
        <f>POWER((C136-C139)/(C135-C139),2)</f>
        <v>0.4444444444444444</v>
      </c>
      <c r="D142" s="64">
        <f>POWER((D136-D139)/(D135-D139),2)</f>
        <v>0.7541551246537397</v>
      </c>
      <c r="E142" s="45"/>
      <c r="F142" s="45" t="s">
        <v>429</v>
      </c>
      <c r="G142" s="220"/>
      <c r="H142" s="58"/>
    </row>
    <row r="143" spans="1:8" ht="15">
      <c r="A143" s="384" t="s">
        <v>219</v>
      </c>
      <c r="B143" s="64">
        <f>B141-B142</f>
        <v>0.11428571428571432</v>
      </c>
      <c r="C143" s="64">
        <f>C141-C142</f>
        <v>0.6984126984126984</v>
      </c>
      <c r="D143" s="64">
        <f>D141-D142</f>
        <v>0.32479224376731297</v>
      </c>
      <c r="E143" s="45"/>
      <c r="F143" s="45"/>
      <c r="G143" s="220"/>
      <c r="H143" s="58"/>
    </row>
    <row r="144" spans="1:8" s="123" customFormat="1" ht="15">
      <c r="A144" s="384" t="s">
        <v>432</v>
      </c>
      <c r="B144" s="383">
        <f>B126</f>
        <v>137.77777777777777</v>
      </c>
      <c r="C144" s="383">
        <f>C126</f>
        <v>871.1111111111111</v>
      </c>
      <c r="D144" s="383">
        <f>D126</f>
        <v>342.02761077710977</v>
      </c>
      <c r="E144" s="39" t="s">
        <v>39</v>
      </c>
      <c r="F144" s="39" t="s">
        <v>428</v>
      </c>
      <c r="G144" s="219"/>
      <c r="H144" s="219"/>
    </row>
    <row r="145" spans="1:8" s="123" customFormat="1" ht="15">
      <c r="A145" s="384" t="s">
        <v>132</v>
      </c>
      <c r="B145" s="383">
        <f>B143*B144</f>
        <v>15.74603174603175</v>
      </c>
      <c r="C145" s="383">
        <f>C143*C144</f>
        <v>608.395061728395</v>
      </c>
      <c r="D145" s="383">
        <f>D143*D144</f>
        <v>111.08791513467068</v>
      </c>
      <c r="E145" s="39" t="s">
        <v>39</v>
      </c>
      <c r="F145" s="384"/>
      <c r="G145" s="219"/>
      <c r="H145" s="219"/>
    </row>
    <row r="146" spans="1:8" ht="15">
      <c r="A146" s="384" t="s">
        <v>255</v>
      </c>
      <c r="B146" s="64"/>
      <c r="C146" s="64"/>
      <c r="D146" s="64"/>
      <c r="E146" s="45"/>
      <c r="F146" s="46"/>
      <c r="G146" s="58"/>
      <c r="H146" s="58"/>
    </row>
    <row r="147" spans="1:8" ht="15">
      <c r="A147" s="384" t="s">
        <v>217</v>
      </c>
      <c r="B147" s="64">
        <f>(B137-B138)/(B135-B138)</f>
        <v>1.3076923076923077</v>
      </c>
      <c r="C147" s="64">
        <f>(C137-C138)/(C135-C138)</f>
        <v>1.3</v>
      </c>
      <c r="D147" s="64">
        <f>(D137-D138)/(D135-D138)</f>
        <v>1.1875</v>
      </c>
      <c r="E147" s="45"/>
      <c r="F147" s="45" t="s">
        <v>218</v>
      </c>
      <c r="G147" s="58"/>
      <c r="H147" s="58"/>
    </row>
    <row r="148" spans="1:8" ht="45">
      <c r="A148" s="384" t="s">
        <v>133</v>
      </c>
      <c r="B148" s="64">
        <f>POWER(((B136-B138)/(B135-B138)),2)</f>
        <v>1</v>
      </c>
      <c r="C148" s="64">
        <f>POWER(((C136-C138)/(C135-C138)),2)</f>
        <v>0.09</v>
      </c>
      <c r="D148" s="64">
        <f>POWER(((D136-D138)/(D135-D138)),2)</f>
        <v>0.47265625</v>
      </c>
      <c r="E148" s="45"/>
      <c r="F148" s="46" t="s">
        <v>522</v>
      </c>
      <c r="G148" s="58"/>
      <c r="H148" s="58"/>
    </row>
    <row r="149" spans="1:8" ht="15">
      <c r="A149" s="384" t="s">
        <v>219</v>
      </c>
      <c r="B149" s="64">
        <f>B147-B148</f>
        <v>0.3076923076923077</v>
      </c>
      <c r="C149" s="64">
        <f>C147-C148</f>
        <v>1.21</v>
      </c>
      <c r="D149" s="64">
        <f>D147-D148</f>
        <v>0.71484375</v>
      </c>
      <c r="E149" s="45"/>
      <c r="F149" s="45"/>
      <c r="G149" s="58"/>
      <c r="H149" s="58"/>
    </row>
    <row r="150" spans="1:8" s="123" customFormat="1" ht="15">
      <c r="A150" s="384" t="s">
        <v>523</v>
      </c>
      <c r="B150" s="383">
        <f>B127</f>
        <v>80</v>
      </c>
      <c r="C150" s="383">
        <f>C127</f>
        <v>206.66666666666663</v>
      </c>
      <c r="D150" s="383">
        <f>D127</f>
        <v>146.41683366733466</v>
      </c>
      <c r="E150" s="39" t="s">
        <v>39</v>
      </c>
      <c r="F150" s="39" t="s">
        <v>428</v>
      </c>
      <c r="G150" s="219"/>
      <c r="H150" s="219"/>
    </row>
    <row r="151" spans="1:8" s="123" customFormat="1" ht="15">
      <c r="A151" s="384" t="s">
        <v>132</v>
      </c>
      <c r="B151" s="383">
        <f>B149*B150</f>
        <v>24.615384615384617</v>
      </c>
      <c r="C151" s="383">
        <f>C149*C150</f>
        <v>250.0666666666666</v>
      </c>
      <c r="D151" s="383">
        <f>D149*D150</f>
        <v>104.66515844188376</v>
      </c>
      <c r="E151" s="39"/>
      <c r="F151" s="384"/>
      <c r="G151" s="219"/>
      <c r="H151" s="219"/>
    </row>
    <row r="152" spans="1:8" s="123" customFormat="1" ht="15">
      <c r="A152" s="384" t="s">
        <v>134</v>
      </c>
      <c r="B152" s="383">
        <f>B151+B145</f>
        <v>40.36141636141637</v>
      </c>
      <c r="C152" s="383">
        <f>C151+C145</f>
        <v>858.4617283950616</v>
      </c>
      <c r="D152" s="383">
        <f>D151+D145</f>
        <v>215.75307357655444</v>
      </c>
      <c r="E152" s="39" t="s">
        <v>39</v>
      </c>
      <c r="F152" s="384"/>
      <c r="G152" s="219"/>
      <c r="H152" s="219"/>
    </row>
    <row r="153" spans="1:8" ht="15">
      <c r="A153" s="388"/>
      <c r="B153" s="337"/>
      <c r="C153" s="337"/>
      <c r="D153" s="337"/>
      <c r="E153" s="337"/>
      <c r="F153" s="303"/>
      <c r="G153" s="58"/>
      <c r="H153" s="58"/>
    </row>
    <row r="154" spans="1:8" s="123" customFormat="1" ht="15">
      <c r="A154" s="40" t="s">
        <v>763</v>
      </c>
      <c r="B154" s="52"/>
      <c r="C154" s="52"/>
      <c r="D154" s="52"/>
      <c r="E154" s="52"/>
      <c r="F154" s="53"/>
      <c r="G154" s="219"/>
      <c r="H154" s="219"/>
    </row>
    <row r="155" spans="1:8" s="123" customFormat="1" ht="75">
      <c r="A155" s="40"/>
      <c r="B155" s="52"/>
      <c r="C155" s="52"/>
      <c r="D155" s="52"/>
      <c r="E155" s="52"/>
      <c r="F155" s="53" t="s">
        <v>433</v>
      </c>
      <c r="G155" s="219"/>
      <c r="H155" s="219"/>
    </row>
    <row r="156" spans="1:8" s="123" customFormat="1" ht="15">
      <c r="A156" s="378"/>
      <c r="B156" s="381" t="s">
        <v>1</v>
      </c>
      <c r="C156" s="381" t="s">
        <v>2</v>
      </c>
      <c r="D156" s="381" t="s">
        <v>69</v>
      </c>
      <c r="E156" s="381"/>
      <c r="F156" s="53"/>
      <c r="G156" s="219"/>
      <c r="H156" s="219"/>
    </row>
    <row r="157" spans="1:8" s="123" customFormat="1" ht="15">
      <c r="A157" s="357" t="s">
        <v>142</v>
      </c>
      <c r="B157" s="34">
        <f>B9</f>
        <v>80</v>
      </c>
      <c r="C157" s="34">
        <f>C9</f>
        <v>300</v>
      </c>
      <c r="D157" s="34">
        <f>D9</f>
        <v>162</v>
      </c>
      <c r="E157" s="34" t="s">
        <v>63</v>
      </c>
      <c r="F157" s="357"/>
      <c r="G157" s="219"/>
      <c r="H157" s="219"/>
    </row>
    <row r="158" spans="1:8" s="123" customFormat="1" ht="15">
      <c r="A158" s="357" t="s">
        <v>135</v>
      </c>
      <c r="B158" s="34">
        <f>C27</f>
        <v>24</v>
      </c>
      <c r="C158" s="34">
        <f>B27</f>
        <v>17</v>
      </c>
      <c r="D158" s="34">
        <f>D$27</f>
        <v>20</v>
      </c>
      <c r="E158" s="34" t="s">
        <v>19</v>
      </c>
      <c r="F158" s="34" t="s">
        <v>220</v>
      </c>
      <c r="G158" s="219"/>
      <c r="H158" s="219"/>
    </row>
    <row r="159" spans="1:8" s="123" customFormat="1" ht="15">
      <c r="A159" s="357" t="str">
        <f aca="true" t="shared" si="1" ref="A159:D160">A37</f>
        <v>Oven use hours/week</v>
      </c>
      <c r="B159" s="389">
        <f t="shared" si="1"/>
        <v>1.1826923076923077</v>
      </c>
      <c r="C159" s="389">
        <f t="shared" si="1"/>
        <v>5.322115384615384</v>
      </c>
      <c r="D159" s="389">
        <f t="shared" si="1"/>
        <v>2.3653846153846154</v>
      </c>
      <c r="E159" s="34" t="s">
        <v>141</v>
      </c>
      <c r="F159" s="357"/>
      <c r="G159" s="219"/>
      <c r="H159" s="219"/>
    </row>
    <row r="160" spans="1:8" s="123" customFormat="1" ht="15">
      <c r="A160" s="357" t="str">
        <f t="shared" si="1"/>
        <v>Effective external temperature while next to active oven</v>
      </c>
      <c r="B160" s="357">
        <f t="shared" si="1"/>
        <v>40</v>
      </c>
      <c r="C160" s="357">
        <f t="shared" si="1"/>
        <v>70</v>
      </c>
      <c r="D160" s="357">
        <f t="shared" si="1"/>
        <v>50</v>
      </c>
      <c r="E160" s="34" t="s">
        <v>19</v>
      </c>
      <c r="F160" s="357"/>
      <c r="G160" s="219"/>
      <c r="H160" s="219"/>
    </row>
    <row r="161" spans="1:8" s="123" customFormat="1" ht="15">
      <c r="A161" s="34" t="s">
        <v>121</v>
      </c>
      <c r="B161" s="34">
        <f>$D$14</f>
        <v>4</v>
      </c>
      <c r="C161" s="34">
        <f>$D$14</f>
        <v>4</v>
      </c>
      <c r="D161" s="34">
        <f>$D$14</f>
        <v>4</v>
      </c>
      <c r="E161" s="34" t="s">
        <v>19</v>
      </c>
      <c r="F161" s="357"/>
      <c r="G161" s="219"/>
      <c r="H161" s="219"/>
    </row>
    <row r="162" spans="1:57" s="133" customFormat="1" ht="30">
      <c r="A162" s="384" t="s">
        <v>221</v>
      </c>
      <c r="B162" s="390">
        <f>(B160-B161)/(B158-B161)</f>
        <v>1.8</v>
      </c>
      <c r="C162" s="390">
        <f>(C160-C161)/(C158-C161)</f>
        <v>5.076923076923077</v>
      </c>
      <c r="D162" s="390">
        <f>(D160-D161)/(D158-D161)</f>
        <v>2.875</v>
      </c>
      <c r="E162" s="39"/>
      <c r="F162" s="384" t="s">
        <v>125</v>
      </c>
      <c r="G162" s="219"/>
      <c r="H162" s="219"/>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row>
    <row r="163" spans="1:8" s="123" customFormat="1" ht="15">
      <c r="A163" s="384" t="s">
        <v>238</v>
      </c>
      <c r="B163" s="383">
        <f>(B162-1)*B157*B159/(24*7)</f>
        <v>0.45054945054945056</v>
      </c>
      <c r="C163" s="383">
        <f>(C162-1)*C157*C159/(24*7)</f>
        <v>38.74616969568893</v>
      </c>
      <c r="D163" s="383">
        <f>(D162-1)*D157*D159/(24*7)</f>
        <v>4.276699862637362</v>
      </c>
      <c r="E163" s="39" t="s">
        <v>39</v>
      </c>
      <c r="F163" s="384"/>
      <c r="G163" s="219"/>
      <c r="H163" s="219"/>
    </row>
    <row r="164" spans="1:8" ht="15">
      <c r="A164" s="222"/>
      <c r="B164" s="337"/>
      <c r="C164" s="337"/>
      <c r="D164" s="337"/>
      <c r="E164" s="337"/>
      <c r="F164" s="303"/>
      <c r="G164" s="58"/>
      <c r="H164" s="58"/>
    </row>
    <row r="165" spans="1:8" ht="15">
      <c r="A165" s="391"/>
      <c r="B165" s="376"/>
      <c r="C165" s="376"/>
      <c r="D165" s="376"/>
      <c r="E165" s="376"/>
      <c r="F165" s="372"/>
      <c r="G165" s="58"/>
      <c r="H165" s="58"/>
    </row>
    <row r="166" spans="1:8" ht="15">
      <c r="A166" s="392" t="s">
        <v>764</v>
      </c>
      <c r="B166" s="324"/>
      <c r="C166" s="324"/>
      <c r="D166" s="324"/>
      <c r="E166" s="324"/>
      <c r="F166" s="364"/>
      <c r="G166" s="58"/>
      <c r="H166" s="58"/>
    </row>
    <row r="167" spans="1:8" ht="30">
      <c r="A167" s="378"/>
      <c r="B167" s="393" t="s">
        <v>1</v>
      </c>
      <c r="C167" s="393" t="s">
        <v>2</v>
      </c>
      <c r="D167" s="393" t="s">
        <v>69</v>
      </c>
      <c r="E167" s="324"/>
      <c r="F167" s="364" t="s">
        <v>136</v>
      </c>
      <c r="G167" s="58"/>
      <c r="H167" s="58"/>
    </row>
    <row r="168" spans="1:8" ht="30">
      <c r="A168" s="357" t="s">
        <v>135</v>
      </c>
      <c r="B168" s="144">
        <f>C27</f>
        <v>24</v>
      </c>
      <c r="C168" s="144">
        <f>B27</f>
        <v>17</v>
      </c>
      <c r="D168" s="144">
        <f>D$27</f>
        <v>20</v>
      </c>
      <c r="E168" s="144" t="s">
        <v>19</v>
      </c>
      <c r="F168" s="298" t="s">
        <v>222</v>
      </c>
      <c r="G168" s="58"/>
      <c r="H168" s="58"/>
    </row>
    <row r="169" spans="1:8" ht="15">
      <c r="A169" s="357" t="s">
        <v>138</v>
      </c>
      <c r="B169" s="144">
        <f>$D15</f>
        <v>-18</v>
      </c>
      <c r="C169" s="144">
        <f>$D15</f>
        <v>-18</v>
      </c>
      <c r="D169" s="144">
        <f>$D15</f>
        <v>-18</v>
      </c>
      <c r="E169" s="144" t="s">
        <v>19</v>
      </c>
      <c r="F169" s="298"/>
      <c r="G169" s="58"/>
      <c r="H169" s="58"/>
    </row>
    <row r="170" spans="1:8" ht="15">
      <c r="A170" s="357" t="s">
        <v>139</v>
      </c>
      <c r="B170" s="144">
        <f>$D17</f>
        <v>-23</v>
      </c>
      <c r="C170" s="144">
        <f>$D17</f>
        <v>-23</v>
      </c>
      <c r="D170" s="144">
        <f>$D17</f>
        <v>-23</v>
      </c>
      <c r="E170" s="144" t="s">
        <v>19</v>
      </c>
      <c r="F170" s="298"/>
      <c r="G170" s="58"/>
      <c r="H170" s="58"/>
    </row>
    <row r="171" spans="1:8" s="123" customFormat="1" ht="15">
      <c r="A171" s="384" t="s">
        <v>137</v>
      </c>
      <c r="B171" s="383">
        <f>B126</f>
        <v>137.77777777777777</v>
      </c>
      <c r="C171" s="383">
        <f>C126</f>
        <v>871.1111111111111</v>
      </c>
      <c r="D171" s="383">
        <f>D126</f>
        <v>342.02761077710977</v>
      </c>
      <c r="E171" s="39" t="s">
        <v>39</v>
      </c>
      <c r="F171" s="384" t="s">
        <v>428</v>
      </c>
      <c r="G171" s="219"/>
      <c r="H171" s="219"/>
    </row>
    <row r="172" spans="1:8" ht="30">
      <c r="A172" s="384" t="s">
        <v>258</v>
      </c>
      <c r="B172" s="64">
        <f>POWER(((B168-B170)/(B168-B169)),2)</f>
        <v>1.2522675736961453</v>
      </c>
      <c r="C172" s="64">
        <f>POWER(((C168-C170)/(C168-C169)),2)</f>
        <v>1.3061224489795917</v>
      </c>
      <c r="D172" s="64">
        <f>POWER(((D168-D170)/(D168-D169)),2)</f>
        <v>1.2804709141274238</v>
      </c>
      <c r="E172" s="45"/>
      <c r="F172" s="46" t="s">
        <v>223</v>
      </c>
      <c r="G172" s="58"/>
      <c r="H172" s="58"/>
    </row>
    <row r="173" spans="1:8" s="123" customFormat="1" ht="15">
      <c r="A173" s="384" t="s">
        <v>140</v>
      </c>
      <c r="B173" s="383">
        <f>(B172-1)*B171</f>
        <v>34.75686570924668</v>
      </c>
      <c r="C173" s="383">
        <f>(C172-1)*C171</f>
        <v>266.6666666666666</v>
      </c>
      <c r="D173" s="383">
        <f>(D172-1)*D171</f>
        <v>95.92879665147467</v>
      </c>
      <c r="E173" s="39" t="s">
        <v>39</v>
      </c>
      <c r="F173" s="384"/>
      <c r="G173" s="219"/>
      <c r="H173" s="219"/>
    </row>
    <row r="174" spans="1:8" ht="15">
      <c r="A174" s="394"/>
      <c r="B174" s="337"/>
      <c r="C174" s="337"/>
      <c r="D174" s="337"/>
      <c r="E174" s="337"/>
      <c r="F174" s="303"/>
      <c r="G174" s="58"/>
      <c r="H174" s="58"/>
    </row>
    <row r="175" spans="1:8" ht="15">
      <c r="A175" s="40" t="s">
        <v>765</v>
      </c>
      <c r="B175" s="324"/>
      <c r="C175" s="324"/>
      <c r="D175" s="324"/>
      <c r="E175" s="324"/>
      <c r="F175" s="364"/>
      <c r="G175" s="58"/>
      <c r="H175" s="58"/>
    </row>
    <row r="176" spans="1:8" ht="15">
      <c r="A176" s="378"/>
      <c r="B176" s="393" t="s">
        <v>1</v>
      </c>
      <c r="C176" s="393" t="s">
        <v>2</v>
      </c>
      <c r="D176" s="393" t="s">
        <v>69</v>
      </c>
      <c r="E176" s="324"/>
      <c r="F176" s="364"/>
      <c r="G176" s="58"/>
      <c r="H176" s="58"/>
    </row>
    <row r="177" spans="1:8" ht="15">
      <c r="A177" s="357" t="s">
        <v>135</v>
      </c>
      <c r="B177" s="144">
        <f>C27</f>
        <v>24</v>
      </c>
      <c r="C177" s="144">
        <f>B27</f>
        <v>17</v>
      </c>
      <c r="D177" s="144">
        <f>$D27</f>
        <v>20</v>
      </c>
      <c r="E177" s="144" t="s">
        <v>19</v>
      </c>
      <c r="F177" s="298"/>
      <c r="G177" s="58"/>
      <c r="H177" s="58"/>
    </row>
    <row r="178" spans="1:8" ht="15">
      <c r="A178" s="357" t="s">
        <v>138</v>
      </c>
      <c r="B178" s="144">
        <f>$D14</f>
        <v>4</v>
      </c>
      <c r="C178" s="144">
        <v>4</v>
      </c>
      <c r="D178" s="144">
        <v>4</v>
      </c>
      <c r="E178" s="144" t="s">
        <v>19</v>
      </c>
      <c r="F178" s="298"/>
      <c r="G178" s="58"/>
      <c r="H178" s="58"/>
    </row>
    <row r="179" spans="1:8" ht="15">
      <c r="A179" s="357" t="s">
        <v>143</v>
      </c>
      <c r="B179" s="144">
        <f>$D16</f>
        <v>2</v>
      </c>
      <c r="C179" s="144">
        <f>$D16</f>
        <v>2</v>
      </c>
      <c r="D179" s="144">
        <f>$D16</f>
        <v>2</v>
      </c>
      <c r="E179" s="144" t="s">
        <v>19</v>
      </c>
      <c r="F179" s="298"/>
      <c r="G179" s="58"/>
      <c r="H179" s="58"/>
    </row>
    <row r="180" spans="1:8" s="123" customFormat="1" ht="15">
      <c r="A180" s="384" t="str">
        <f>A127</f>
        <v>Household fridge energy consumption</v>
      </c>
      <c r="B180" s="395">
        <f>B127</f>
        <v>80</v>
      </c>
      <c r="C180" s="395">
        <f>C127</f>
        <v>206.66666666666663</v>
      </c>
      <c r="D180" s="395">
        <f>D127</f>
        <v>146.41683366733466</v>
      </c>
      <c r="E180" s="39" t="s">
        <v>39</v>
      </c>
      <c r="F180" s="384" t="s">
        <v>428</v>
      </c>
      <c r="G180" s="219"/>
      <c r="H180" s="219"/>
    </row>
    <row r="181" spans="1:8" ht="30">
      <c r="A181" s="384" t="s">
        <v>258</v>
      </c>
      <c r="B181" s="64">
        <f>POWER(((B177-B179)/(B177-B178)),2)</f>
        <v>1.2100000000000002</v>
      </c>
      <c r="C181" s="64">
        <f>POWER(((C177-C179)/(C177-C178)),2)</f>
        <v>1.3313609467455618</v>
      </c>
      <c r="D181" s="64">
        <f>POWER(((D177-D179)/(D177-D178)),2)</f>
        <v>1.265625</v>
      </c>
      <c r="E181" s="45"/>
      <c r="F181" s="46" t="s">
        <v>223</v>
      </c>
      <c r="G181" s="58"/>
      <c r="H181" s="58"/>
    </row>
    <row r="182" spans="1:8" s="123" customFormat="1" ht="15">
      <c r="A182" s="384" t="s">
        <v>140</v>
      </c>
      <c r="B182" s="383">
        <f>(B181-1)*B180</f>
        <v>16.800000000000015</v>
      </c>
      <c r="C182" s="383">
        <f>(C181-1)*C180</f>
        <v>68.4812623274161</v>
      </c>
      <c r="D182" s="383">
        <f>(D181-1)*D180</f>
        <v>38.89197144288577</v>
      </c>
      <c r="E182" s="39" t="s">
        <v>39</v>
      </c>
      <c r="F182" s="384"/>
      <c r="G182" s="219"/>
      <c r="H182" s="219"/>
    </row>
    <row r="183" spans="1:8" ht="15">
      <c r="A183" s="388"/>
      <c r="B183" s="396"/>
      <c r="C183" s="396"/>
      <c r="D183" s="396"/>
      <c r="E183" s="337"/>
      <c r="F183" s="303"/>
      <c r="G183" s="58"/>
      <c r="H183" s="58"/>
    </row>
    <row r="184" spans="1:8" ht="15">
      <c r="A184" s="40" t="s">
        <v>766</v>
      </c>
      <c r="B184" s="324"/>
      <c r="C184" s="324"/>
      <c r="D184" s="324"/>
      <c r="E184" s="324"/>
      <c r="F184" s="364"/>
      <c r="G184" s="58"/>
      <c r="H184" s="58"/>
    </row>
    <row r="185" spans="1:8" ht="105">
      <c r="A185" s="40"/>
      <c r="B185" s="324"/>
      <c r="C185" s="324"/>
      <c r="D185" s="324"/>
      <c r="E185" s="324"/>
      <c r="F185" s="445" t="s">
        <v>732</v>
      </c>
      <c r="G185" s="58"/>
      <c r="H185" s="58"/>
    </row>
    <row r="186" spans="1:8" ht="15">
      <c r="A186" s="397"/>
      <c r="B186" s="393" t="s">
        <v>1</v>
      </c>
      <c r="C186" s="393" t="s">
        <v>2</v>
      </c>
      <c r="D186" s="393" t="s">
        <v>69</v>
      </c>
      <c r="E186" s="324"/>
      <c r="F186" s="364"/>
      <c r="G186" s="58"/>
      <c r="H186" s="58"/>
    </row>
    <row r="187" spans="1:8" ht="30">
      <c r="A187" s="34" t="s">
        <v>165</v>
      </c>
      <c r="B187" s="47">
        <f>B12</f>
        <v>90</v>
      </c>
      <c r="C187" s="47">
        <f>C12</f>
        <v>200</v>
      </c>
      <c r="D187" s="47">
        <f>D12</f>
        <v>110</v>
      </c>
      <c r="E187" s="34" t="s">
        <v>168</v>
      </c>
      <c r="F187" s="298" t="s">
        <v>239</v>
      </c>
      <c r="G187" s="58"/>
      <c r="H187" s="58"/>
    </row>
    <row r="188" spans="1:8" ht="30">
      <c r="A188" s="34" t="s">
        <v>166</v>
      </c>
      <c r="B188" s="47">
        <f>B47</f>
        <v>10</v>
      </c>
      <c r="C188" s="47">
        <f>C47</f>
        <v>30</v>
      </c>
      <c r="D188" s="47">
        <f>D47</f>
        <v>20</v>
      </c>
      <c r="E188" s="34" t="s">
        <v>167</v>
      </c>
      <c r="F188" s="298" t="s">
        <v>224</v>
      </c>
      <c r="G188" s="58"/>
      <c r="H188" s="58"/>
    </row>
    <row r="189" spans="1:8" ht="15">
      <c r="A189" s="34" t="s">
        <v>146</v>
      </c>
      <c r="B189" s="47">
        <f>$C$11</f>
        <v>3</v>
      </c>
      <c r="C189" s="47">
        <f>B11</f>
        <v>1</v>
      </c>
      <c r="D189" s="48">
        <f>D11</f>
        <v>2</v>
      </c>
      <c r="E189" s="49" t="s">
        <v>19</v>
      </c>
      <c r="F189" s="298"/>
      <c r="G189" s="58"/>
      <c r="H189" s="58"/>
    </row>
    <row r="190" spans="1:8" ht="15">
      <c r="A190" s="34" t="s">
        <v>256</v>
      </c>
      <c r="B190" s="50">
        <f>B28</f>
        <v>0.45</v>
      </c>
      <c r="C190" s="50">
        <f>C28</f>
        <v>0.7</v>
      </c>
      <c r="D190" s="50">
        <f>D28</f>
        <v>0.5</v>
      </c>
      <c r="E190" s="34" t="s">
        <v>19</v>
      </c>
      <c r="F190" s="298"/>
      <c r="G190" s="58"/>
      <c r="H190" s="58"/>
    </row>
    <row r="191" spans="1:8" ht="15">
      <c r="A191" s="39" t="s">
        <v>196</v>
      </c>
      <c r="B191" s="184">
        <f>B190*Water_sat_air*B187/2/1000</f>
        <v>0.0022275</v>
      </c>
      <c r="C191" s="184">
        <f>C190*Water_sat_air*C187/2/1000</f>
        <v>0.0077</v>
      </c>
      <c r="D191" s="184">
        <f>D190*Water_sat_air*D187/2/1000</f>
        <v>0.003025</v>
      </c>
      <c r="E191" s="39" t="s">
        <v>149</v>
      </c>
      <c r="F191" s="46" t="s">
        <v>197</v>
      </c>
      <c r="G191" s="58"/>
      <c r="H191" s="58"/>
    </row>
    <row r="192" spans="1:8" ht="15">
      <c r="A192" s="39" t="s">
        <v>58</v>
      </c>
      <c r="B192" s="371">
        <f>B191*Water_latent_heat_steam*B188/B189*365/3600</f>
        <v>1.70135625</v>
      </c>
      <c r="C192" s="371">
        <f>C191*Water_latent_heat_steam*C188/C189*365/3600</f>
        <v>52.93108333333334</v>
      </c>
      <c r="D192" s="371">
        <f>D191*Water_latent_heat_steam*D188/D189*365/3600</f>
        <v>6.931451388888888</v>
      </c>
      <c r="E192" s="45" t="s">
        <v>39</v>
      </c>
      <c r="F192" s="46"/>
      <c r="G192" s="58"/>
      <c r="H192" s="58"/>
    </row>
    <row r="193" spans="1:8" ht="15">
      <c r="A193" s="337"/>
      <c r="B193" s="337"/>
      <c r="C193" s="337"/>
      <c r="D193" s="337"/>
      <c r="E193" s="337"/>
      <c r="F193" s="303"/>
      <c r="G193" s="58"/>
      <c r="H193" s="58"/>
    </row>
    <row r="194" spans="1:8" ht="15">
      <c r="A194" s="40" t="s">
        <v>767</v>
      </c>
      <c r="B194" s="324"/>
      <c r="C194" s="324"/>
      <c r="D194" s="324"/>
      <c r="E194" s="324"/>
      <c r="F194" s="364"/>
      <c r="G194" s="58"/>
      <c r="H194" s="58"/>
    </row>
    <row r="195" spans="1:8" ht="15">
      <c r="A195" s="398"/>
      <c r="B195" s="399" t="s">
        <v>1</v>
      </c>
      <c r="C195" s="399" t="s">
        <v>2</v>
      </c>
      <c r="D195" s="399" t="s">
        <v>69</v>
      </c>
      <c r="E195" s="400"/>
      <c r="F195" s="401"/>
      <c r="G195" s="58"/>
      <c r="H195" s="58"/>
    </row>
    <row r="196" spans="1:8" ht="15">
      <c r="A196" s="402" t="s">
        <v>437</v>
      </c>
      <c r="B196" s="403">
        <f>B65</f>
        <v>0.1</v>
      </c>
      <c r="C196" s="403">
        <f>C65</f>
        <v>0.3</v>
      </c>
      <c r="D196" s="403">
        <f>D65</f>
        <v>0.2</v>
      </c>
      <c r="E196" s="402"/>
      <c r="F196" s="404"/>
      <c r="G196" s="58"/>
      <c r="H196" s="58"/>
    </row>
    <row r="197" spans="1:8" s="42" customFormat="1" ht="15">
      <c r="A197" s="405" t="str">
        <f>A126</f>
        <v>Household freezer energy consumption</v>
      </c>
      <c r="B197" s="406">
        <f>B126</f>
        <v>137.77777777777777</v>
      </c>
      <c r="C197" s="406">
        <f>C126</f>
        <v>871.1111111111111</v>
      </c>
      <c r="D197" s="406">
        <f>D126</f>
        <v>342.02761077710977</v>
      </c>
      <c r="E197" s="407" t="s">
        <v>39</v>
      </c>
      <c r="F197" s="405" t="s">
        <v>434</v>
      </c>
      <c r="G197" s="220"/>
      <c r="H197" s="220"/>
    </row>
    <row r="198" spans="1:8" s="42" customFormat="1" ht="15">
      <c r="A198" s="407" t="s">
        <v>678</v>
      </c>
      <c r="B198" s="406">
        <f>B196*B197</f>
        <v>13.777777777777779</v>
      </c>
      <c r="C198" s="406">
        <f>C196*C197</f>
        <v>261.3333333333333</v>
      </c>
      <c r="D198" s="406">
        <f>D196*D197</f>
        <v>68.40552215542196</v>
      </c>
      <c r="E198" s="407" t="s">
        <v>39</v>
      </c>
      <c r="F198" s="405"/>
      <c r="G198" s="220"/>
      <c r="H198" s="220"/>
    </row>
    <row r="199" spans="1:8" s="42" customFormat="1" ht="15">
      <c r="A199" s="150"/>
      <c r="B199" s="408"/>
      <c r="C199" s="408"/>
      <c r="D199" s="408"/>
      <c r="E199" s="150"/>
      <c r="F199" s="148"/>
      <c r="G199" s="220"/>
      <c r="H199" s="220"/>
    </row>
    <row r="200" spans="1:8" ht="15">
      <c r="A200" s="40" t="s">
        <v>768</v>
      </c>
      <c r="B200" s="40"/>
      <c r="C200" s="40"/>
      <c r="D200" s="40"/>
      <c r="E200" s="52"/>
      <c r="F200" s="53"/>
      <c r="G200" s="58"/>
      <c r="H200" s="58"/>
    </row>
    <row r="201" spans="1:8" ht="15">
      <c r="A201" s="409"/>
      <c r="B201" s="410" t="s">
        <v>1</v>
      </c>
      <c r="C201" s="410" t="s">
        <v>2</v>
      </c>
      <c r="D201" s="410" t="s">
        <v>69</v>
      </c>
      <c r="E201" s="411"/>
      <c r="F201" s="412"/>
      <c r="G201" s="58"/>
      <c r="H201" s="58"/>
    </row>
    <row r="202" spans="1:8" ht="15">
      <c r="A202" s="402" t="s">
        <v>246</v>
      </c>
      <c r="B202" s="403">
        <f>B61</f>
        <v>0.1</v>
      </c>
      <c r="C202" s="403">
        <f>C61</f>
        <v>0.5</v>
      </c>
      <c r="D202" s="403">
        <f>D$61</f>
        <v>0.25</v>
      </c>
      <c r="E202" s="402"/>
      <c r="F202" s="404"/>
      <c r="G202" s="58"/>
      <c r="H202" s="58"/>
    </row>
    <row r="203" spans="1:8" s="42" customFormat="1" ht="15">
      <c r="A203" s="405" t="str">
        <f>A127</f>
        <v>Household fridge energy consumption</v>
      </c>
      <c r="B203" s="406">
        <f>B127</f>
        <v>80</v>
      </c>
      <c r="C203" s="406">
        <f>C127</f>
        <v>206.66666666666663</v>
      </c>
      <c r="D203" s="406">
        <f>D127</f>
        <v>146.41683366733466</v>
      </c>
      <c r="E203" s="407" t="s">
        <v>39</v>
      </c>
      <c r="F203" s="405" t="s">
        <v>434</v>
      </c>
      <c r="G203" s="220"/>
      <c r="H203" s="220"/>
    </row>
    <row r="204" spans="1:8" s="42" customFormat="1" ht="15">
      <c r="A204" s="407" t="s">
        <v>247</v>
      </c>
      <c r="B204" s="406">
        <f>B202*B203</f>
        <v>8</v>
      </c>
      <c r="C204" s="406">
        <f>C202*C203</f>
        <v>103.33333333333331</v>
      </c>
      <c r="D204" s="406">
        <f>D202*D203</f>
        <v>36.604208416833664</v>
      </c>
      <c r="E204" s="407" t="s">
        <v>39</v>
      </c>
      <c r="F204" s="405"/>
      <c r="G204" s="220"/>
      <c r="H204" s="220"/>
    </row>
    <row r="205" spans="1:8" s="38" customFormat="1" ht="15">
      <c r="A205" s="150"/>
      <c r="B205" s="413"/>
      <c r="C205" s="413"/>
      <c r="D205" s="408"/>
      <c r="E205" s="150"/>
      <c r="F205" s="148"/>
      <c r="G205" s="58"/>
      <c r="H205" s="58"/>
    </row>
    <row r="206" spans="1:8" ht="15">
      <c r="A206" s="40" t="s">
        <v>770</v>
      </c>
      <c r="B206" s="324"/>
      <c r="C206" s="324"/>
      <c r="D206" s="324"/>
      <c r="E206" s="324"/>
      <c r="F206" s="364"/>
      <c r="G206" s="58"/>
      <c r="H206" s="58"/>
    </row>
    <row r="207" spans="1:8" ht="45">
      <c r="A207" s="378"/>
      <c r="B207" s="393" t="s">
        <v>1</v>
      </c>
      <c r="C207" s="393" t="s">
        <v>2</v>
      </c>
      <c r="D207" s="393" t="s">
        <v>69</v>
      </c>
      <c r="E207" s="324"/>
      <c r="F207" s="364" t="s">
        <v>680</v>
      </c>
      <c r="G207" s="58"/>
      <c r="H207" s="58"/>
    </row>
    <row r="208" spans="1:8" ht="15">
      <c r="A208" s="144" t="s">
        <v>145</v>
      </c>
      <c r="B208" s="144">
        <f>B41</f>
        <v>0.05</v>
      </c>
      <c r="C208" s="144">
        <f>C41</f>
        <v>0.5</v>
      </c>
      <c r="D208" s="144">
        <v>0.2</v>
      </c>
      <c r="E208" s="144" t="s">
        <v>149</v>
      </c>
      <c r="F208" s="298"/>
      <c r="G208" s="58"/>
      <c r="H208" s="58"/>
    </row>
    <row r="209" spans="1:8" ht="15">
      <c r="A209" s="144" t="s">
        <v>146</v>
      </c>
      <c r="B209" s="144">
        <f>C11</f>
        <v>3</v>
      </c>
      <c r="C209" s="144">
        <f>B11</f>
        <v>1</v>
      </c>
      <c r="D209" s="144">
        <f>D11</f>
        <v>2</v>
      </c>
      <c r="E209" s="144"/>
      <c r="F209" s="298" t="s">
        <v>152</v>
      </c>
      <c r="G209" s="58"/>
      <c r="H209" s="58"/>
    </row>
    <row r="210" spans="1:8" ht="15">
      <c r="A210" s="45" t="s">
        <v>58</v>
      </c>
      <c r="B210" s="371">
        <f>B208*Water_latent_heat_ice/B209*365/3600</f>
        <v>0.5643981481481481</v>
      </c>
      <c r="C210" s="371">
        <f>C208*Water_latent_heat_ice/C209*365/3600</f>
        <v>16.931944444444444</v>
      </c>
      <c r="D210" s="371">
        <f>D208*Water_latent_heat_ice/D209*365/3600</f>
        <v>3.386388888888889</v>
      </c>
      <c r="E210" s="45" t="s">
        <v>39</v>
      </c>
      <c r="F210" s="46"/>
      <c r="G210" s="58"/>
      <c r="H210" s="58"/>
    </row>
    <row r="211" spans="1:8" ht="15">
      <c r="A211" s="337"/>
      <c r="B211" s="337"/>
      <c r="C211" s="337"/>
      <c r="D211" s="337"/>
      <c r="E211" s="337"/>
      <c r="F211" s="303"/>
      <c r="G211" s="58"/>
      <c r="H211" s="58"/>
    </row>
    <row r="212" spans="1:8" ht="15">
      <c r="A212" s="40" t="s">
        <v>769</v>
      </c>
      <c r="B212" s="324"/>
      <c r="C212" s="324"/>
      <c r="D212" s="324"/>
      <c r="E212" s="324"/>
      <c r="F212" s="364"/>
      <c r="G212" s="58"/>
      <c r="H212" s="58"/>
    </row>
    <row r="213" spans="1:8" ht="45">
      <c r="A213" s="40"/>
      <c r="B213" s="324"/>
      <c r="C213" s="324"/>
      <c r="D213" s="324"/>
      <c r="E213" s="324"/>
      <c r="F213" s="364" t="s">
        <v>420</v>
      </c>
      <c r="G213" s="58"/>
      <c r="H213" s="58"/>
    </row>
    <row r="214" spans="1:8" ht="15">
      <c r="A214" s="378"/>
      <c r="B214" s="393" t="s">
        <v>1</v>
      </c>
      <c r="C214" s="393" t="s">
        <v>2</v>
      </c>
      <c r="D214" s="393" t="s">
        <v>69</v>
      </c>
      <c r="E214" s="324"/>
      <c r="F214" s="364"/>
      <c r="G214" s="58"/>
      <c r="H214" s="58"/>
    </row>
    <row r="215" spans="1:8" ht="15">
      <c r="A215" s="34" t="s">
        <v>154</v>
      </c>
      <c r="B215" s="144">
        <f>B43</f>
        <v>0.25</v>
      </c>
      <c r="C215" s="144">
        <f>C43</f>
        <v>1</v>
      </c>
      <c r="D215" s="144">
        <f>D43</f>
        <v>0.4</v>
      </c>
      <c r="E215" s="144" t="s">
        <v>149</v>
      </c>
      <c r="F215" s="298"/>
      <c r="G215" s="58"/>
      <c r="H215" s="58"/>
    </row>
    <row r="216" spans="1:8" ht="15">
      <c r="A216" s="34" t="s">
        <v>146</v>
      </c>
      <c r="B216" s="144">
        <f>C11</f>
        <v>3</v>
      </c>
      <c r="C216" s="144">
        <f>B11</f>
        <v>1</v>
      </c>
      <c r="D216" s="387">
        <f>D11</f>
        <v>2</v>
      </c>
      <c r="E216" s="144"/>
      <c r="F216" s="298"/>
      <c r="G216" s="58"/>
      <c r="H216" s="58"/>
    </row>
    <row r="217" spans="1:8" ht="15">
      <c r="A217" s="34" t="s">
        <v>153</v>
      </c>
      <c r="B217" s="144">
        <f>$D$27</f>
        <v>20</v>
      </c>
      <c r="C217" s="144">
        <f>$D$27</f>
        <v>20</v>
      </c>
      <c r="D217" s="144">
        <f>$D$27</f>
        <v>20</v>
      </c>
      <c r="E217" s="144" t="s">
        <v>19</v>
      </c>
      <c r="F217" s="298"/>
      <c r="G217" s="58"/>
      <c r="H217" s="58"/>
    </row>
    <row r="218" spans="1:8" ht="15">
      <c r="A218" s="34" t="s">
        <v>121</v>
      </c>
      <c r="B218" s="144">
        <f>$D$14</f>
        <v>4</v>
      </c>
      <c r="C218" s="144">
        <f>$D$14</f>
        <v>4</v>
      </c>
      <c r="D218" s="144">
        <f>$D$14</f>
        <v>4</v>
      </c>
      <c r="E218" s="144" t="s">
        <v>19</v>
      </c>
      <c r="F218" s="298"/>
      <c r="G218" s="58"/>
      <c r="H218" s="58"/>
    </row>
    <row r="219" spans="1:8" ht="15">
      <c r="A219" s="39" t="s">
        <v>58</v>
      </c>
      <c r="B219" s="371">
        <f>B215*(B217-B218)*Water_specific_heat*365/B216/3600</f>
        <v>0.5677777777777778</v>
      </c>
      <c r="C219" s="371">
        <f>C215*(C217-C218)*Water_specific_heat*365/C216/3600</f>
        <v>6.8133333333333335</v>
      </c>
      <c r="D219" s="371">
        <f>D215*(D217-D218)*Water_specific_heat*365/D216/3600</f>
        <v>1.3626666666666667</v>
      </c>
      <c r="E219" s="45" t="s">
        <v>39</v>
      </c>
      <c r="F219" s="46"/>
      <c r="G219" s="58"/>
      <c r="H219" s="58"/>
    </row>
    <row r="220" spans="1:8" ht="15">
      <c r="A220" s="222"/>
      <c r="B220" s="337"/>
      <c r="C220" s="337"/>
      <c r="D220" s="337"/>
      <c r="E220" s="337"/>
      <c r="F220" s="303"/>
      <c r="G220" s="58"/>
      <c r="H220" s="58"/>
    </row>
    <row r="221" spans="1:8" ht="15">
      <c r="A221" s="40" t="s">
        <v>771</v>
      </c>
      <c r="B221" s="324"/>
      <c r="C221" s="324"/>
      <c r="D221" s="324"/>
      <c r="E221" s="324"/>
      <c r="F221" s="364"/>
      <c r="G221" s="58"/>
      <c r="H221" s="58"/>
    </row>
    <row r="222" spans="1:8" ht="15">
      <c r="A222" s="378"/>
      <c r="B222" s="393" t="s">
        <v>1</v>
      </c>
      <c r="C222" s="393" t="s">
        <v>2</v>
      </c>
      <c r="D222" s="393" t="s">
        <v>69</v>
      </c>
      <c r="E222" s="324"/>
      <c r="F222" s="364"/>
      <c r="G222" s="58"/>
      <c r="H222" s="58"/>
    </row>
    <row r="223" spans="1:8" ht="15">
      <c r="A223" s="34" t="s">
        <v>156</v>
      </c>
      <c r="B223" s="144">
        <f>B44</f>
        <v>0.1</v>
      </c>
      <c r="C223" s="144">
        <f>C44</f>
        <v>0.5</v>
      </c>
      <c r="D223" s="144">
        <f>D44</f>
        <v>0.25</v>
      </c>
      <c r="E223" s="144" t="s">
        <v>149</v>
      </c>
      <c r="F223" s="298"/>
      <c r="G223" s="58"/>
      <c r="H223" s="58"/>
    </row>
    <row r="224" spans="1:8" ht="15">
      <c r="A224" s="34" t="s">
        <v>146</v>
      </c>
      <c r="B224" s="144">
        <f>C11</f>
        <v>3</v>
      </c>
      <c r="C224" s="144">
        <f>B11</f>
        <v>1</v>
      </c>
      <c r="D224" s="387">
        <f>D11</f>
        <v>2</v>
      </c>
      <c r="E224" s="144"/>
      <c r="F224" s="298"/>
      <c r="G224" s="58"/>
      <c r="H224" s="58"/>
    </row>
    <row r="225" spans="1:8" ht="15">
      <c r="A225" s="34" t="s">
        <v>155</v>
      </c>
      <c r="B225" s="144">
        <f>B45</f>
        <v>35</v>
      </c>
      <c r="C225" s="144">
        <f>C45</f>
        <v>60</v>
      </c>
      <c r="D225" s="144">
        <f>D45</f>
        <v>40</v>
      </c>
      <c r="E225" s="144" t="s">
        <v>19</v>
      </c>
      <c r="F225" s="298"/>
      <c r="G225" s="58"/>
      <c r="H225" s="58"/>
    </row>
    <row r="226" spans="1:8" ht="15">
      <c r="A226" s="34" t="s">
        <v>121</v>
      </c>
      <c r="B226" s="144">
        <f>$D$14</f>
        <v>4</v>
      </c>
      <c r="C226" s="144">
        <f>$D$14</f>
        <v>4</v>
      </c>
      <c r="D226" s="144">
        <f>$D$14</f>
        <v>4</v>
      </c>
      <c r="E226" s="144" t="s">
        <v>19</v>
      </c>
      <c r="F226" s="298"/>
      <c r="G226" s="58"/>
      <c r="H226" s="58"/>
    </row>
    <row r="227" spans="1:8" ht="15">
      <c r="A227" s="39" t="s">
        <v>58</v>
      </c>
      <c r="B227" s="371">
        <f>B223*(B225-B226)*Water_specific_heat*365/B224/3600</f>
        <v>0.4400277777777778</v>
      </c>
      <c r="C227" s="371">
        <f>C223*(C225-C226)*Water_specific_heat*365/C224/3600</f>
        <v>11.923333333333334</v>
      </c>
      <c r="D227" s="371">
        <f>D223*(D225-D226)*Water_specific_heat*365/D224/3600</f>
        <v>1.9162500000000002</v>
      </c>
      <c r="E227" s="45" t="s">
        <v>39</v>
      </c>
      <c r="F227" s="46"/>
      <c r="G227" s="58"/>
      <c r="H227" s="58"/>
    </row>
    <row r="228" spans="1:8" ht="15">
      <c r="A228" s="414"/>
      <c r="B228" s="415"/>
      <c r="C228" s="415"/>
      <c r="D228" s="415"/>
      <c r="E228" s="337"/>
      <c r="F228" s="303"/>
      <c r="G228" s="58"/>
      <c r="H228" s="58"/>
    </row>
    <row r="229" spans="1:8" ht="15">
      <c r="A229" s="40" t="s">
        <v>772</v>
      </c>
      <c r="B229" s="349"/>
      <c r="C229" s="349"/>
      <c r="D229" s="349"/>
      <c r="E229" s="324"/>
      <c r="F229" s="364"/>
      <c r="G229" s="58"/>
      <c r="H229" s="58"/>
    </row>
    <row r="230" spans="1:8" ht="75">
      <c r="A230" s="40"/>
      <c r="B230" s="349"/>
      <c r="C230" s="349"/>
      <c r="D230" s="349"/>
      <c r="E230" s="324"/>
      <c r="F230" s="364" t="s">
        <v>681</v>
      </c>
      <c r="G230" s="58"/>
      <c r="H230" s="58"/>
    </row>
    <row r="231" spans="1:8" ht="15">
      <c r="A231" s="378"/>
      <c r="B231" s="393" t="s">
        <v>175</v>
      </c>
      <c r="C231" s="393" t="s">
        <v>176</v>
      </c>
      <c r="D231" s="393" t="s">
        <v>19</v>
      </c>
      <c r="E231" s="324"/>
      <c r="F231" s="364"/>
      <c r="G231" s="58"/>
      <c r="H231" s="58"/>
    </row>
    <row r="232" spans="1:8" ht="90">
      <c r="A232" s="370" t="s">
        <v>683</v>
      </c>
      <c r="B232" s="144"/>
      <c r="C232" s="144"/>
      <c r="D232" s="144"/>
      <c r="E232" s="144"/>
      <c r="F232" s="298" t="s">
        <v>682</v>
      </c>
      <c r="G232" s="220"/>
      <c r="H232" s="58"/>
    </row>
    <row r="233" spans="1:8" ht="15">
      <c r="A233" s="144" t="s">
        <v>170</v>
      </c>
      <c r="B233" s="25"/>
      <c r="C233" s="144">
        <v>142</v>
      </c>
      <c r="D233" s="144"/>
      <c r="E233" s="144" t="s">
        <v>39</v>
      </c>
      <c r="F233" s="78" t="s">
        <v>181</v>
      </c>
      <c r="G233" s="58"/>
      <c r="H233" s="58"/>
    </row>
    <row r="234" spans="1:8" ht="15">
      <c r="A234" s="144" t="s">
        <v>174</v>
      </c>
      <c r="B234" s="25"/>
      <c r="C234" s="144">
        <v>283</v>
      </c>
      <c r="D234" s="144"/>
      <c r="E234" s="144" t="s">
        <v>39</v>
      </c>
      <c r="F234" s="78" t="s">
        <v>184</v>
      </c>
      <c r="G234" s="58"/>
      <c r="H234" s="58"/>
    </row>
    <row r="235" spans="1:8" ht="15">
      <c r="A235" s="370" t="s">
        <v>171</v>
      </c>
      <c r="B235" s="144"/>
      <c r="C235" s="144"/>
      <c r="D235" s="144"/>
      <c r="E235" s="144"/>
      <c r="F235" s="298"/>
      <c r="G235" s="58"/>
      <c r="H235" s="58"/>
    </row>
    <row r="236" spans="1:8" ht="15">
      <c r="A236" s="144" t="s">
        <v>177</v>
      </c>
      <c r="B236" s="144"/>
      <c r="C236" s="25"/>
      <c r="D236" s="144">
        <v>146</v>
      </c>
      <c r="E236" s="144" t="s">
        <v>39</v>
      </c>
      <c r="F236" s="78" t="s">
        <v>182</v>
      </c>
      <c r="G236" s="58"/>
      <c r="H236" s="58"/>
    </row>
    <row r="237" spans="1:8" ht="15">
      <c r="A237" s="144" t="s">
        <v>172</v>
      </c>
      <c r="B237" s="144"/>
      <c r="C237" s="25"/>
      <c r="D237" s="144">
        <v>170</v>
      </c>
      <c r="E237" s="144" t="s">
        <v>39</v>
      </c>
      <c r="F237" s="78" t="s">
        <v>183</v>
      </c>
      <c r="G237" s="58"/>
      <c r="H237" s="58"/>
    </row>
    <row r="238" spans="1:8" ht="15">
      <c r="A238" s="370" t="s">
        <v>173</v>
      </c>
      <c r="B238" s="144"/>
      <c r="C238" s="144"/>
      <c r="D238" s="144"/>
      <c r="E238" s="144"/>
      <c r="F238" s="298"/>
      <c r="G238" s="58"/>
      <c r="H238" s="58"/>
    </row>
    <row r="239" spans="1:8" ht="15">
      <c r="A239" s="144" t="s">
        <v>178</v>
      </c>
      <c r="B239" s="144">
        <v>283</v>
      </c>
      <c r="C239" s="144"/>
      <c r="D239" s="25"/>
      <c r="E239" s="144" t="s">
        <v>39</v>
      </c>
      <c r="F239" s="78" t="s">
        <v>184</v>
      </c>
      <c r="G239" s="58"/>
      <c r="H239" s="58"/>
    </row>
    <row r="240" spans="1:8" ht="15">
      <c r="A240" s="144" t="s">
        <v>177</v>
      </c>
      <c r="B240" s="144">
        <v>146</v>
      </c>
      <c r="C240" s="144"/>
      <c r="D240" s="25"/>
      <c r="E240" s="144" t="s">
        <v>39</v>
      </c>
      <c r="F240" s="78" t="s">
        <v>182</v>
      </c>
      <c r="G240" s="58"/>
      <c r="H240" s="58"/>
    </row>
    <row r="241" spans="1:8" ht="29.25" customHeight="1">
      <c r="A241" s="144" t="s">
        <v>179</v>
      </c>
      <c r="B241" s="144">
        <v>150</v>
      </c>
      <c r="C241" s="144"/>
      <c r="D241" s="25"/>
      <c r="E241" s="144" t="s">
        <v>39</v>
      </c>
      <c r="F241" s="78" t="s">
        <v>180</v>
      </c>
      <c r="G241" s="58"/>
      <c r="H241" s="58"/>
    </row>
    <row r="242" spans="1:8" s="42" customFormat="1" ht="15">
      <c r="A242" s="370" t="s">
        <v>722</v>
      </c>
      <c r="B242" s="447" t="s">
        <v>1</v>
      </c>
      <c r="C242" s="447" t="s">
        <v>2</v>
      </c>
      <c r="D242" s="447" t="s">
        <v>69</v>
      </c>
      <c r="E242" s="144"/>
      <c r="F242" s="442"/>
      <c r="G242" s="220"/>
      <c r="H242" s="220"/>
    </row>
    <row r="243" spans="1:8" s="42" customFormat="1" ht="15">
      <c r="A243" s="144" t="str">
        <f>A56</f>
        <v>Round trip shopping distance</v>
      </c>
      <c r="B243" s="387">
        <f>C56</f>
        <v>10</v>
      </c>
      <c r="C243" s="387">
        <f>B56</f>
        <v>2</v>
      </c>
      <c r="D243" s="387">
        <f aca="true" t="shared" si="2" ref="D243:E245">D56</f>
        <v>5</v>
      </c>
      <c r="E243" s="387" t="str">
        <f t="shared" si="2"/>
        <v>km</v>
      </c>
      <c r="F243" s="442"/>
      <c r="G243" s="220"/>
      <c r="H243" s="220"/>
    </row>
    <row r="244" spans="1:8" s="42" customFormat="1" ht="15">
      <c r="A244" s="144" t="str">
        <f>A57</f>
        <v>Extra shopping trips by car due to buying food more often</v>
      </c>
      <c r="B244" s="387">
        <f>C57</f>
        <v>2</v>
      </c>
      <c r="C244" s="387">
        <f>B57</f>
        <v>0</v>
      </c>
      <c r="D244" s="387">
        <f t="shared" si="2"/>
        <v>1</v>
      </c>
      <c r="E244" s="387" t="str">
        <f t="shared" si="2"/>
        <v>/week</v>
      </c>
      <c r="F244" s="442"/>
      <c r="G244" s="220"/>
      <c r="H244" s="220"/>
    </row>
    <row r="245" spans="1:8" s="42" customFormat="1" ht="15">
      <c r="A245" s="144" t="str">
        <f>A58</f>
        <v>Fuel consumption of car</v>
      </c>
      <c r="B245" s="387">
        <f>C58</f>
        <v>7.800000000000001</v>
      </c>
      <c r="C245" s="387">
        <f>B58</f>
        <v>4</v>
      </c>
      <c r="D245" s="387">
        <f t="shared" si="2"/>
        <v>6</v>
      </c>
      <c r="E245" s="387" t="str">
        <f t="shared" si="2"/>
        <v>litres/100 km</v>
      </c>
      <c r="F245" s="442"/>
      <c r="G245" s="220"/>
      <c r="H245" s="220"/>
    </row>
    <row r="246" spans="1:8" s="42" customFormat="1" ht="15">
      <c r="A246" s="45" t="s">
        <v>721</v>
      </c>
      <c r="B246" s="45">
        <f>B241+B240-B239</f>
        <v>13</v>
      </c>
      <c r="C246" s="45">
        <f>C234-C233</f>
        <v>141</v>
      </c>
      <c r="D246" s="45">
        <f>D237-D236</f>
        <v>24</v>
      </c>
      <c r="E246" s="45" t="s">
        <v>39</v>
      </c>
      <c r="F246" s="443"/>
      <c r="G246" s="220"/>
      <c r="H246" s="220"/>
    </row>
    <row r="247" spans="1:8" s="42" customFormat="1" ht="15">
      <c r="A247" s="45" t="s">
        <v>723</v>
      </c>
      <c r="B247" s="436">
        <f>B243*B244*B245/100*10</f>
        <v>15.600000000000001</v>
      </c>
      <c r="C247" s="45">
        <f>C243*C244*C245/100*10</f>
        <v>0</v>
      </c>
      <c r="D247" s="45">
        <f>D243*D244*D245/100*10</f>
        <v>3</v>
      </c>
      <c r="E247" s="45" t="s">
        <v>39</v>
      </c>
      <c r="F247" s="443"/>
      <c r="G247" s="220"/>
      <c r="H247" s="220"/>
    </row>
    <row r="248" spans="1:8" s="42" customFormat="1" ht="15">
      <c r="A248" s="45" t="s">
        <v>725</v>
      </c>
      <c r="B248" s="436">
        <f>B246-B247</f>
        <v>-2.6000000000000014</v>
      </c>
      <c r="C248" s="45">
        <f>C246-C247</f>
        <v>141</v>
      </c>
      <c r="D248" s="45">
        <f>D246-D247</f>
        <v>21</v>
      </c>
      <c r="E248" s="45" t="s">
        <v>39</v>
      </c>
      <c r="F248" s="443"/>
      <c r="G248" s="220"/>
      <c r="H248" s="220"/>
    </row>
    <row r="249" spans="1:8" ht="15">
      <c r="A249" s="337"/>
      <c r="B249" s="337"/>
      <c r="C249" s="337"/>
      <c r="D249" s="337"/>
      <c r="E249" s="337"/>
      <c r="F249" s="303"/>
      <c r="G249" s="58"/>
      <c r="H249" s="58"/>
    </row>
    <row r="250" spans="1:8" ht="15">
      <c r="A250" s="40" t="s">
        <v>773</v>
      </c>
      <c r="B250" s="324"/>
      <c r="C250" s="324"/>
      <c r="D250" s="324"/>
      <c r="E250" s="324"/>
      <c r="F250" s="364"/>
      <c r="G250" s="58"/>
      <c r="H250" s="58"/>
    </row>
    <row r="251" spans="1:8" ht="15">
      <c r="A251" s="378"/>
      <c r="B251" s="393" t="s">
        <v>1</v>
      </c>
      <c r="C251" s="393" t="s">
        <v>2</v>
      </c>
      <c r="D251" s="393" t="s">
        <v>69</v>
      </c>
      <c r="E251" s="324"/>
      <c r="F251" s="364"/>
      <c r="G251" s="58"/>
      <c r="H251" s="58"/>
    </row>
    <row r="252" spans="1:8" ht="15">
      <c r="A252" s="359" t="s">
        <v>677</v>
      </c>
      <c r="B252" s="416"/>
      <c r="C252" s="416"/>
      <c r="D252" s="417">
        <v>0.67</v>
      </c>
      <c r="E252" s="359"/>
      <c r="F252" s="418"/>
      <c r="G252" s="58"/>
      <c r="H252" s="58"/>
    </row>
    <row r="253" spans="1:8" ht="15">
      <c r="A253" s="359" t="s">
        <v>676</v>
      </c>
      <c r="B253" s="416"/>
      <c r="C253" s="416"/>
      <c r="D253" s="416">
        <v>468.6</v>
      </c>
      <c r="E253" s="359" t="s">
        <v>39</v>
      </c>
      <c r="F253" s="418"/>
      <c r="G253" s="58"/>
      <c r="H253" s="58"/>
    </row>
    <row r="254" spans="1:8" ht="15">
      <c r="A254" s="359" t="s">
        <v>242</v>
      </c>
      <c r="B254" s="416"/>
      <c r="C254" s="416"/>
      <c r="D254" s="417">
        <v>0.33</v>
      </c>
      <c r="E254" s="359"/>
      <c r="F254" s="418"/>
      <c r="G254" s="58"/>
      <c r="H254" s="58"/>
    </row>
    <row r="255" spans="1:8" ht="15">
      <c r="A255" s="359" t="s">
        <v>243</v>
      </c>
      <c r="B255" s="416"/>
      <c r="C255" s="416"/>
      <c r="D255" s="416">
        <v>212.3</v>
      </c>
      <c r="E255" s="359" t="s">
        <v>39</v>
      </c>
      <c r="F255" s="418"/>
      <c r="G255" s="58"/>
      <c r="H255" s="58"/>
    </row>
    <row r="256" spans="1:8" ht="15">
      <c r="A256" s="359" t="s">
        <v>244</v>
      </c>
      <c r="B256" s="416"/>
      <c r="C256" s="416"/>
      <c r="D256" s="417">
        <v>0.44</v>
      </c>
      <c r="E256" s="359"/>
      <c r="F256" s="418"/>
      <c r="G256" s="58"/>
      <c r="H256" s="58"/>
    </row>
    <row r="257" spans="1:8" ht="15">
      <c r="A257" s="359" t="s">
        <v>245</v>
      </c>
      <c r="B257" s="416"/>
      <c r="C257" s="416"/>
      <c r="D257" s="419">
        <v>301.4</v>
      </c>
      <c r="E257" s="359" t="s">
        <v>39</v>
      </c>
      <c r="F257" s="418"/>
      <c r="G257" s="58"/>
      <c r="H257" s="58"/>
    </row>
    <row r="258" spans="1:8" ht="15">
      <c r="A258" s="359" t="s">
        <v>246</v>
      </c>
      <c r="B258" s="417">
        <v>0.1</v>
      </c>
      <c r="C258" s="417">
        <v>0.5</v>
      </c>
      <c r="D258" s="417">
        <v>0.25</v>
      </c>
      <c r="E258" s="359"/>
      <c r="F258" s="418"/>
      <c r="G258" s="58"/>
      <c r="H258" s="58"/>
    </row>
    <row r="259" spans="1:8" ht="15">
      <c r="A259" s="420" t="s">
        <v>675</v>
      </c>
      <c r="B259" s="420"/>
      <c r="C259" s="421"/>
      <c r="D259" s="422">
        <v>517</v>
      </c>
      <c r="E259" s="420" t="s">
        <v>39</v>
      </c>
      <c r="F259" s="423"/>
      <c r="G259" s="58"/>
      <c r="H259" s="58"/>
    </row>
    <row r="260" spans="1:8" ht="15">
      <c r="A260" s="420" t="s">
        <v>247</v>
      </c>
      <c r="B260" s="422">
        <v>52</v>
      </c>
      <c r="C260" s="422">
        <v>259</v>
      </c>
      <c r="D260" s="422">
        <v>129</v>
      </c>
      <c r="E260" s="420" t="s">
        <v>39</v>
      </c>
      <c r="F260" s="423"/>
      <c r="G260" s="58"/>
      <c r="H260" s="58"/>
    </row>
    <row r="261" spans="1:8" s="38" customFormat="1" ht="15">
      <c r="A261" s="150"/>
      <c r="B261" s="408"/>
      <c r="C261" s="408"/>
      <c r="D261" s="408"/>
      <c r="E261" s="150"/>
      <c r="F261" s="148"/>
      <c r="G261" s="58"/>
      <c r="H261" s="58"/>
    </row>
    <row r="262" spans="1:8" ht="15">
      <c r="A262" s="40" t="s">
        <v>774</v>
      </c>
      <c r="B262" s="324"/>
      <c r="C262" s="324"/>
      <c r="D262" s="324"/>
      <c r="E262" s="324"/>
      <c r="F262" s="364"/>
      <c r="G262" s="58"/>
      <c r="H262" s="58"/>
    </row>
    <row r="263" spans="1:8" ht="90">
      <c r="A263" s="40"/>
      <c r="B263" s="324"/>
      <c r="C263" s="324"/>
      <c r="D263" s="324"/>
      <c r="E263" s="324"/>
      <c r="F263" s="364" t="s">
        <v>684</v>
      </c>
      <c r="G263" s="58"/>
      <c r="H263" s="58"/>
    </row>
    <row r="264" spans="1:8" ht="15">
      <c r="A264" s="378"/>
      <c r="B264" s="393" t="s">
        <v>1</v>
      </c>
      <c r="C264" s="393" t="s">
        <v>2</v>
      </c>
      <c r="D264" s="393" t="s">
        <v>69</v>
      </c>
      <c r="E264" s="324"/>
      <c r="F264" s="364"/>
      <c r="G264" s="58"/>
      <c r="H264" s="58"/>
    </row>
    <row r="265" spans="1:8" ht="15" customHeight="1">
      <c r="A265" s="360" t="s">
        <v>365</v>
      </c>
      <c r="B265" s="424">
        <v>135</v>
      </c>
      <c r="C265" s="424"/>
      <c r="D265" s="424"/>
      <c r="E265" s="144" t="s">
        <v>39</v>
      </c>
      <c r="F265" s="78" t="s">
        <v>225</v>
      </c>
      <c r="G265" s="58"/>
      <c r="H265" s="58"/>
    </row>
    <row r="266" spans="1:8" ht="15" customHeight="1">
      <c r="A266" s="360" t="s">
        <v>257</v>
      </c>
      <c r="B266" s="424"/>
      <c r="C266" s="424">
        <v>365</v>
      </c>
      <c r="D266" s="424">
        <v>365</v>
      </c>
      <c r="E266" s="144" t="s">
        <v>39</v>
      </c>
      <c r="F266" s="78" t="s">
        <v>226</v>
      </c>
      <c r="G266" s="58"/>
      <c r="H266" s="58"/>
    </row>
    <row r="267" spans="1:8" ht="15" customHeight="1">
      <c r="A267" s="360" t="str">
        <f>A23</f>
        <v>Proportion of time second freezer switched on </v>
      </c>
      <c r="B267" s="425">
        <f>B23</f>
        <v>0.2</v>
      </c>
      <c r="C267" s="425">
        <f>C23</f>
        <v>1</v>
      </c>
      <c r="D267" s="425">
        <f>D23</f>
        <v>0.3</v>
      </c>
      <c r="E267" s="144" t="s">
        <v>39</v>
      </c>
      <c r="F267" s="426"/>
      <c r="G267" s="58"/>
      <c r="H267" s="58"/>
    </row>
    <row r="268" spans="1:8" s="102" customFormat="1" ht="15" customHeight="1">
      <c r="A268" s="134" t="s">
        <v>227</v>
      </c>
      <c r="B268" s="51">
        <f>B267*B265</f>
        <v>27</v>
      </c>
      <c r="C268" s="51">
        <f>C267*C266</f>
        <v>365</v>
      </c>
      <c r="D268" s="51">
        <f>D267*D266</f>
        <v>109.5</v>
      </c>
      <c r="E268" s="39" t="s">
        <v>39</v>
      </c>
      <c r="F268" s="135"/>
      <c r="G268" s="222"/>
      <c r="H268" s="222"/>
    </row>
    <row r="269" spans="1:8" ht="15" customHeight="1">
      <c r="A269" s="427"/>
      <c r="B269" s="415"/>
      <c r="C269" s="415"/>
      <c r="D269" s="415"/>
      <c r="E269" s="337"/>
      <c r="F269" s="428"/>
      <c r="G269" s="58"/>
      <c r="H269" s="58"/>
    </row>
    <row r="270" spans="1:8" s="123" customFormat="1" ht="15">
      <c r="A270" s="392" t="s">
        <v>775</v>
      </c>
      <c r="B270" s="52"/>
      <c r="C270" s="52"/>
      <c r="D270" s="52"/>
      <c r="E270" s="52"/>
      <c r="F270" s="53"/>
      <c r="G270" s="219"/>
      <c r="H270" s="219"/>
    </row>
    <row r="271" spans="1:8" s="123" customFormat="1" ht="150">
      <c r="A271" s="392"/>
      <c r="B271" s="52"/>
      <c r="C271" s="52"/>
      <c r="D271" s="52"/>
      <c r="E271" s="52"/>
      <c r="F271" s="53" t="s">
        <v>691</v>
      </c>
      <c r="G271" s="219"/>
      <c r="H271" s="219"/>
    </row>
    <row r="272" spans="1:8" s="123" customFormat="1" ht="15">
      <c r="A272" s="378"/>
      <c r="B272" s="379" t="s">
        <v>1</v>
      </c>
      <c r="C272" s="379" t="s">
        <v>2</v>
      </c>
      <c r="D272" s="379" t="s">
        <v>69</v>
      </c>
      <c r="E272" s="52"/>
      <c r="F272" s="53"/>
      <c r="G272" s="219"/>
      <c r="H272" s="219"/>
    </row>
    <row r="273" spans="1:8" s="123" customFormat="1" ht="15">
      <c r="A273" s="429" t="s">
        <v>685</v>
      </c>
      <c r="B273" s="430">
        <v>0.05</v>
      </c>
      <c r="C273" s="430">
        <v>0.2</v>
      </c>
      <c r="D273" s="430">
        <v>0.1</v>
      </c>
      <c r="E273" s="52"/>
      <c r="F273" s="53" t="s">
        <v>111</v>
      </c>
      <c r="G273" s="219"/>
      <c r="H273" s="219"/>
    </row>
    <row r="274" spans="1:8" s="123" customFormat="1" ht="15">
      <c r="A274" s="429" t="s">
        <v>686</v>
      </c>
      <c r="B274" s="430">
        <v>0.2</v>
      </c>
      <c r="C274" s="430">
        <v>0.4</v>
      </c>
      <c r="D274" s="430">
        <v>0.3</v>
      </c>
      <c r="E274" s="52"/>
      <c r="F274" s="53" t="s">
        <v>111</v>
      </c>
      <c r="G274" s="219"/>
      <c r="H274" s="219"/>
    </row>
    <row r="275" spans="1:8" s="123" customFormat="1" ht="60" customHeight="1">
      <c r="A275" s="429" t="str">
        <f aca="true" t="shared" si="3" ref="A275:F275">A70</f>
        <v>Daily food intake</v>
      </c>
      <c r="B275" s="378">
        <f t="shared" si="3"/>
        <v>1.9319999999999997</v>
      </c>
      <c r="C275" s="378">
        <f t="shared" si="3"/>
        <v>4.83</v>
      </c>
      <c r="D275" s="378">
        <f t="shared" si="3"/>
        <v>3.2199999999999998</v>
      </c>
      <c r="E275" s="429" t="str">
        <f t="shared" si="3"/>
        <v>kg</v>
      </c>
      <c r="F275" s="429" t="str">
        <f t="shared" si="3"/>
        <v>The likely value is based on 2.3 people per household and 1.4 kg/person/day, based on milk, cheese, meat, fish, eggs, fats, fruit/veg, bread, drinks and some other foods purchased, as reported in Defra (2011).</v>
      </c>
      <c r="G275" s="219"/>
      <c r="H275" s="219"/>
    </row>
    <row r="276" spans="1:8" s="123" customFormat="1" ht="30">
      <c r="A276" s="429" t="s">
        <v>409</v>
      </c>
      <c r="B276" s="381">
        <v>13</v>
      </c>
      <c r="C276" s="381">
        <f>D27</f>
        <v>20</v>
      </c>
      <c r="D276" s="381">
        <f>(C276+B276)/2</f>
        <v>16.5</v>
      </c>
      <c r="E276" s="52" t="s">
        <v>19</v>
      </c>
      <c r="F276" s="53" t="s">
        <v>687</v>
      </c>
      <c r="G276" s="219"/>
      <c r="H276" s="219"/>
    </row>
    <row r="277" spans="1:8" s="123" customFormat="1" ht="15">
      <c r="A277" s="429" t="s">
        <v>121</v>
      </c>
      <c r="B277" s="381">
        <f>B$14</f>
        <v>5</v>
      </c>
      <c r="C277" s="381">
        <f>C$14</f>
        <v>2</v>
      </c>
      <c r="D277" s="381">
        <f>D$14</f>
        <v>4</v>
      </c>
      <c r="E277" s="52" t="s">
        <v>19</v>
      </c>
      <c r="F277" s="53"/>
      <c r="G277" s="219"/>
      <c r="H277" s="219"/>
    </row>
    <row r="278" spans="1:8" s="123" customFormat="1" ht="15">
      <c r="A278" s="429" t="s">
        <v>122</v>
      </c>
      <c r="B278" s="381">
        <f>B$15</f>
        <v>-16</v>
      </c>
      <c r="C278" s="381">
        <f>C$15</f>
        <v>-20</v>
      </c>
      <c r="D278" s="381">
        <f>D$15</f>
        <v>-18</v>
      </c>
      <c r="E278" s="52" t="s">
        <v>19</v>
      </c>
      <c r="F278" s="53"/>
      <c r="G278" s="219"/>
      <c r="H278" s="219"/>
    </row>
    <row r="279" spans="1:8" s="123" customFormat="1" ht="15">
      <c r="A279" s="429" t="s">
        <v>146</v>
      </c>
      <c r="B279" s="381">
        <f>C11</f>
        <v>3</v>
      </c>
      <c r="C279" s="381">
        <f>B11</f>
        <v>1</v>
      </c>
      <c r="D279" s="381">
        <f>D11</f>
        <v>2</v>
      </c>
      <c r="E279" s="52"/>
      <c r="F279" s="53" t="s">
        <v>415</v>
      </c>
      <c r="G279" s="219"/>
      <c r="H279" s="219"/>
    </row>
    <row r="280" spans="1:8" s="122" customFormat="1" ht="15">
      <c r="A280" s="134" t="s">
        <v>414</v>
      </c>
      <c r="B280" s="431">
        <f>B274*B275*365</f>
        <v>141.036</v>
      </c>
      <c r="C280" s="431">
        <f>C274*C275*365</f>
        <v>705.1800000000001</v>
      </c>
      <c r="D280" s="431">
        <f>D274*D275*365</f>
        <v>352.59</v>
      </c>
      <c r="E280" s="39" t="s">
        <v>419</v>
      </c>
      <c r="F280" s="384"/>
      <c r="G280" s="219"/>
      <c r="H280" s="219"/>
    </row>
    <row r="281" spans="1:8" s="122" customFormat="1" ht="15" customHeight="1">
      <c r="A281" s="134" t="s">
        <v>417</v>
      </c>
      <c r="B281" s="432">
        <f>B280*(B276-B277)*Water_specific_heat/3600</f>
        <v>1.3163360000000002</v>
      </c>
      <c r="C281" s="432">
        <f>C280*(C276-C277)*Water_specific_heat/3600</f>
        <v>14.808780000000002</v>
      </c>
      <c r="D281" s="432">
        <f>D280*(D276-D277)*Water_specific_heat/3600</f>
        <v>5.141937500000001</v>
      </c>
      <c r="E281" s="39" t="s">
        <v>39</v>
      </c>
      <c r="F281" s="384"/>
      <c r="G281" s="219"/>
      <c r="H281" s="219"/>
    </row>
    <row r="282" spans="1:8" s="122" customFormat="1" ht="15">
      <c r="A282" s="134" t="s">
        <v>413</v>
      </c>
      <c r="B282" s="431">
        <f>B273*B275*365</f>
        <v>35.259</v>
      </c>
      <c r="C282" s="431">
        <f>C273*C275*365</f>
        <v>352.59000000000003</v>
      </c>
      <c r="D282" s="431">
        <f>D273*D275*365</f>
        <v>117.53</v>
      </c>
      <c r="E282" s="39" t="s">
        <v>419</v>
      </c>
      <c r="F282" s="384"/>
      <c r="G282" s="219"/>
      <c r="H282" s="219"/>
    </row>
    <row r="283" spans="1:8" s="122" customFormat="1" ht="15">
      <c r="A283" s="433" t="s">
        <v>524</v>
      </c>
      <c r="B283" s="434">
        <f>B282*(B276*Water_specific_heat+(0-B278)*Ice_specific_heat+Water_latent_heat_ice)/3600</f>
        <v>4.135097166666666</v>
      </c>
      <c r="C283" s="434">
        <f>C282*(C276*Water_specific_heat+(0-C278)*Ice_specific_heat+Water_latent_heat_ice)/3600</f>
        <v>45.05316666666668</v>
      </c>
      <c r="D283" s="434">
        <f>D282*(D276*Water_specific_heat+(0-D278)*Ice_specific_heat+Water_latent_heat_ice)/3600</f>
        <v>14.400689722222221</v>
      </c>
      <c r="E283" s="39" t="s">
        <v>39</v>
      </c>
      <c r="F283" s="384"/>
      <c r="G283" s="219"/>
      <c r="H283" s="219"/>
    </row>
    <row r="284" spans="1:8" ht="15">
      <c r="A284" s="435" t="s">
        <v>418</v>
      </c>
      <c r="B284" s="371">
        <f>(B281+B283)/B279</f>
        <v>1.8171443888888887</v>
      </c>
      <c r="C284" s="371">
        <f>(C281+C283)/C279</f>
        <v>59.86194666666668</v>
      </c>
      <c r="D284" s="436">
        <f>(D281+D283)/D279</f>
        <v>9.771313611111111</v>
      </c>
      <c r="E284" s="39" t="s">
        <v>39</v>
      </c>
      <c r="F284" s="46"/>
      <c r="G284" s="58"/>
      <c r="H284" s="58"/>
    </row>
    <row r="285" spans="1:8" ht="15">
      <c r="A285" s="437"/>
      <c r="B285" s="337"/>
      <c r="C285" s="337"/>
      <c r="D285" s="337"/>
      <c r="E285" s="337"/>
      <c r="F285" s="303"/>
      <c r="G285" s="58"/>
      <c r="H285" s="58"/>
    </row>
    <row r="286" spans="1:8" ht="15">
      <c r="A286" s="392" t="s">
        <v>776</v>
      </c>
      <c r="B286" s="324"/>
      <c r="C286" s="324"/>
      <c r="D286" s="324"/>
      <c r="E286" s="324"/>
      <c r="F286" s="364"/>
      <c r="G286" s="58"/>
      <c r="H286" s="58"/>
    </row>
    <row r="287" spans="1:8" ht="90">
      <c r="A287" s="392"/>
      <c r="B287" s="324"/>
      <c r="C287" s="324"/>
      <c r="D287" s="324"/>
      <c r="E287" s="324"/>
      <c r="F287" s="364" t="s">
        <v>688</v>
      </c>
      <c r="G287" s="58"/>
      <c r="H287" s="58"/>
    </row>
    <row r="288" spans="1:8" ht="15">
      <c r="A288" s="378"/>
      <c r="B288" s="393" t="s">
        <v>1</v>
      </c>
      <c r="C288" s="393" t="s">
        <v>2</v>
      </c>
      <c r="D288" s="393" t="s">
        <v>69</v>
      </c>
      <c r="E288" s="324"/>
      <c r="F288" s="364"/>
      <c r="G288" s="58"/>
      <c r="H288" s="58"/>
    </row>
    <row r="289" spans="1:8" ht="15">
      <c r="A289" s="34" t="s">
        <v>165</v>
      </c>
      <c r="B289" s="47">
        <f>B12</f>
        <v>90</v>
      </c>
      <c r="C289" s="47">
        <f>C12</f>
        <v>200</v>
      </c>
      <c r="D289" s="47">
        <f>D12</f>
        <v>110</v>
      </c>
      <c r="E289" s="34" t="s">
        <v>168</v>
      </c>
      <c r="F289" s="298" t="s">
        <v>372</v>
      </c>
      <c r="G289" s="58"/>
      <c r="H289" s="58"/>
    </row>
    <row r="290" spans="1:8" ht="30">
      <c r="A290" s="34" t="s">
        <v>371</v>
      </c>
      <c r="B290" s="47">
        <f>B48</f>
        <v>5</v>
      </c>
      <c r="C290" s="47">
        <f>C48</f>
        <v>15</v>
      </c>
      <c r="D290" s="47">
        <f>D48</f>
        <v>10</v>
      </c>
      <c r="E290" s="34" t="s">
        <v>167</v>
      </c>
      <c r="F290" s="298" t="s">
        <v>224</v>
      </c>
      <c r="G290" s="58"/>
      <c r="H290" s="58"/>
    </row>
    <row r="291" spans="1:8" ht="15">
      <c r="A291" s="34" t="s">
        <v>146</v>
      </c>
      <c r="B291" s="47">
        <f>C11</f>
        <v>3</v>
      </c>
      <c r="C291" s="47">
        <f>B11</f>
        <v>1</v>
      </c>
      <c r="D291" s="48">
        <f>D11</f>
        <v>2</v>
      </c>
      <c r="E291" s="49"/>
      <c r="F291" s="298"/>
      <c r="G291" s="58"/>
      <c r="H291" s="58"/>
    </row>
    <row r="292" spans="1:8" ht="15">
      <c r="A292" s="34" t="s">
        <v>256</v>
      </c>
      <c r="B292" s="50">
        <f>B28</f>
        <v>0.45</v>
      </c>
      <c r="C292" s="50">
        <f>C28</f>
        <v>0.7</v>
      </c>
      <c r="D292" s="50">
        <f>D28</f>
        <v>0.5</v>
      </c>
      <c r="E292" s="34"/>
      <c r="F292" s="298"/>
      <c r="G292" s="58"/>
      <c r="H292" s="58"/>
    </row>
    <row r="293" spans="1:8" ht="15">
      <c r="A293" s="39" t="s">
        <v>374</v>
      </c>
      <c r="B293" s="184">
        <f>B292*Water_sat_air*B289*3/4/1000</f>
        <v>0.00334125</v>
      </c>
      <c r="C293" s="184">
        <f>C292*Water_sat_air*C289*3/4/1000</f>
        <v>0.011550000000000001</v>
      </c>
      <c r="D293" s="184">
        <f>D292*Water_sat_air*D289*3/4/1000</f>
        <v>0.0045375</v>
      </c>
      <c r="E293" s="39" t="s">
        <v>149</v>
      </c>
      <c r="F293" s="46" t="s">
        <v>197</v>
      </c>
      <c r="G293" s="58"/>
      <c r="H293" s="58"/>
    </row>
    <row r="294" spans="1:8" ht="45">
      <c r="A294" s="39" t="s">
        <v>556</v>
      </c>
      <c r="B294" s="184">
        <f>B293*Water_latent_heat_steam/B291/3600</f>
        <v>0.0006991875</v>
      </c>
      <c r="C294" s="184">
        <f>C293*Water_latent_heat_steam/C291/3600</f>
        <v>0.007250833333333334</v>
      </c>
      <c r="D294" s="184">
        <f>D293*Water_latent_heat_steam/D291/3600</f>
        <v>0.0014242708333333334</v>
      </c>
      <c r="E294" s="39" t="s">
        <v>36</v>
      </c>
      <c r="F294" s="46" t="s">
        <v>557</v>
      </c>
      <c r="G294" s="58"/>
      <c r="H294" s="58"/>
    </row>
    <row r="295" spans="1:8" ht="165">
      <c r="A295" s="39" t="s">
        <v>58</v>
      </c>
      <c r="B295" s="371">
        <f>B294*B290*365</f>
        <v>1.2760171875000001</v>
      </c>
      <c r="C295" s="371">
        <f>C294*C290*365</f>
        <v>39.69831250000001</v>
      </c>
      <c r="D295" s="371">
        <f>D294*D290*365</f>
        <v>5.198588541666666</v>
      </c>
      <c r="E295" s="45" t="s">
        <v>39</v>
      </c>
      <c r="F295" s="46" t="s">
        <v>739</v>
      </c>
      <c r="G295" s="58"/>
      <c r="H295" s="58"/>
    </row>
    <row r="296" spans="1:8" ht="15">
      <c r="A296" s="58"/>
      <c r="B296" s="58"/>
      <c r="C296" s="58"/>
      <c r="D296" s="58"/>
      <c r="E296" s="58"/>
      <c r="F296" s="15"/>
      <c r="G296" s="58"/>
      <c r="H296" s="58"/>
    </row>
    <row r="297" spans="1:8" ht="15">
      <c r="A297" s="58"/>
      <c r="B297" s="58"/>
      <c r="C297" s="58"/>
      <c r="D297" s="58"/>
      <c r="E297" s="58"/>
      <c r="F297" s="15"/>
      <c r="G297" s="58"/>
      <c r="H297" s="58"/>
    </row>
    <row r="298" spans="1:5" ht="21">
      <c r="A298" s="190" t="s">
        <v>460</v>
      </c>
      <c r="B298" s="191"/>
      <c r="C298" s="191"/>
      <c r="D298" s="191"/>
      <c r="E298" s="191"/>
    </row>
    <row r="299" spans="1:5" ht="15">
      <c r="A299" s="191"/>
      <c r="B299" s="191"/>
      <c r="C299" s="191"/>
      <c r="D299" s="191"/>
      <c r="E299" s="191"/>
    </row>
    <row r="300" spans="1:5" ht="30" customHeight="1">
      <c r="A300" s="477" t="s">
        <v>518</v>
      </c>
      <c r="B300" s="477"/>
      <c r="C300" s="477"/>
      <c r="D300" s="477"/>
      <c r="E300" s="477"/>
    </row>
    <row r="301" spans="1:5" ht="15">
      <c r="A301" s="191"/>
      <c r="B301" s="191"/>
      <c r="C301" s="191"/>
      <c r="D301" s="191"/>
      <c r="E301" s="191"/>
    </row>
    <row r="302" spans="1:6" ht="30" customHeight="1">
      <c r="A302" s="477" t="s">
        <v>520</v>
      </c>
      <c r="B302" s="472"/>
      <c r="C302" s="472"/>
      <c r="D302" s="472"/>
      <c r="E302" s="472"/>
      <c r="F302" s="178"/>
    </row>
    <row r="303" spans="1:6" ht="15">
      <c r="A303" s="191"/>
      <c r="B303" s="191"/>
      <c r="C303" s="191"/>
      <c r="D303" s="191"/>
      <c r="E303" s="191"/>
      <c r="F303" s="154"/>
    </row>
    <row r="304" spans="1:6" ht="27.75" customHeight="1">
      <c r="A304" s="477" t="s">
        <v>519</v>
      </c>
      <c r="B304" s="472"/>
      <c r="C304" s="472"/>
      <c r="D304" s="472"/>
      <c r="E304" s="472"/>
      <c r="F304" s="178"/>
    </row>
    <row r="305" spans="1:5" ht="15">
      <c r="A305" s="191"/>
      <c r="B305" s="191"/>
      <c r="C305" s="191"/>
      <c r="D305" s="191"/>
      <c r="E305" s="191"/>
    </row>
    <row r="306" spans="1:5" ht="30" customHeight="1">
      <c r="A306" s="477" t="s">
        <v>479</v>
      </c>
      <c r="B306" s="477"/>
      <c r="C306" s="477"/>
      <c r="D306" s="477"/>
      <c r="E306" s="477"/>
    </row>
    <row r="307" spans="1:5" ht="15" customHeight="1">
      <c r="A307" s="191"/>
      <c r="B307" s="191"/>
      <c r="C307" s="191"/>
      <c r="D307" s="191"/>
      <c r="E307" s="191"/>
    </row>
    <row r="308" spans="1:6" ht="30" customHeight="1">
      <c r="A308" s="477" t="s">
        <v>480</v>
      </c>
      <c r="B308" s="477"/>
      <c r="C308" s="477"/>
      <c r="D308" s="477"/>
      <c r="E308" s="477"/>
      <c r="F308" s="180"/>
    </row>
    <row r="309" spans="1:5" ht="15">
      <c r="A309" s="191"/>
      <c r="B309" s="191"/>
      <c r="C309" s="191"/>
      <c r="D309" s="191"/>
      <c r="E309" s="191"/>
    </row>
    <row r="310" spans="1:6" ht="45" customHeight="1">
      <c r="A310" s="477" t="s">
        <v>558</v>
      </c>
      <c r="B310" s="472"/>
      <c r="C310" s="472"/>
      <c r="D310" s="472"/>
      <c r="E310" s="472"/>
      <c r="F310" s="178"/>
    </row>
    <row r="311" spans="1:6" ht="15">
      <c r="A311" s="191"/>
      <c r="B311" s="191"/>
      <c r="C311" s="191"/>
      <c r="D311" s="191"/>
      <c r="E311" s="191"/>
      <c r="F311" s="156"/>
    </row>
    <row r="312" spans="1:5" ht="30" customHeight="1">
      <c r="A312" s="477" t="s">
        <v>559</v>
      </c>
      <c r="B312" s="477"/>
      <c r="C312" s="477"/>
      <c r="D312" s="477"/>
      <c r="E312" s="477"/>
    </row>
    <row r="313" spans="1:5" ht="15">
      <c r="A313" s="191"/>
      <c r="B313" s="191"/>
      <c r="C313" s="191"/>
      <c r="D313" s="191"/>
      <c r="E313" s="191"/>
    </row>
    <row r="314" spans="1:6" ht="15">
      <c r="A314" s="191" t="s">
        <v>654</v>
      </c>
      <c r="B314" s="191"/>
      <c r="C314" s="191"/>
      <c r="D314" s="191"/>
      <c r="E314" s="191"/>
      <c r="F314" s="180"/>
    </row>
    <row r="315" spans="1:6" ht="15">
      <c r="A315" s="191"/>
      <c r="B315" s="191"/>
      <c r="C315" s="191"/>
      <c r="D315" s="191"/>
      <c r="E315" s="191"/>
      <c r="F315" s="180"/>
    </row>
    <row r="316" spans="1:6" ht="30" customHeight="1">
      <c r="A316" s="485" t="s">
        <v>472</v>
      </c>
      <c r="B316" s="485"/>
      <c r="C316" s="485"/>
      <c r="D316" s="485"/>
      <c r="E316" s="485"/>
      <c r="F316" s="189"/>
    </row>
    <row r="317" spans="1:6" ht="15">
      <c r="A317" s="191"/>
      <c r="B317" s="191"/>
      <c r="C317" s="191"/>
      <c r="D317" s="191"/>
      <c r="E317" s="191"/>
      <c r="F317" s="180"/>
    </row>
  </sheetData>
  <sheetProtection/>
  <mergeCells count="8">
    <mergeCell ref="A310:E310"/>
    <mergeCell ref="A312:E312"/>
    <mergeCell ref="A316:E316"/>
    <mergeCell ref="A300:E300"/>
    <mergeCell ref="A302:E302"/>
    <mergeCell ref="A304:E304"/>
    <mergeCell ref="A306:E306"/>
    <mergeCell ref="A308:E308"/>
  </mergeCells>
  <printOptions/>
  <pageMargins left="0.7500000000000001" right="0.7500000000000001" top="1" bottom="1" header="0.5" footer="0.5"/>
  <pageSetup orientation="landscape" paperSize="9"/>
  <rowBreaks count="1" manualBreakCount="1">
    <brk id="179" max="255" man="1"/>
  </rowBreaks>
</worksheet>
</file>

<file path=xl/worksheets/sheet8.xml><?xml version="1.0" encoding="utf-8"?>
<worksheet xmlns="http://schemas.openxmlformats.org/spreadsheetml/2006/main" xmlns:r="http://schemas.openxmlformats.org/officeDocument/2006/relationships">
  <dimension ref="A1:H134"/>
  <sheetViews>
    <sheetView zoomScalePageLayoutView="0" workbookViewId="0" topLeftCell="A1">
      <selection activeCell="A111" sqref="A111"/>
    </sheetView>
  </sheetViews>
  <sheetFormatPr defaultColWidth="10.8515625" defaultRowHeight="15"/>
  <cols>
    <col min="1" max="1" width="46.28125" style="85" customWidth="1"/>
    <col min="2" max="5" width="10.8515625" style="85" customWidth="1"/>
    <col min="6" max="6" width="35.140625" style="87" customWidth="1"/>
    <col min="7" max="16384" width="10.8515625" style="85" customWidth="1"/>
  </cols>
  <sheetData>
    <row r="1" ht="23.25">
      <c r="A1" s="86" t="s">
        <v>321</v>
      </c>
    </row>
    <row r="2" ht="21">
      <c r="A2" s="88" t="s">
        <v>66</v>
      </c>
    </row>
    <row r="3" ht="21">
      <c r="A3" s="88"/>
    </row>
    <row r="4" spans="1:6" ht="15">
      <c r="A4" s="99" t="s">
        <v>350</v>
      </c>
      <c r="B4" s="90" t="s">
        <v>1</v>
      </c>
      <c r="C4" s="90" t="s">
        <v>2</v>
      </c>
      <c r="D4" s="90" t="s">
        <v>69</v>
      </c>
      <c r="E4" s="91"/>
      <c r="F4" s="89"/>
    </row>
    <row r="5" spans="1:6" ht="15">
      <c r="A5" s="92" t="s">
        <v>346</v>
      </c>
      <c r="B5" s="93"/>
      <c r="C5" s="93"/>
      <c r="D5" s="94">
        <v>0.96</v>
      </c>
      <c r="E5" s="95"/>
      <c r="F5" s="92" t="s">
        <v>483</v>
      </c>
    </row>
    <row r="6" spans="1:6" ht="30">
      <c r="A6" s="92" t="s">
        <v>322</v>
      </c>
      <c r="B6" s="94"/>
      <c r="C6" s="94"/>
      <c r="D6" s="94">
        <v>0.05</v>
      </c>
      <c r="E6" s="95"/>
      <c r="F6" s="92" t="s">
        <v>111</v>
      </c>
    </row>
    <row r="7" spans="1:6" ht="15">
      <c r="A7" s="92" t="s">
        <v>323</v>
      </c>
      <c r="B7" s="95">
        <v>2</v>
      </c>
      <c r="C7" s="95">
        <v>8</v>
      </c>
      <c r="D7" s="95">
        <v>4</v>
      </c>
      <c r="E7" s="95" t="s">
        <v>167</v>
      </c>
      <c r="F7" s="92" t="s">
        <v>111</v>
      </c>
    </row>
    <row r="8" spans="1:6" ht="15">
      <c r="A8" s="92" t="s">
        <v>324</v>
      </c>
      <c r="B8" s="95">
        <v>0.25</v>
      </c>
      <c r="C8" s="95">
        <v>1</v>
      </c>
      <c r="D8" s="95">
        <v>0.5</v>
      </c>
      <c r="E8" s="95" t="s">
        <v>168</v>
      </c>
      <c r="F8" s="92" t="s">
        <v>111</v>
      </c>
    </row>
    <row r="9" spans="1:6" ht="30">
      <c r="A9" s="92" t="s">
        <v>325</v>
      </c>
      <c r="B9" s="96">
        <v>0.89</v>
      </c>
      <c r="C9" s="96">
        <v>0.85</v>
      </c>
      <c r="D9" s="96">
        <v>0.87</v>
      </c>
      <c r="E9" s="95"/>
      <c r="F9" s="92" t="s">
        <v>573</v>
      </c>
    </row>
    <row r="10" spans="1:6" ht="15">
      <c r="A10" s="92" t="s">
        <v>68</v>
      </c>
      <c r="B10" s="95">
        <f>Cold_water_temp_low</f>
        <v>13.4</v>
      </c>
      <c r="C10" s="95">
        <f>Cold_water_temp_high</f>
        <v>16.2</v>
      </c>
      <c r="D10" s="95">
        <f>Cold_water_temp_med</f>
        <v>15.2</v>
      </c>
      <c r="E10" s="95" t="s">
        <v>19</v>
      </c>
      <c r="F10" s="92" t="s">
        <v>326</v>
      </c>
    </row>
    <row r="11" spans="1:6" ht="15">
      <c r="A11" s="92"/>
      <c r="B11" s="95"/>
      <c r="C11" s="95"/>
      <c r="D11" s="95"/>
      <c r="E11" s="95"/>
      <c r="F11" s="92"/>
    </row>
    <row r="12" spans="1:8" s="98" customFormat="1" ht="15">
      <c r="A12" s="97"/>
      <c r="F12" s="97"/>
      <c r="G12"/>
      <c r="H12"/>
    </row>
    <row r="13" spans="1:8" ht="15">
      <c r="A13" s="99" t="s">
        <v>351</v>
      </c>
      <c r="B13" s="90" t="s">
        <v>1</v>
      </c>
      <c r="C13" s="90" t="s">
        <v>2</v>
      </c>
      <c r="D13" s="90" t="s">
        <v>69</v>
      </c>
      <c r="E13" s="91"/>
      <c r="F13" s="89"/>
      <c r="G13"/>
      <c r="H13"/>
    </row>
    <row r="14" spans="1:8" ht="45">
      <c r="A14" s="92" t="s">
        <v>327</v>
      </c>
      <c r="B14" s="100">
        <f>D14*0.5</f>
        <v>61.5</v>
      </c>
      <c r="C14" s="100">
        <f>D14*1.5</f>
        <v>184.5</v>
      </c>
      <c r="D14" s="95">
        <v>123</v>
      </c>
      <c r="E14" s="95" t="s">
        <v>328</v>
      </c>
      <c r="F14" s="92" t="s">
        <v>484</v>
      </c>
      <c r="G14"/>
      <c r="H14"/>
    </row>
    <row r="15" spans="1:6" ht="45">
      <c r="A15" s="92" t="s">
        <v>329</v>
      </c>
      <c r="B15" s="95">
        <f>D15*0.8</f>
        <v>1.2000000000000002</v>
      </c>
      <c r="C15" s="95">
        <f>D15*1.2</f>
        <v>1.7999999999999998</v>
      </c>
      <c r="D15" s="95">
        <v>1.5</v>
      </c>
      <c r="E15" s="95" t="s">
        <v>36</v>
      </c>
      <c r="F15" s="92" t="s">
        <v>367</v>
      </c>
    </row>
    <row r="16" spans="1:6" ht="15">
      <c r="A16" s="92" t="s">
        <v>331</v>
      </c>
      <c r="B16" s="95"/>
      <c r="C16" s="95"/>
      <c r="D16" s="96">
        <v>0.34</v>
      </c>
      <c r="E16" s="95"/>
      <c r="F16" s="92" t="s">
        <v>330</v>
      </c>
    </row>
    <row r="17" spans="1:6" ht="15">
      <c r="A17" s="92" t="s">
        <v>332</v>
      </c>
      <c r="B17" s="95">
        <v>1</v>
      </c>
      <c r="C17" s="95">
        <v>1.4</v>
      </c>
      <c r="D17" s="104">
        <v>1.2</v>
      </c>
      <c r="E17" s="95" t="s">
        <v>36</v>
      </c>
      <c r="F17" s="92" t="s">
        <v>333</v>
      </c>
    </row>
    <row r="18" spans="1:6" ht="15">
      <c r="A18" s="92" t="s">
        <v>334</v>
      </c>
      <c r="B18" s="95"/>
      <c r="C18" s="95"/>
      <c r="D18" s="96">
        <v>0.64</v>
      </c>
      <c r="E18" s="95"/>
      <c r="F18" s="92" t="s">
        <v>330</v>
      </c>
    </row>
    <row r="19" spans="1:6" ht="60">
      <c r="A19" s="92" t="s">
        <v>733</v>
      </c>
      <c r="B19" s="96">
        <v>0</v>
      </c>
      <c r="C19" s="96">
        <f>0.5</f>
        <v>0.5</v>
      </c>
      <c r="D19" s="96">
        <f>40%</f>
        <v>0.4</v>
      </c>
      <c r="E19" s="95"/>
      <c r="F19" s="101" t="s">
        <v>734</v>
      </c>
    </row>
    <row r="20" spans="1:6" ht="30">
      <c r="A20" s="92" t="s">
        <v>335</v>
      </c>
      <c r="B20" s="96">
        <v>0.02</v>
      </c>
      <c r="C20" s="96">
        <v>0.2</v>
      </c>
      <c r="D20" s="96">
        <v>0.1</v>
      </c>
      <c r="E20" s="95"/>
      <c r="F20" s="101" t="s">
        <v>111</v>
      </c>
    </row>
    <row r="21" spans="1:6" ht="15">
      <c r="A21" s="92" t="s">
        <v>342</v>
      </c>
      <c r="B21" s="96"/>
      <c r="C21" s="96"/>
      <c r="D21" s="96">
        <v>0.93</v>
      </c>
      <c r="E21" s="95"/>
      <c r="F21" s="92" t="s">
        <v>461</v>
      </c>
    </row>
    <row r="22" spans="1:6" ht="30">
      <c r="A22" s="92" t="s">
        <v>343</v>
      </c>
      <c r="B22" s="96">
        <v>0.1</v>
      </c>
      <c r="C22" s="96">
        <v>0.5</v>
      </c>
      <c r="D22" s="96">
        <v>0.2</v>
      </c>
      <c r="E22" s="95"/>
      <c r="F22" s="101" t="s">
        <v>111</v>
      </c>
    </row>
    <row r="23" spans="1:6" ht="90">
      <c r="A23" s="92" t="s">
        <v>344</v>
      </c>
      <c r="B23" s="96">
        <v>0.2</v>
      </c>
      <c r="C23" s="96">
        <v>0.8</v>
      </c>
      <c r="D23" s="96">
        <v>0.5</v>
      </c>
      <c r="E23" s="95"/>
      <c r="F23" s="101" t="s">
        <v>485</v>
      </c>
    </row>
    <row r="24" spans="1:7" s="123" customFormat="1" ht="255">
      <c r="A24" s="357" t="s">
        <v>603</v>
      </c>
      <c r="B24" s="339">
        <v>0.02</v>
      </c>
      <c r="C24" s="339">
        <v>0.12</v>
      </c>
      <c r="D24" s="339">
        <v>0.06</v>
      </c>
      <c r="E24" s="34"/>
      <c r="F24" s="357" t="s">
        <v>604</v>
      </c>
      <c r="G24" s="122"/>
    </row>
    <row r="25" spans="1:7" s="123" customFormat="1" ht="15">
      <c r="A25" s="357" t="s">
        <v>513</v>
      </c>
      <c r="B25" s="338"/>
      <c r="C25" s="338"/>
      <c r="D25" s="339">
        <v>0.3</v>
      </c>
      <c r="E25" s="34"/>
      <c r="F25" s="357" t="s">
        <v>111</v>
      </c>
      <c r="G25" s="122"/>
    </row>
    <row r="26" spans="1:7" s="123" customFormat="1" ht="15">
      <c r="A26" s="34" t="s">
        <v>510</v>
      </c>
      <c r="B26" s="338">
        <v>160</v>
      </c>
      <c r="C26" s="338">
        <v>200</v>
      </c>
      <c r="D26" s="338">
        <v>180</v>
      </c>
      <c r="E26" s="34" t="s">
        <v>19</v>
      </c>
      <c r="F26" s="357" t="s">
        <v>509</v>
      </c>
      <c r="G26" s="122"/>
    </row>
    <row r="27" spans="1:7" s="123" customFormat="1" ht="15">
      <c r="A27" s="34" t="s">
        <v>153</v>
      </c>
      <c r="B27" s="338">
        <f>'Refrig. Assumptions+Calcs'!B27</f>
        <v>17</v>
      </c>
      <c r="C27" s="338">
        <f>'Refrig. Assumptions+Calcs'!C27</f>
        <v>24</v>
      </c>
      <c r="D27" s="338">
        <f>'Refrig. Assumptions+Calcs'!D27</f>
        <v>20</v>
      </c>
      <c r="E27" s="34" t="s">
        <v>19</v>
      </c>
      <c r="F27" s="357"/>
      <c r="G27" s="122"/>
    </row>
    <row r="28" spans="1:6" s="98" customFormat="1" ht="15">
      <c r="A28" s="97"/>
      <c r="B28" s="103"/>
      <c r="C28" s="103"/>
      <c r="D28" s="103"/>
      <c r="F28" s="97"/>
    </row>
    <row r="29" spans="1:6" ht="15">
      <c r="A29" s="99" t="s">
        <v>352</v>
      </c>
      <c r="B29" s="90" t="s">
        <v>1</v>
      </c>
      <c r="C29" s="90" t="s">
        <v>2</v>
      </c>
      <c r="D29" s="90" t="s">
        <v>69</v>
      </c>
      <c r="E29" s="91"/>
      <c r="F29" s="89"/>
    </row>
    <row r="30" spans="1:6" ht="30">
      <c r="A30" s="92" t="s">
        <v>361</v>
      </c>
      <c r="B30" s="104">
        <f>D30*0.5</f>
        <v>212</v>
      </c>
      <c r="C30" s="104">
        <f>D30*1.5</f>
        <v>636</v>
      </c>
      <c r="D30" s="104">
        <v>424</v>
      </c>
      <c r="E30" s="95" t="s">
        <v>328</v>
      </c>
      <c r="F30" s="92" t="s">
        <v>736</v>
      </c>
    </row>
    <row r="31" spans="1:6" ht="15">
      <c r="A31" s="92" t="s">
        <v>353</v>
      </c>
      <c r="B31" s="96"/>
      <c r="C31" s="96"/>
      <c r="D31" s="96">
        <v>0.45</v>
      </c>
      <c r="E31" s="95"/>
      <c r="F31" s="92" t="s">
        <v>330</v>
      </c>
    </row>
    <row r="32" spans="1:6" ht="30">
      <c r="A32" s="92" t="s">
        <v>354</v>
      </c>
      <c r="B32" s="105">
        <f>D32*0.5</f>
        <v>0.35</v>
      </c>
      <c r="C32" s="105">
        <f>D32*1.5</f>
        <v>1.0499999999999998</v>
      </c>
      <c r="D32" s="105">
        <v>0.7</v>
      </c>
      <c r="E32" s="95" t="s">
        <v>36</v>
      </c>
      <c r="F32" s="92" t="s">
        <v>736</v>
      </c>
    </row>
    <row r="33" spans="1:6" ht="15">
      <c r="A33" s="92" t="s">
        <v>355</v>
      </c>
      <c r="B33" s="96"/>
      <c r="C33" s="96"/>
      <c r="D33" s="96">
        <v>0.55</v>
      </c>
      <c r="E33" s="95"/>
      <c r="F33" s="92" t="s">
        <v>330</v>
      </c>
    </row>
    <row r="34" spans="1:6" ht="30">
      <c r="A34" s="92" t="s">
        <v>356</v>
      </c>
      <c r="B34" s="105">
        <f>D34*0.5</f>
        <v>0.45</v>
      </c>
      <c r="C34" s="105">
        <f>D34*1.5</f>
        <v>1.35</v>
      </c>
      <c r="D34" s="105">
        <v>0.9</v>
      </c>
      <c r="E34" s="95" t="s">
        <v>36</v>
      </c>
      <c r="F34" s="92" t="s">
        <v>736</v>
      </c>
    </row>
    <row r="35" spans="1:6" ht="45">
      <c r="A35" s="92" t="s">
        <v>357</v>
      </c>
      <c r="B35" s="96">
        <v>0.3</v>
      </c>
      <c r="C35" s="96">
        <v>1</v>
      </c>
      <c r="D35" s="96">
        <v>0.6</v>
      </c>
      <c r="E35" s="95"/>
      <c r="F35" s="101" t="s">
        <v>726</v>
      </c>
    </row>
    <row r="36" spans="1:6" ht="45">
      <c r="A36" s="92" t="s">
        <v>560</v>
      </c>
      <c r="B36" s="96">
        <v>0.5</v>
      </c>
      <c r="C36" s="96">
        <v>0.75</v>
      </c>
      <c r="D36" s="96">
        <v>0.6</v>
      </c>
      <c r="E36" s="95"/>
      <c r="F36" s="101" t="s">
        <v>561</v>
      </c>
    </row>
    <row r="37" spans="1:6" ht="15">
      <c r="A37" s="92" t="s">
        <v>563</v>
      </c>
      <c r="B37" s="96"/>
      <c r="C37" s="96"/>
      <c r="D37" s="96">
        <v>0.3</v>
      </c>
      <c r="E37" s="95"/>
      <c r="F37" s="101" t="s">
        <v>240</v>
      </c>
    </row>
    <row r="38" spans="1:6" s="131" customFormat="1" ht="75">
      <c r="A38" s="92" t="s">
        <v>452</v>
      </c>
      <c r="B38" s="96">
        <v>0.1</v>
      </c>
      <c r="C38" s="96">
        <v>0.3</v>
      </c>
      <c r="D38" s="96">
        <v>0.2</v>
      </c>
      <c r="E38" s="95"/>
      <c r="F38" s="101" t="s">
        <v>727</v>
      </c>
    </row>
    <row r="39" spans="1:6" s="131" customFormat="1" ht="30">
      <c r="A39" s="92" t="s">
        <v>453</v>
      </c>
      <c r="B39" s="96">
        <v>0.2</v>
      </c>
      <c r="C39" s="96">
        <v>0.6</v>
      </c>
      <c r="D39" s="96">
        <v>0.4</v>
      </c>
      <c r="E39" s="95"/>
      <c r="F39" s="101" t="s">
        <v>111</v>
      </c>
    </row>
    <row r="40" spans="1:8" s="131" customFormat="1" ht="30">
      <c r="A40" s="92" t="s">
        <v>562</v>
      </c>
      <c r="B40" s="100"/>
      <c r="C40" s="100"/>
      <c r="D40" s="96">
        <v>0.5</v>
      </c>
      <c r="E40" s="95"/>
      <c r="F40" s="92"/>
      <c r="G40" s="137"/>
      <c r="H40" s="137"/>
    </row>
    <row r="41" spans="1:8" s="131" customFormat="1" ht="180">
      <c r="A41" s="92"/>
      <c r="B41" s="100"/>
      <c r="C41" s="100"/>
      <c r="D41" s="95"/>
      <c r="E41" s="95"/>
      <c r="F41" s="92" t="s">
        <v>514</v>
      </c>
      <c r="G41" s="137"/>
      <c r="H41" s="137"/>
    </row>
    <row r="43" ht="21">
      <c r="A43" s="88" t="s">
        <v>26</v>
      </c>
    </row>
    <row r="44" ht="21">
      <c r="A44" s="88"/>
    </row>
    <row r="45" spans="1:6" s="98" customFormat="1" ht="15">
      <c r="A45" s="99" t="s">
        <v>341</v>
      </c>
      <c r="B45" s="106"/>
      <c r="C45" s="106"/>
      <c r="D45" s="106"/>
      <c r="E45" s="91"/>
      <c r="F45" s="89"/>
    </row>
    <row r="46" spans="1:6" s="98" customFormat="1" ht="15">
      <c r="A46" s="99"/>
      <c r="B46" s="90" t="s">
        <v>1</v>
      </c>
      <c r="C46" s="90" t="s">
        <v>2</v>
      </c>
      <c r="D46" s="90" t="s">
        <v>69</v>
      </c>
      <c r="E46" s="91"/>
      <c r="F46" s="89"/>
    </row>
    <row r="47" spans="1:6" ht="15">
      <c r="A47" s="92" t="str">
        <f>A15</f>
        <v>Gas oven energy/use</v>
      </c>
      <c r="B47" s="92">
        <f>B15</f>
        <v>1.2000000000000002</v>
      </c>
      <c r="C47" s="92">
        <f>C15</f>
        <v>1.7999999999999998</v>
      </c>
      <c r="D47" s="92">
        <f>D15</f>
        <v>1.5</v>
      </c>
      <c r="E47" s="92" t="str">
        <f>E15</f>
        <v>kWh</v>
      </c>
      <c r="F47" s="92"/>
    </row>
    <row r="48" spans="1:6" ht="15">
      <c r="A48" s="92" t="str">
        <f>A16</f>
        <v>Proportion of households using a gas oven</v>
      </c>
      <c r="B48" s="107">
        <f>D16</f>
        <v>0.34</v>
      </c>
      <c r="C48" s="107">
        <f>D16</f>
        <v>0.34</v>
      </c>
      <c r="D48" s="107">
        <f>D16</f>
        <v>0.34</v>
      </c>
      <c r="E48" s="92"/>
      <c r="F48" s="92"/>
    </row>
    <row r="49" spans="1:6" ht="15">
      <c r="A49" s="92" t="str">
        <f>A17</f>
        <v>Electric oven energy/use</v>
      </c>
      <c r="B49" s="108">
        <f>B17</f>
        <v>1</v>
      </c>
      <c r="C49" s="92">
        <f>C17</f>
        <v>1.4</v>
      </c>
      <c r="D49" s="92">
        <f>D17</f>
        <v>1.2</v>
      </c>
      <c r="E49" s="92" t="str">
        <f>E17</f>
        <v>kWh</v>
      </c>
      <c r="F49" s="92"/>
    </row>
    <row r="50" spans="1:6" ht="15">
      <c r="A50" s="92" t="str">
        <f>A18</f>
        <v>Proportion of households using an electric oven</v>
      </c>
      <c r="B50" s="107">
        <f>D18</f>
        <v>0.64</v>
      </c>
      <c r="C50" s="107">
        <f>D18</f>
        <v>0.64</v>
      </c>
      <c r="D50" s="107">
        <f>D18</f>
        <v>0.64</v>
      </c>
      <c r="E50" s="92"/>
      <c r="F50" s="92"/>
    </row>
    <row r="51" spans="1:6" s="98" customFormat="1" ht="15">
      <c r="A51" s="109" t="s">
        <v>339</v>
      </c>
      <c r="B51" s="110">
        <f>B50+B48</f>
        <v>0.98</v>
      </c>
      <c r="C51" s="110">
        <f>C50+C48</f>
        <v>0.98</v>
      </c>
      <c r="D51" s="110">
        <f>D50+D48</f>
        <v>0.98</v>
      </c>
      <c r="E51" s="111"/>
      <c r="F51" s="109"/>
    </row>
    <row r="52" spans="1:6" s="98" customFormat="1" ht="15">
      <c r="A52" s="109" t="s">
        <v>345</v>
      </c>
      <c r="B52" s="112">
        <f>(B47*B48+B49*B50)/B51</f>
        <v>1.069387755102041</v>
      </c>
      <c r="C52" s="112">
        <f>(C47*C48+C49*C50)/C51</f>
        <v>1.5387755102040817</v>
      </c>
      <c r="D52" s="112">
        <f>(D47*D48+D49*D50)/D51</f>
        <v>1.3040816326530613</v>
      </c>
      <c r="E52" s="111" t="s">
        <v>36</v>
      </c>
      <c r="F52" s="109"/>
    </row>
    <row r="53" spans="1:6" s="98" customFormat="1" ht="15">
      <c r="A53" s="97"/>
      <c r="B53" s="113"/>
      <c r="C53" s="113"/>
      <c r="D53" s="113"/>
      <c r="F53" s="97"/>
    </row>
    <row r="54" spans="1:6" s="98" customFormat="1" ht="15">
      <c r="A54" s="99" t="s">
        <v>358</v>
      </c>
      <c r="B54" s="106"/>
      <c r="C54" s="106"/>
      <c r="D54" s="106"/>
      <c r="E54" s="91"/>
      <c r="F54" s="89"/>
    </row>
    <row r="55" spans="1:6" s="98" customFormat="1" ht="15">
      <c r="A55" s="99"/>
      <c r="B55" s="90" t="s">
        <v>1</v>
      </c>
      <c r="C55" s="90" t="s">
        <v>2</v>
      </c>
      <c r="D55" s="90" t="s">
        <v>69</v>
      </c>
      <c r="E55" s="91"/>
      <c r="F55" s="89"/>
    </row>
    <row r="56" spans="1:6" ht="15">
      <c r="A56" s="92" t="str">
        <f>A31</f>
        <v>Proportion of households with an electric hob</v>
      </c>
      <c r="B56" s="107">
        <f>D31</f>
        <v>0.45</v>
      </c>
      <c r="C56" s="107">
        <f>D31</f>
        <v>0.45</v>
      </c>
      <c r="D56" s="107">
        <f>D31</f>
        <v>0.45</v>
      </c>
      <c r="E56" s="92"/>
      <c r="F56" s="92"/>
    </row>
    <row r="57" spans="1:6" ht="15">
      <c r="A57" s="92" t="str">
        <f>A32</f>
        <v>Electric hob energy/use</v>
      </c>
      <c r="B57" s="108">
        <f>B32</f>
        <v>0.35</v>
      </c>
      <c r="C57" s="108">
        <f>C32</f>
        <v>1.0499999999999998</v>
      </c>
      <c r="D57" s="108">
        <f>D32</f>
        <v>0.7</v>
      </c>
      <c r="E57" s="95" t="s">
        <v>36</v>
      </c>
      <c r="F57" s="92"/>
    </row>
    <row r="58" spans="1:6" ht="15">
      <c r="A58" s="92" t="str">
        <f>A33</f>
        <v>Proportion of households with a gas hob</v>
      </c>
      <c r="B58" s="107">
        <f>D33</f>
        <v>0.55</v>
      </c>
      <c r="C58" s="107">
        <f>D33</f>
        <v>0.55</v>
      </c>
      <c r="D58" s="107">
        <f>D33</f>
        <v>0.55</v>
      </c>
      <c r="E58" s="92"/>
      <c r="F58" s="92"/>
    </row>
    <row r="59" spans="1:6" ht="15">
      <c r="A59" s="92" t="str">
        <f>A34</f>
        <v>Gas hob energy/use</v>
      </c>
      <c r="B59" s="108">
        <f>B34</f>
        <v>0.45</v>
      </c>
      <c r="C59" s="108">
        <f>C34</f>
        <v>1.35</v>
      </c>
      <c r="D59" s="108">
        <f>D34</f>
        <v>0.9</v>
      </c>
      <c r="E59" s="95" t="s">
        <v>36</v>
      </c>
      <c r="F59" s="92"/>
    </row>
    <row r="60" spans="1:6" s="98" customFormat="1" ht="15">
      <c r="A60" s="92" t="s">
        <v>359</v>
      </c>
      <c r="B60" s="107">
        <f>B56+B58</f>
        <v>1</v>
      </c>
      <c r="C60" s="107">
        <f>C56+C58</f>
        <v>1</v>
      </c>
      <c r="D60" s="107">
        <f>D56+D58</f>
        <v>1</v>
      </c>
      <c r="E60" s="95"/>
      <c r="F60" s="92"/>
    </row>
    <row r="61" spans="1:6" s="98" customFormat="1" ht="15">
      <c r="A61" s="109" t="s">
        <v>360</v>
      </c>
      <c r="B61" s="112">
        <f>(B56*B57+B58*B59)/B60</f>
        <v>0.405</v>
      </c>
      <c r="C61" s="112">
        <f>(C56*C57+C58*C59)/C60</f>
        <v>1.215</v>
      </c>
      <c r="D61" s="112">
        <f>(D56*D57+D58*D59)/D60</f>
        <v>0.81</v>
      </c>
      <c r="E61" s="111" t="s">
        <v>36</v>
      </c>
      <c r="F61" s="109"/>
    </row>
    <row r="62" spans="1:6" s="98" customFormat="1" ht="15">
      <c r="A62" s="109"/>
      <c r="B62" s="112"/>
      <c r="C62" s="112"/>
      <c r="D62" s="112"/>
      <c r="E62" s="111"/>
      <c r="F62" s="109"/>
    </row>
    <row r="63" spans="1:6" s="98" customFormat="1" ht="15">
      <c r="A63" s="99" t="s">
        <v>777</v>
      </c>
      <c r="B63" s="114"/>
      <c r="C63" s="114"/>
      <c r="D63" s="114"/>
      <c r="E63" s="91"/>
      <c r="F63" s="89"/>
    </row>
    <row r="64" spans="1:6" s="98" customFormat="1" ht="15">
      <c r="A64" s="99"/>
      <c r="B64" s="90" t="s">
        <v>1</v>
      </c>
      <c r="C64" s="90" t="s">
        <v>2</v>
      </c>
      <c r="D64" s="90" t="s">
        <v>69</v>
      </c>
      <c r="E64" s="91"/>
      <c r="F64" s="89"/>
    </row>
    <row r="65" spans="1:6" s="98" customFormat="1" ht="15">
      <c r="A65" s="92" t="str">
        <f>A14</f>
        <v>Oven uses per year</v>
      </c>
      <c r="B65" s="92">
        <f>B14</f>
        <v>61.5</v>
      </c>
      <c r="C65" s="92">
        <f>C14</f>
        <v>184.5</v>
      </c>
      <c r="D65" s="92">
        <f>D14</f>
        <v>123</v>
      </c>
      <c r="E65" s="92" t="str">
        <f>E14</f>
        <v>/year</v>
      </c>
      <c r="F65" s="92"/>
    </row>
    <row r="66" spans="1:6" s="98" customFormat="1" ht="15">
      <c r="A66" s="92" t="s">
        <v>345</v>
      </c>
      <c r="B66" s="108">
        <f>B52</f>
        <v>1.069387755102041</v>
      </c>
      <c r="C66" s="108">
        <f>C52</f>
        <v>1.5387755102040817</v>
      </c>
      <c r="D66" s="108">
        <f>D52</f>
        <v>1.3040816326530613</v>
      </c>
      <c r="E66" s="92" t="s">
        <v>36</v>
      </c>
      <c r="F66" s="92"/>
    </row>
    <row r="67" spans="1:6" s="98" customFormat="1" ht="30">
      <c r="A67" s="92" t="str">
        <f aca="true" t="shared" si="0" ref="A67:D68">A22</f>
        <v>Proportion of oven uses which could be transferred to the microwave</v>
      </c>
      <c r="B67" s="107">
        <f t="shared" si="0"/>
        <v>0.1</v>
      </c>
      <c r="C67" s="107">
        <f t="shared" si="0"/>
        <v>0.5</v>
      </c>
      <c r="D67" s="107">
        <f t="shared" si="0"/>
        <v>0.2</v>
      </c>
      <c r="E67" s="92"/>
      <c r="F67" s="92"/>
    </row>
    <row r="68" spans="1:6" s="98" customFormat="1" ht="30">
      <c r="A68" s="92" t="str">
        <f t="shared" si="0"/>
        <v>Proportion of energy saved when using the microwave instead of the oven</v>
      </c>
      <c r="B68" s="107">
        <f t="shared" si="0"/>
        <v>0.2</v>
      </c>
      <c r="C68" s="107">
        <f t="shared" si="0"/>
        <v>0.8</v>
      </c>
      <c r="D68" s="107">
        <f t="shared" si="0"/>
        <v>0.5</v>
      </c>
      <c r="E68" s="92"/>
      <c r="F68" s="92"/>
    </row>
    <row r="69" spans="1:6" s="98" customFormat="1" ht="15">
      <c r="A69" s="109" t="s">
        <v>337</v>
      </c>
      <c r="B69" s="112">
        <f>B65*B47*B67*B68</f>
        <v>1.4760000000000004</v>
      </c>
      <c r="C69" s="112">
        <f>C65*C47*C67*C68</f>
        <v>132.84</v>
      </c>
      <c r="D69" s="112">
        <f>D65*D47*D67*D68</f>
        <v>18.45</v>
      </c>
      <c r="E69" s="111" t="s">
        <v>39</v>
      </c>
      <c r="F69" s="109"/>
    </row>
    <row r="70" spans="1:6" s="98" customFormat="1" ht="15">
      <c r="A70" s="109"/>
      <c r="B70" s="112"/>
      <c r="C70" s="112"/>
      <c r="D70" s="112"/>
      <c r="E70" s="111"/>
      <c r="F70" s="109"/>
    </row>
    <row r="71" spans="1:6" s="98" customFormat="1" ht="15">
      <c r="A71" s="109"/>
      <c r="B71" s="112"/>
      <c r="C71" s="112"/>
      <c r="D71" s="112"/>
      <c r="E71" s="111"/>
      <c r="F71" s="109"/>
    </row>
    <row r="72" spans="1:6" s="98" customFormat="1" ht="15">
      <c r="A72" s="99" t="s">
        <v>778</v>
      </c>
      <c r="B72" s="106"/>
      <c r="C72" s="106"/>
      <c r="D72" s="106"/>
      <c r="E72" s="91"/>
      <c r="F72" s="89"/>
    </row>
    <row r="73" spans="1:6" s="98" customFormat="1" ht="60">
      <c r="A73" s="99"/>
      <c r="B73" s="90" t="s">
        <v>1</v>
      </c>
      <c r="C73" s="90" t="s">
        <v>2</v>
      </c>
      <c r="D73" s="90" t="s">
        <v>69</v>
      </c>
      <c r="E73" s="91"/>
      <c r="F73" s="89" t="s">
        <v>735</v>
      </c>
    </row>
    <row r="74" spans="1:6" s="98" customFormat="1" ht="15">
      <c r="A74" s="92" t="str">
        <f>A14</f>
        <v>Oven uses per year</v>
      </c>
      <c r="B74" s="92">
        <f>B14</f>
        <v>61.5</v>
      </c>
      <c r="C74" s="92">
        <f>C14</f>
        <v>184.5</v>
      </c>
      <c r="D74" s="92">
        <f>D14</f>
        <v>123</v>
      </c>
      <c r="E74" s="95" t="s">
        <v>328</v>
      </c>
      <c r="F74" s="92"/>
    </row>
    <row r="75" spans="1:6" s="98" customFormat="1" ht="30">
      <c r="A75" s="92" t="str">
        <f>A19</f>
        <v>Oven usage reduction by households trying to fill it on each use</v>
      </c>
      <c r="B75" s="107">
        <f>B19</f>
        <v>0</v>
      </c>
      <c r="C75" s="107">
        <f>C19</f>
        <v>0.5</v>
      </c>
      <c r="D75" s="107">
        <f>D19</f>
        <v>0.4</v>
      </c>
      <c r="E75" s="95"/>
      <c r="F75" s="92"/>
    </row>
    <row r="76" spans="1:6" s="98" customFormat="1" ht="15">
      <c r="A76" s="109" t="s">
        <v>336</v>
      </c>
      <c r="B76" s="112">
        <f>B52</f>
        <v>1.069387755102041</v>
      </c>
      <c r="C76" s="112">
        <f>C52</f>
        <v>1.5387755102040817</v>
      </c>
      <c r="D76" s="112">
        <f>D52</f>
        <v>1.3040816326530613</v>
      </c>
      <c r="E76" s="111" t="s">
        <v>36</v>
      </c>
      <c r="F76" s="109"/>
    </row>
    <row r="77" spans="1:6" s="98" customFormat="1" ht="15">
      <c r="A77" s="109" t="s">
        <v>338</v>
      </c>
      <c r="B77" s="115">
        <f>B74*B75</f>
        <v>0</v>
      </c>
      <c r="C77" s="115">
        <f>C74*C75</f>
        <v>92.25</v>
      </c>
      <c r="D77" s="115">
        <f>D74*D75</f>
        <v>49.2</v>
      </c>
      <c r="E77" s="111" t="s">
        <v>328</v>
      </c>
      <c r="F77" s="109"/>
    </row>
    <row r="78" spans="1:6" s="98" customFormat="1" ht="15">
      <c r="A78" s="109" t="s">
        <v>337</v>
      </c>
      <c r="B78" s="115">
        <f>B77*B76</f>
        <v>0</v>
      </c>
      <c r="C78" s="115">
        <f>C77*C76</f>
        <v>141.95204081632653</v>
      </c>
      <c r="D78" s="115">
        <f>D77*D76</f>
        <v>64.16081632653062</v>
      </c>
      <c r="E78" s="111" t="s">
        <v>39</v>
      </c>
      <c r="F78" s="109"/>
    </row>
    <row r="79" spans="1:6" s="98" customFormat="1" ht="15">
      <c r="A79" s="97"/>
      <c r="B79" s="97"/>
      <c r="C79" s="97"/>
      <c r="D79" s="97"/>
      <c r="F79" s="97"/>
    </row>
    <row r="80" spans="1:6" s="98" customFormat="1" ht="15">
      <c r="A80" s="99" t="s">
        <v>779</v>
      </c>
      <c r="B80" s="106"/>
      <c r="C80" s="106"/>
      <c r="D80" s="106"/>
      <c r="E80" s="91"/>
      <c r="F80" s="89"/>
    </row>
    <row r="81" spans="1:6" s="98" customFormat="1" ht="60">
      <c r="A81" s="99"/>
      <c r="B81" s="106"/>
      <c r="C81" s="106"/>
      <c r="D81" s="106"/>
      <c r="E81" s="91"/>
      <c r="F81" s="89" t="s">
        <v>482</v>
      </c>
    </row>
    <row r="82" spans="1:6" s="98" customFormat="1" ht="15">
      <c r="A82" s="99"/>
      <c r="B82" s="90" t="s">
        <v>1</v>
      </c>
      <c r="C82" s="90" t="s">
        <v>2</v>
      </c>
      <c r="D82" s="90" t="s">
        <v>69</v>
      </c>
      <c r="E82" s="91"/>
      <c r="F82" s="89"/>
    </row>
    <row r="83" spans="1:6" s="98" customFormat="1" ht="15">
      <c r="A83" s="95" t="s">
        <v>323</v>
      </c>
      <c r="B83" s="104">
        <f aca="true" t="shared" si="1" ref="B83:D84">B7</f>
        <v>2</v>
      </c>
      <c r="C83" s="104">
        <f t="shared" si="1"/>
        <v>8</v>
      </c>
      <c r="D83" s="104">
        <f t="shared" si="1"/>
        <v>4</v>
      </c>
      <c r="E83" s="95" t="s">
        <v>167</v>
      </c>
      <c r="F83" s="92"/>
    </row>
    <row r="84" spans="1:6" s="98" customFormat="1" ht="15">
      <c r="A84" s="95" t="s">
        <v>324</v>
      </c>
      <c r="B84" s="104">
        <f t="shared" si="1"/>
        <v>0.25</v>
      </c>
      <c r="C84" s="104">
        <f t="shared" si="1"/>
        <v>1</v>
      </c>
      <c r="D84" s="104">
        <f t="shared" si="1"/>
        <v>0.5</v>
      </c>
      <c r="E84" s="95" t="s">
        <v>168</v>
      </c>
      <c r="F84" s="92"/>
    </row>
    <row r="85" spans="1:6" s="98" customFormat="1" ht="15">
      <c r="A85" s="95" t="s">
        <v>325</v>
      </c>
      <c r="B85" s="94">
        <f>B$9</f>
        <v>0.89</v>
      </c>
      <c r="C85" s="94">
        <f>C$9</f>
        <v>0.85</v>
      </c>
      <c r="D85" s="94">
        <f>D$9</f>
        <v>0.87</v>
      </c>
      <c r="E85" s="95"/>
      <c r="F85" s="92"/>
    </row>
    <row r="86" spans="1:6" s="98" customFormat="1" ht="30">
      <c r="A86" s="95" t="s">
        <v>68</v>
      </c>
      <c r="B86" s="104">
        <f>C10</f>
        <v>16.2</v>
      </c>
      <c r="C86" s="104">
        <f>B10</f>
        <v>13.4</v>
      </c>
      <c r="D86" s="104">
        <f>D10</f>
        <v>15.2</v>
      </c>
      <c r="E86" s="95" t="s">
        <v>19</v>
      </c>
      <c r="F86" s="92" t="s">
        <v>340</v>
      </c>
    </row>
    <row r="87" spans="1:6" s="98" customFormat="1" ht="15">
      <c r="A87" s="111" t="s">
        <v>58</v>
      </c>
      <c r="B87" s="116">
        <f>(B83*B84*Water_specific_heat*(100-B86)*365/3600)/B85</f>
        <v>20.04765917602996</v>
      </c>
      <c r="C87" s="116">
        <f>(C83*C84*Water_specific_heat*(100-C86)*365/3600)/C85</f>
        <v>347.07921568627444</v>
      </c>
      <c r="D87" s="116">
        <f>(D83*D84*Water_specific_heat*(100-D86)*365/3600)/D85</f>
        <v>83.01302681992337</v>
      </c>
      <c r="E87" s="111" t="s">
        <v>39</v>
      </c>
      <c r="F87" s="109"/>
    </row>
    <row r="88" spans="1:6" s="98" customFormat="1" ht="15">
      <c r="A88" s="95" t="s">
        <v>347</v>
      </c>
      <c r="B88" s="104"/>
      <c r="C88" s="104"/>
      <c r="D88" s="94">
        <f>D5</f>
        <v>0.96</v>
      </c>
      <c r="E88" s="95"/>
      <c r="F88" s="92"/>
    </row>
    <row r="89" spans="1:6" s="98" customFormat="1" ht="15">
      <c r="A89" s="95" t="s">
        <v>348</v>
      </c>
      <c r="B89" s="104"/>
      <c r="C89" s="104"/>
      <c r="D89" s="94">
        <f>D6</f>
        <v>0.05</v>
      </c>
      <c r="E89" s="95"/>
      <c r="F89" s="92"/>
    </row>
    <row r="90" spans="1:6" s="98" customFormat="1" ht="15">
      <c r="A90" s="111" t="s">
        <v>349</v>
      </c>
      <c r="B90" s="116"/>
      <c r="C90" s="116"/>
      <c r="D90" s="117">
        <f>D88*(1-D89)</f>
        <v>0.9119999999999999</v>
      </c>
      <c r="E90" s="111"/>
      <c r="F90" s="109"/>
    </row>
    <row r="91" spans="2:6" s="98" customFormat="1" ht="15">
      <c r="B91" s="118"/>
      <c r="C91" s="118"/>
      <c r="D91" s="118"/>
      <c r="F91" s="97"/>
    </row>
    <row r="92" spans="1:6" s="98" customFormat="1" ht="15">
      <c r="A92" s="119" t="s">
        <v>780</v>
      </c>
      <c r="B92" s="106"/>
      <c r="C92" s="106"/>
      <c r="D92" s="106"/>
      <c r="E92" s="91"/>
      <c r="F92" s="89"/>
    </row>
    <row r="93" spans="1:6" s="136" customFormat="1" ht="15">
      <c r="A93" s="119"/>
      <c r="B93" s="106"/>
      <c r="C93" s="106"/>
      <c r="D93" s="106"/>
      <c r="E93" s="91"/>
      <c r="F93" s="89"/>
    </row>
    <row r="94" spans="1:6" s="136" customFormat="1" ht="15">
      <c r="A94" s="99"/>
      <c r="B94" s="90" t="s">
        <v>1</v>
      </c>
      <c r="C94" s="90" t="s">
        <v>2</v>
      </c>
      <c r="D94" s="90" t="s">
        <v>69</v>
      </c>
      <c r="E94" s="91"/>
      <c r="F94" s="89"/>
    </row>
    <row r="95" spans="1:6" s="136" customFormat="1" ht="15">
      <c r="A95" s="438" t="s">
        <v>327</v>
      </c>
      <c r="B95" s="439">
        <f>B14</f>
        <v>61.5</v>
      </c>
      <c r="C95" s="439">
        <f>C14</f>
        <v>184.5</v>
      </c>
      <c r="D95" s="439">
        <f>D14</f>
        <v>123</v>
      </c>
      <c r="E95" s="95" t="s">
        <v>328</v>
      </c>
      <c r="F95" s="92" t="s">
        <v>111</v>
      </c>
    </row>
    <row r="96" spans="1:6" s="136" customFormat="1" ht="15">
      <c r="A96" s="95" t="s">
        <v>345</v>
      </c>
      <c r="B96" s="105">
        <f>B52</f>
        <v>1.069387755102041</v>
      </c>
      <c r="C96" s="105">
        <f>C52</f>
        <v>1.5387755102040817</v>
      </c>
      <c r="D96" s="105">
        <f>D52</f>
        <v>1.3040816326530613</v>
      </c>
      <c r="E96" s="105" t="s">
        <v>36</v>
      </c>
      <c r="F96" s="95"/>
    </row>
    <row r="97" spans="1:6" s="136" customFormat="1" ht="15">
      <c r="A97" s="95" t="s">
        <v>603</v>
      </c>
      <c r="B97" s="96">
        <f>B24</f>
        <v>0.02</v>
      </c>
      <c r="C97" s="96">
        <f>C24</f>
        <v>0.12</v>
      </c>
      <c r="D97" s="96">
        <f>D24</f>
        <v>0.06</v>
      </c>
      <c r="E97" s="100"/>
      <c r="F97" s="95"/>
    </row>
    <row r="98" spans="1:6" s="136" customFormat="1" ht="15">
      <c r="A98" s="440" t="s">
        <v>512</v>
      </c>
      <c r="B98" s="441">
        <f>B95*B96*B97</f>
        <v>1.3153469387755103</v>
      </c>
      <c r="C98" s="441">
        <f>C95*C96*C97</f>
        <v>34.06848979591837</v>
      </c>
      <c r="D98" s="441">
        <f>D95*D96*D97</f>
        <v>9.624122448979593</v>
      </c>
      <c r="E98" s="440" t="s">
        <v>39</v>
      </c>
      <c r="F98" s="440"/>
    </row>
    <row r="99" spans="1:6" ht="15">
      <c r="A99" s="82"/>
      <c r="B99" s="82"/>
      <c r="C99" s="82"/>
      <c r="D99" s="82"/>
      <c r="E99" s="82"/>
      <c r="F99" s="82"/>
    </row>
    <row r="100" spans="1:6" s="98" customFormat="1" ht="15">
      <c r="A100" s="119" t="s">
        <v>781</v>
      </c>
      <c r="B100" s="106"/>
      <c r="C100" s="106"/>
      <c r="D100" s="106"/>
      <c r="E100" s="91"/>
      <c r="F100" s="89"/>
    </row>
    <row r="101" spans="1:6" s="136" customFormat="1" ht="105">
      <c r="A101" s="119"/>
      <c r="B101" s="106"/>
      <c r="C101" s="106"/>
      <c r="D101" s="106"/>
      <c r="E101" s="91"/>
      <c r="F101" s="89" t="s">
        <v>454</v>
      </c>
    </row>
    <row r="102" spans="1:6" s="136" customFormat="1" ht="15">
      <c r="A102" s="91"/>
      <c r="B102" s="90" t="s">
        <v>1</v>
      </c>
      <c r="C102" s="90" t="s">
        <v>2</v>
      </c>
      <c r="D102" s="90" t="s">
        <v>69</v>
      </c>
      <c r="E102" s="91"/>
      <c r="F102" s="89"/>
    </row>
    <row r="103" spans="1:6" s="136" customFormat="1" ht="15">
      <c r="A103" s="95" t="s">
        <v>361</v>
      </c>
      <c r="B103" s="104">
        <f>B30</f>
        <v>212</v>
      </c>
      <c r="C103" s="104">
        <f>C30</f>
        <v>636</v>
      </c>
      <c r="D103" s="104">
        <f>D30</f>
        <v>424</v>
      </c>
      <c r="E103" s="95" t="s">
        <v>328</v>
      </c>
      <c r="F103" s="92"/>
    </row>
    <row r="104" spans="1:6" s="136" customFormat="1" ht="15">
      <c r="A104" s="95" t="s">
        <v>363</v>
      </c>
      <c r="B104" s="120">
        <f>B61</f>
        <v>0.405</v>
      </c>
      <c r="C104" s="120">
        <f>C61</f>
        <v>1.215</v>
      </c>
      <c r="D104" s="120">
        <f>D61</f>
        <v>0.81</v>
      </c>
      <c r="E104" s="95" t="s">
        <v>36</v>
      </c>
      <c r="F104" s="92"/>
    </row>
    <row r="105" spans="1:6" s="136" customFormat="1" ht="15">
      <c r="A105" s="95" t="s">
        <v>564</v>
      </c>
      <c r="B105" s="96">
        <f>B39</f>
        <v>0.2</v>
      </c>
      <c r="C105" s="96">
        <f>C39</f>
        <v>0.6</v>
      </c>
      <c r="D105" s="96">
        <f>D39</f>
        <v>0.4</v>
      </c>
      <c r="E105" s="95"/>
      <c r="F105" s="95"/>
    </row>
    <row r="106" spans="1:6" s="136" customFormat="1" ht="32.25" customHeight="1">
      <c r="A106" s="92" t="str">
        <f>A38</f>
        <v>Extra energy used  by boiling rather than simmering (with the lid on)</v>
      </c>
      <c r="B106" s="96">
        <f>B38</f>
        <v>0.1</v>
      </c>
      <c r="C106" s="96">
        <f>C38</f>
        <v>0.3</v>
      </c>
      <c r="D106" s="96">
        <f>D38</f>
        <v>0.2</v>
      </c>
      <c r="E106" s="95"/>
      <c r="F106" s="92"/>
    </row>
    <row r="107" spans="1:6" s="136" customFormat="1" ht="15">
      <c r="A107" s="111" t="s">
        <v>337</v>
      </c>
      <c r="B107" s="121">
        <f>B103*B104*B105*B106</f>
        <v>1.7172</v>
      </c>
      <c r="C107" s="121">
        <f>C103*C104*C105*C106</f>
        <v>139.0932</v>
      </c>
      <c r="D107" s="121">
        <f>D103*D104*D105*D106</f>
        <v>27.4752</v>
      </c>
      <c r="E107" s="111" t="s">
        <v>39</v>
      </c>
      <c r="F107" s="109"/>
    </row>
    <row r="108" spans="1:6" s="98" customFormat="1" ht="15">
      <c r="A108" s="111"/>
      <c r="B108" s="121"/>
      <c r="C108" s="121"/>
      <c r="D108" s="121"/>
      <c r="E108" s="111"/>
      <c r="F108" s="109"/>
    </row>
    <row r="109" spans="1:6" s="98" customFormat="1" ht="15">
      <c r="A109" s="91"/>
      <c r="B109" s="90"/>
      <c r="C109" s="90"/>
      <c r="D109" s="90"/>
      <c r="E109" s="91"/>
      <c r="F109" s="89"/>
    </row>
    <row r="110" spans="1:6" s="98" customFormat="1" ht="15">
      <c r="A110" s="99" t="s">
        <v>782</v>
      </c>
      <c r="B110" s="106"/>
      <c r="C110" s="106"/>
      <c r="D110" s="106"/>
      <c r="E110" s="91"/>
      <c r="F110" s="89"/>
    </row>
    <row r="111" spans="1:6" s="98" customFormat="1" ht="105">
      <c r="A111" s="119"/>
      <c r="B111" s="106"/>
      <c r="C111" s="106"/>
      <c r="D111" s="106"/>
      <c r="E111" s="91"/>
      <c r="F111" s="89" t="s">
        <v>515</v>
      </c>
    </row>
    <row r="112" spans="1:6" s="98" customFormat="1" ht="15">
      <c r="A112" s="99"/>
      <c r="B112" s="90" t="s">
        <v>1</v>
      </c>
      <c r="C112" s="90" t="s">
        <v>2</v>
      </c>
      <c r="D112" s="90" t="s">
        <v>69</v>
      </c>
      <c r="E112" s="91"/>
      <c r="F112" s="89"/>
    </row>
    <row r="113" spans="1:6" s="98" customFormat="1" ht="15">
      <c r="A113" s="95" t="s">
        <v>361</v>
      </c>
      <c r="B113" s="104">
        <f>B30</f>
        <v>212</v>
      </c>
      <c r="C113" s="104">
        <f>C30</f>
        <v>636</v>
      </c>
      <c r="D113" s="104">
        <f>D30</f>
        <v>424</v>
      </c>
      <c r="E113" s="95" t="s">
        <v>328</v>
      </c>
      <c r="F113" s="92"/>
    </row>
    <row r="114" spans="1:6" s="98" customFormat="1" ht="15">
      <c r="A114" s="95" t="s">
        <v>363</v>
      </c>
      <c r="B114" s="120">
        <f>B61</f>
        <v>0.405</v>
      </c>
      <c r="C114" s="120">
        <f>C61</f>
        <v>1.215</v>
      </c>
      <c r="D114" s="120">
        <f>D61</f>
        <v>0.81</v>
      </c>
      <c r="E114" s="95" t="s">
        <v>36</v>
      </c>
      <c r="F114" s="92"/>
    </row>
    <row r="115" spans="1:6" s="98" customFormat="1" ht="15">
      <c r="A115" s="95" t="s">
        <v>362</v>
      </c>
      <c r="B115" s="96">
        <f>B36</f>
        <v>0.5</v>
      </c>
      <c r="C115" s="96">
        <f>C36</f>
        <v>0.75</v>
      </c>
      <c r="D115" s="96">
        <f>D36</f>
        <v>0.6</v>
      </c>
      <c r="E115" s="95"/>
      <c r="F115" s="92"/>
    </row>
    <row r="116" spans="1:6" s="98" customFormat="1" ht="15">
      <c r="A116" s="95" t="str">
        <f>A35</f>
        <v>Extra energy used when lid not put on</v>
      </c>
      <c r="B116" s="96">
        <f>B35</f>
        <v>0.3</v>
      </c>
      <c r="C116" s="96">
        <f>C35</f>
        <v>1</v>
      </c>
      <c r="D116" s="96">
        <f>D35</f>
        <v>0.6</v>
      </c>
      <c r="E116" s="95"/>
      <c r="F116" s="92"/>
    </row>
    <row r="117" spans="1:6" ht="15">
      <c r="A117" s="111" t="s">
        <v>337</v>
      </c>
      <c r="B117" s="121">
        <f>B113*B114*B115*B116</f>
        <v>12.879</v>
      </c>
      <c r="C117" s="121">
        <f>C113*C114*C115*C116</f>
        <v>579.5550000000001</v>
      </c>
      <c r="D117" s="121">
        <f>D113*D114*D115*D116</f>
        <v>123.63839999999999</v>
      </c>
      <c r="E117" s="111" t="s">
        <v>39</v>
      </c>
      <c r="F117" s="109"/>
    </row>
    <row r="120" spans="1:6" ht="21">
      <c r="A120" s="185" t="s">
        <v>460</v>
      </c>
      <c r="B120" s="186"/>
      <c r="C120" s="186"/>
      <c r="D120" s="186"/>
      <c r="E120" s="186"/>
      <c r="F120" s="187"/>
    </row>
    <row r="121" spans="1:6" ht="15">
      <c r="A121" s="186"/>
      <c r="B121" s="186"/>
      <c r="C121" s="186"/>
      <c r="D121" s="186"/>
      <c r="E121" s="186"/>
      <c r="F121" s="187"/>
    </row>
    <row r="122" spans="1:6" ht="30" customHeight="1">
      <c r="A122" s="486" t="s">
        <v>517</v>
      </c>
      <c r="B122" s="486"/>
      <c r="C122" s="486"/>
      <c r="D122" s="486"/>
      <c r="E122" s="486"/>
      <c r="F122" s="486"/>
    </row>
    <row r="123" spans="1:6" ht="15">
      <c r="A123" s="186"/>
      <c r="B123" s="186"/>
      <c r="C123" s="186"/>
      <c r="D123" s="186"/>
      <c r="E123" s="186"/>
      <c r="F123" s="187"/>
    </row>
    <row r="124" spans="1:6" ht="30" customHeight="1">
      <c r="A124" s="487" t="s">
        <v>488</v>
      </c>
      <c r="B124" s="487"/>
      <c r="C124" s="487"/>
      <c r="D124" s="487"/>
      <c r="E124" s="487"/>
      <c r="F124" s="487"/>
    </row>
    <row r="125" spans="1:6" ht="15">
      <c r="A125" s="186"/>
      <c r="B125" s="186"/>
      <c r="C125" s="186"/>
      <c r="D125" s="186"/>
      <c r="E125" s="186"/>
      <c r="F125" s="187"/>
    </row>
    <row r="126" spans="1:6" ht="30" customHeight="1">
      <c r="A126" s="487" t="s">
        <v>516</v>
      </c>
      <c r="B126" s="487"/>
      <c r="C126" s="487"/>
      <c r="D126" s="487"/>
      <c r="E126" s="487"/>
      <c r="F126" s="487"/>
    </row>
    <row r="127" spans="1:6" ht="15">
      <c r="A127" s="186"/>
      <c r="B127" s="186"/>
      <c r="C127" s="186"/>
      <c r="D127" s="186"/>
      <c r="E127" s="186"/>
      <c r="F127" s="188"/>
    </row>
    <row r="128" spans="1:7" ht="30" customHeight="1">
      <c r="A128" s="487" t="s">
        <v>605</v>
      </c>
      <c r="B128" s="487"/>
      <c r="C128" s="487"/>
      <c r="D128" s="487"/>
      <c r="E128" s="487"/>
      <c r="F128" s="487"/>
      <c r="G128" s="87"/>
    </row>
    <row r="129" spans="1:6" ht="15">
      <c r="A129" s="186"/>
      <c r="B129" s="186"/>
      <c r="C129" s="186"/>
      <c r="D129" s="186"/>
      <c r="E129" s="186"/>
      <c r="F129" s="187"/>
    </row>
    <row r="130" spans="1:6" ht="15">
      <c r="A130" s="186" t="s">
        <v>486</v>
      </c>
      <c r="B130" s="186"/>
      <c r="C130" s="186"/>
      <c r="D130" s="186"/>
      <c r="E130" s="186"/>
      <c r="F130" s="187"/>
    </row>
    <row r="131" spans="1:6" ht="15">
      <c r="A131" s="186"/>
      <c r="B131" s="186"/>
      <c r="C131" s="186"/>
      <c r="D131" s="186"/>
      <c r="E131" s="186"/>
      <c r="F131" s="187"/>
    </row>
    <row r="132" spans="1:6" ht="30" customHeight="1">
      <c r="A132" s="487" t="s">
        <v>487</v>
      </c>
      <c r="B132" s="487"/>
      <c r="C132" s="487"/>
      <c r="D132" s="487"/>
      <c r="E132" s="487"/>
      <c r="F132" s="487"/>
    </row>
    <row r="133" spans="1:6" ht="15">
      <c r="A133" s="186"/>
      <c r="B133" s="186"/>
      <c r="C133" s="186"/>
      <c r="D133" s="186"/>
      <c r="E133" s="186"/>
      <c r="F133" s="187"/>
    </row>
    <row r="134" spans="1:6" ht="30" customHeight="1">
      <c r="A134" s="486" t="s">
        <v>529</v>
      </c>
      <c r="B134" s="486"/>
      <c r="C134" s="486"/>
      <c r="D134" s="486"/>
      <c r="E134" s="486"/>
      <c r="F134" s="486"/>
    </row>
  </sheetData>
  <sheetProtection/>
  <mergeCells count="6">
    <mergeCell ref="A122:F122"/>
    <mergeCell ref="A132:F132"/>
    <mergeCell ref="A128:F128"/>
    <mergeCell ref="A124:F124"/>
    <mergeCell ref="A134:F134"/>
    <mergeCell ref="A126:F126"/>
  </mergeCells>
  <printOptions/>
  <pageMargins left="0.75" right="0.75" top="1" bottom="1" header="0.5" footer="0.5"/>
  <pageSetup orientation="portrait" paperSize="9"/>
  <ignoredErrors>
    <ignoredError sqref="B57:C57 B48:C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Jason;Nicola</dc:creator>
  <cp:keywords/>
  <dc:description/>
  <cp:lastModifiedBy>Matthew Lipson</cp:lastModifiedBy>
  <cp:lastPrinted>2012-05-16T15:18:59Z</cp:lastPrinted>
  <dcterms:created xsi:type="dcterms:W3CDTF">2012-04-11T10:10:05Z</dcterms:created>
  <dcterms:modified xsi:type="dcterms:W3CDTF">2012-10-29T18:10:03Z</dcterms:modified>
  <cp:category/>
  <cp:version/>
  <cp:contentType/>
  <cp:contentStatus/>
</cp:coreProperties>
</file>